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arski\Documents\SACS\2.11.1\"/>
    </mc:Choice>
  </mc:AlternateContent>
  <bookViews>
    <workbookView xWindow="-15" yWindow="-15" windowWidth="19245" windowHeight="12090" tabRatio="874" firstSheet="1" activeTab="1"/>
  </bookViews>
  <sheets>
    <sheet name="Columner Summary" sheetId="8" r:id="rId1"/>
    <sheet name="Summary Page" sheetId="1" r:id="rId2"/>
    <sheet name="Combine Sal Op" sheetId="3" r:id="rId3"/>
    <sheet name="Revenue Start" sheetId="2" r:id="rId4"/>
    <sheet name="Op Detail TOC-old" sheetId="4" state="hidden" r:id="rId5"/>
    <sheet name="Op Detail TOC" sheetId="13" r:id="rId6"/>
    <sheet name="Op Detail" sheetId="5" r:id="rId7"/>
    <sheet name="Salaries" sheetId="6" r:id="rId8"/>
    <sheet name="JE" sheetId="7" r:id="rId9"/>
    <sheet name="Recap" sheetId="9" state="hidden" r:id="rId10"/>
    <sheet name="JE Upload" sheetId="15" r:id="rId11"/>
    <sheet name="Salary Depts" sheetId="12" state="hidden" r:id="rId12"/>
    <sheet name="JE Upload (2)" sheetId="17" r:id="rId13"/>
    <sheet name="JE Upload reductions" sheetId="19" r:id="rId14"/>
    <sheet name="JE Upload reductions 2" sheetId="18" r:id="rId15"/>
    <sheet name="Salaries (2)" sheetId="14" r:id="rId16"/>
  </sheets>
  <definedNames>
    <definedName name="_xlnm._FilterDatabase" localSheetId="2" hidden="1">'Combine Sal Op'!$G$3:$G$943</definedName>
    <definedName name="_xlnm._FilterDatabase" localSheetId="8" hidden="1">JE!$A$1:$G$537</definedName>
    <definedName name="_xlnm._FilterDatabase" localSheetId="10" hidden="1">'JE Upload'!$A$1:$G$445</definedName>
    <definedName name="_xlnm._FilterDatabase" localSheetId="12" hidden="1">'JE Upload (2)'!$A$1:$G$445</definedName>
    <definedName name="_xlnm._FilterDatabase" localSheetId="13" hidden="1">'JE Upload reductions'!$A$1:$G$194</definedName>
    <definedName name="_xlnm._FilterDatabase" localSheetId="14" hidden="1">'JE Upload reductions 2'!$A$1:$G$80</definedName>
    <definedName name="_xlnm._FilterDatabase" localSheetId="6" hidden="1">'Op Detail'!$A$1:$Q$6707</definedName>
    <definedName name="_xlnm.Print_Area" localSheetId="2">'Combine Sal Op'!$A$1:$R$943</definedName>
    <definedName name="_xlnm.Print_Area" localSheetId="6">'Op Detail'!$A$1:$H$6698</definedName>
    <definedName name="_xlnm.Print_Area" localSheetId="4">'Op Detail TOC-old'!$A$1:$J$161</definedName>
    <definedName name="_xlnm.Print_Area" localSheetId="3">'Revenue Start'!$A$3:$J$107</definedName>
    <definedName name="_xlnm.Print_Area" localSheetId="7">Salaries!$E$7:$G$349</definedName>
    <definedName name="_xlnm.Print_Area" localSheetId="15">'Salaries (2)'!$C$5:$E$326</definedName>
    <definedName name="_xlnm.Print_Area" localSheetId="11">'Salary Depts'!$A$5:$J$335</definedName>
    <definedName name="_xlnm.Print_Area">Salaries!$E$3:$H$372</definedName>
    <definedName name="_xlnm.Print_Titles" localSheetId="2">'Combine Sal Op'!$3:$4</definedName>
    <definedName name="_xlnm.Print_Titles" localSheetId="5">'Op Detail TOC'!$1:$3</definedName>
    <definedName name="_xlnm.Print_Titles" localSheetId="4">'Op Detail TOC-old'!$1:$2</definedName>
    <definedName name="_xlnm.Print_Titles" localSheetId="3">'Revenue Start'!$4:$5</definedName>
    <definedName name="_xlnm.Print_Titles" localSheetId="11">'Salary Depts'!$1:$4</definedName>
    <definedName name="_xlnm.Print_Titles">#N/A</definedName>
    <definedName name="Z_32908539_2542_409A_8F82_90CA4AF2FA22_.wvu.Cols" localSheetId="6" hidden="1">'Op Detail'!$B:$B</definedName>
    <definedName name="Z_32908539_2542_409A_8F82_90CA4AF2FA22_.wvu.Cols" localSheetId="3" hidden="1">'Revenue Start'!$D:$D</definedName>
    <definedName name="Z_32908539_2542_409A_8F82_90CA4AF2FA22_.wvu.PrintArea" localSheetId="2" hidden="1">'Combine Sal Op'!$A$1:$R$938</definedName>
    <definedName name="Z_32908539_2542_409A_8F82_90CA4AF2FA22_.wvu.PrintArea" localSheetId="6" hidden="1">'Op Detail'!$A$1:$H$6702</definedName>
    <definedName name="Z_32908539_2542_409A_8F82_90CA4AF2FA22_.wvu.PrintArea" localSheetId="5" hidden="1">'Op Detail TOC'!$A$1:$J$153</definedName>
    <definedName name="Z_32908539_2542_409A_8F82_90CA4AF2FA22_.wvu.PrintArea" localSheetId="4" hidden="1">'Op Detail TOC-old'!$A$1:$J$161</definedName>
    <definedName name="Z_32908539_2542_409A_8F82_90CA4AF2FA22_.wvu.PrintArea" localSheetId="3" hidden="1">'Revenue Start'!$A$3:$J$107</definedName>
    <definedName name="Z_32908539_2542_409A_8F82_90CA4AF2FA22_.wvu.PrintArea" localSheetId="7" hidden="1">Salaries!$E$7:$G$349</definedName>
    <definedName name="Z_32908539_2542_409A_8F82_90CA4AF2FA22_.wvu.PrintArea" localSheetId="15" hidden="1">'Salaries (2)'!$C$5:$E$326</definedName>
    <definedName name="Z_32908539_2542_409A_8F82_90CA4AF2FA22_.wvu.PrintTitles" localSheetId="2" hidden="1">'Combine Sal Op'!$3:$4</definedName>
    <definedName name="Z_32908539_2542_409A_8F82_90CA4AF2FA22_.wvu.PrintTitles" localSheetId="5" hidden="1">'Op Detail TOC'!$1:$3</definedName>
    <definedName name="Z_32908539_2542_409A_8F82_90CA4AF2FA22_.wvu.PrintTitles" localSheetId="4" hidden="1">'Op Detail TOC-old'!$1:$2</definedName>
    <definedName name="Z_32908539_2542_409A_8F82_90CA4AF2FA22_.wvu.PrintTitles" localSheetId="3" hidden="1">'Revenue Start'!$4:$5</definedName>
    <definedName name="Z_A8860A6A_D8F5_A548_B67D_3E99578E1F8E_.wvu.Cols" localSheetId="6" hidden="1">'Op Detail'!$B:$B</definedName>
    <definedName name="Z_A8860A6A_D8F5_A548_B67D_3E99578E1F8E_.wvu.Cols" localSheetId="3" hidden="1">'Revenue Start'!$D:$E,'Revenue Start'!#REF!</definedName>
    <definedName name="Z_A8860A6A_D8F5_A548_B67D_3E99578E1F8E_.wvu.PrintArea" localSheetId="2" hidden="1">'Combine Sal Op'!$A$1:$R$943</definedName>
    <definedName name="Z_A8860A6A_D8F5_A548_B67D_3E99578E1F8E_.wvu.PrintArea" localSheetId="6" hidden="1">'Op Detail'!$A$1:$H$6702</definedName>
    <definedName name="Z_A8860A6A_D8F5_A548_B67D_3E99578E1F8E_.wvu.PrintArea" localSheetId="5" hidden="1">'Op Detail TOC'!$A$1:$J$153</definedName>
    <definedName name="Z_A8860A6A_D8F5_A548_B67D_3E99578E1F8E_.wvu.PrintArea" localSheetId="4" hidden="1">'Op Detail TOC-old'!$A$1:$J$161</definedName>
    <definedName name="Z_A8860A6A_D8F5_A548_B67D_3E99578E1F8E_.wvu.PrintArea" localSheetId="3" hidden="1">'Revenue Start'!$A$3:$J$107</definedName>
    <definedName name="Z_A8860A6A_D8F5_A548_B67D_3E99578E1F8E_.wvu.PrintArea" localSheetId="7" hidden="1">Salaries!$E$7:$G$349</definedName>
    <definedName name="Z_A8860A6A_D8F5_A548_B67D_3E99578E1F8E_.wvu.PrintArea" localSheetId="15" hidden="1">'Salaries (2)'!$C$5:$E$326</definedName>
    <definedName name="Z_A8860A6A_D8F5_A548_B67D_3E99578E1F8E_.wvu.PrintTitles" localSheetId="2" hidden="1">'Combine Sal Op'!$3:$4</definedName>
    <definedName name="Z_A8860A6A_D8F5_A548_B67D_3E99578E1F8E_.wvu.PrintTitles" localSheetId="5" hidden="1">'Op Detail TOC'!$1:$3</definedName>
    <definedName name="Z_A8860A6A_D8F5_A548_B67D_3E99578E1F8E_.wvu.PrintTitles" localSheetId="4" hidden="1">'Op Detail TOC-old'!$1:$2</definedName>
    <definedName name="Z_A8860A6A_D8F5_A548_B67D_3E99578E1F8E_.wvu.PrintTitles" localSheetId="3" hidden="1">'Revenue Start'!$4:$5</definedName>
    <definedName name="Z_A8860A6A_D8F5_A548_B67D_3E99578E1F8E_.wvu.Rows" localSheetId="3" hidden="1">'Revenue Start'!$107:$107</definedName>
  </definedNames>
  <calcPr calcId="152511" fullPrecision="0"/>
  <customWorkbookViews>
    <customWorkbookView name="user - Personal View" guid="{32908539-2542-409A-8F82-90CA4AF2FA22}" mergeInterval="0" personalView="1" maximized="1" xWindow="1" yWindow="1" windowWidth="1152" windowHeight="646" tabRatio="874" activeSheetId="8" showComments="commIndAndComment"/>
    <customWorkbookView name="Barrett Miller - Personal View" guid="{A8860A6A-D8F5-A548-B67D-3E99578E1F8E}" mergeInterval="0" personalView="1" yWindow="105" windowWidth="1272" windowHeight="591" tabRatio="874" activeSheetId="1"/>
  </customWorkbookViews>
</workbook>
</file>

<file path=xl/calcChain.xml><?xml version="1.0" encoding="utf-8"?>
<calcChain xmlns="http://schemas.openxmlformats.org/spreadsheetml/2006/main">
  <c r="G24" i="1" l="1"/>
  <c r="G13" i="1"/>
  <c r="F16" i="2" l="1"/>
  <c r="F7" i="2"/>
  <c r="D3811" i="5" l="1"/>
  <c r="D2777" i="5"/>
  <c r="D2558" i="5"/>
  <c r="D3176" i="5"/>
  <c r="D3460" i="5"/>
  <c r="D3151" i="5"/>
  <c r="D2863" i="5"/>
  <c r="D2395" i="5"/>
  <c r="E2735" i="5"/>
  <c r="E2685" i="5"/>
  <c r="D2336" i="5"/>
  <c r="D2275" i="5"/>
  <c r="D2948" i="5"/>
  <c r="F2472" i="5"/>
  <c r="D5303" i="5"/>
  <c r="D2072" i="5"/>
  <c r="D2009" i="5"/>
  <c r="H5679" i="5"/>
  <c r="D3120" i="5"/>
  <c r="F2735" i="5"/>
  <c r="E4704" i="5"/>
  <c r="F4704" i="5"/>
  <c r="D4704" i="5"/>
  <c r="E4683" i="5"/>
  <c r="F4683" i="5"/>
  <c r="D4683" i="5"/>
  <c r="E2174" i="5"/>
  <c r="D4640" i="5"/>
  <c r="D4239" i="5"/>
  <c r="D6250" i="5"/>
  <c r="D5909" i="5"/>
  <c r="D2685" i="5"/>
  <c r="D4081" i="5"/>
  <c r="D5387" i="5"/>
  <c r="D3779" i="5"/>
  <c r="H2863" i="5"/>
  <c r="D3746" i="5"/>
  <c r="D2640" i="5"/>
  <c r="D4274" i="5"/>
  <c r="AB220" i="6"/>
  <c r="DR220" i="6" s="1"/>
  <c r="DS220" i="6" s="1"/>
  <c r="D6668" i="5"/>
  <c r="D6566" i="5"/>
  <c r="AF221" i="6"/>
  <c r="DR221" i="6" s="1"/>
  <c r="DS221" i="6" s="1"/>
  <c r="G218" i="6"/>
  <c r="BB218" i="6" s="1"/>
  <c r="DR218" i="6" s="1"/>
  <c r="DS218" i="6" s="1"/>
  <c r="D2174" i="5"/>
  <c r="D1193" i="5"/>
  <c r="D2735" i="5"/>
  <c r="E2472" i="5"/>
  <c r="F3626" i="5"/>
  <c r="D3626" i="5"/>
  <c r="F5868" i="5"/>
  <c r="D5679" i="5"/>
  <c r="D5528" i="5"/>
  <c r="D1439" i="5"/>
  <c r="D1407" i="5"/>
  <c r="D4324" i="5"/>
  <c r="D321" i="5"/>
  <c r="D293" i="5"/>
  <c r="D266" i="5"/>
  <c r="D238" i="5"/>
  <c r="DR305" i="6"/>
  <c r="DS305" i="6" s="1"/>
  <c r="D134" i="5"/>
  <c r="D98" i="5"/>
  <c r="D15" i="5"/>
  <c r="D4463" i="5"/>
  <c r="D4465" i="5" s="1"/>
  <c r="D1484" i="5"/>
  <c r="D1486" i="5" s="1"/>
  <c r="E6141" i="5"/>
  <c r="D6141" i="5"/>
  <c r="F6138" i="5"/>
  <c r="F6141" i="5" s="1"/>
  <c r="E6138" i="5"/>
  <c r="D6138" i="5"/>
  <c r="I506" i="3" l="1"/>
  <c r="D1355" i="5"/>
  <c r="D1343" i="5"/>
  <c r="D1245" i="5"/>
  <c r="D1871" i="5"/>
  <c r="D1845" i="5"/>
  <c r="D3895" i="5"/>
  <c r="D6410" i="5"/>
  <c r="D6399" i="5"/>
  <c r="D4451" i="5" l="1"/>
  <c r="AS193" i="6" l="1"/>
  <c r="J256" i="17" l="1"/>
  <c r="I461" i="3"/>
  <c r="J228" i="17"/>
  <c r="J157" i="17"/>
  <c r="J238" i="17"/>
  <c r="J222" i="17"/>
  <c r="O445" i="15" l="1"/>
  <c r="O444" i="15"/>
  <c r="O443" i="15"/>
  <c r="O442" i="15"/>
  <c r="O441" i="15"/>
  <c r="O440" i="15"/>
  <c r="O439" i="15"/>
  <c r="O438" i="15"/>
  <c r="O437" i="15"/>
  <c r="O436" i="15"/>
  <c r="O435" i="15"/>
  <c r="O434" i="15"/>
  <c r="O433" i="15"/>
  <c r="O432" i="15"/>
  <c r="O431" i="15"/>
  <c r="O430" i="15"/>
  <c r="O429" i="15"/>
  <c r="O428" i="15"/>
  <c r="O427" i="15"/>
  <c r="O426" i="15"/>
  <c r="O425" i="15"/>
  <c r="O424" i="15"/>
  <c r="O423" i="15"/>
  <c r="O422" i="15"/>
  <c r="O421" i="15"/>
  <c r="O420" i="15"/>
  <c r="O419" i="15"/>
  <c r="O418" i="15"/>
  <c r="O417" i="15"/>
  <c r="O416" i="15"/>
  <c r="O415" i="15"/>
  <c r="O414" i="15"/>
  <c r="O413" i="15"/>
  <c r="O412" i="15"/>
  <c r="O411" i="15"/>
  <c r="O410" i="15"/>
  <c r="O409" i="15"/>
  <c r="O408" i="15"/>
  <c r="O407" i="15"/>
  <c r="O406" i="15"/>
  <c r="O405" i="15"/>
  <c r="O404" i="15"/>
  <c r="O403" i="15"/>
  <c r="O402" i="15"/>
  <c r="O401" i="15"/>
  <c r="O400" i="15"/>
  <c r="O399" i="15"/>
  <c r="O398" i="15"/>
  <c r="O397" i="15"/>
  <c r="O396" i="15"/>
  <c r="O395" i="15"/>
  <c r="O394" i="15"/>
  <c r="O393" i="15"/>
  <c r="O392" i="15"/>
  <c r="O391" i="15"/>
  <c r="O390" i="15"/>
  <c r="O389" i="15"/>
  <c r="O388" i="15"/>
  <c r="O387" i="15"/>
  <c r="O386" i="15"/>
  <c r="O385" i="15"/>
  <c r="O384" i="15"/>
  <c r="O383" i="15"/>
  <c r="O382" i="15"/>
  <c r="O381" i="15"/>
  <c r="O380" i="15"/>
  <c r="O379" i="15"/>
  <c r="O378" i="15"/>
  <c r="O377" i="15"/>
  <c r="O376" i="15"/>
  <c r="O375" i="15"/>
  <c r="O374" i="15"/>
  <c r="O373" i="15"/>
  <c r="O372" i="15"/>
  <c r="O371" i="15"/>
  <c r="O370" i="15"/>
  <c r="O369" i="15"/>
  <c r="O368" i="15"/>
  <c r="O367" i="15"/>
  <c r="O366" i="15"/>
  <c r="O365" i="15"/>
  <c r="O364" i="15"/>
  <c r="O363" i="15"/>
  <c r="O362" i="15"/>
  <c r="O361" i="15"/>
  <c r="O360" i="15"/>
  <c r="O359" i="15"/>
  <c r="O358" i="15"/>
  <c r="O357" i="15"/>
  <c r="O356" i="15"/>
  <c r="O355" i="15"/>
  <c r="O354" i="15"/>
  <c r="O353" i="15"/>
  <c r="O352" i="15"/>
  <c r="O351" i="15"/>
  <c r="O350" i="15"/>
  <c r="O349" i="15"/>
  <c r="O348" i="15"/>
  <c r="O347" i="15"/>
  <c r="O346" i="15"/>
  <c r="O345" i="15"/>
  <c r="O344" i="15"/>
  <c r="O343" i="15"/>
  <c r="O342" i="15"/>
  <c r="O341" i="15"/>
  <c r="O340" i="15"/>
  <c r="O339" i="15"/>
  <c r="O338" i="15"/>
  <c r="O337" i="15"/>
  <c r="O336" i="15"/>
  <c r="O335" i="15"/>
  <c r="O334" i="15"/>
  <c r="O333" i="15"/>
  <c r="O332" i="15"/>
  <c r="O331" i="15"/>
  <c r="O330" i="15"/>
  <c r="O329" i="15"/>
  <c r="O328" i="15"/>
  <c r="O327" i="15"/>
  <c r="O326" i="15"/>
  <c r="O325" i="15"/>
  <c r="O324" i="15"/>
  <c r="O323" i="15"/>
  <c r="O322" i="15"/>
  <c r="O321" i="15"/>
  <c r="O320" i="15"/>
  <c r="O319" i="15"/>
  <c r="O318" i="15"/>
  <c r="O317" i="15"/>
  <c r="O316" i="15"/>
  <c r="O315" i="15"/>
  <c r="O314" i="15"/>
  <c r="O313" i="15"/>
  <c r="O312" i="15"/>
  <c r="O311" i="15"/>
  <c r="O310" i="15"/>
  <c r="O309" i="15"/>
  <c r="O308" i="15"/>
  <c r="O307" i="15"/>
  <c r="O306" i="15"/>
  <c r="O305" i="15"/>
  <c r="O304" i="15"/>
  <c r="O303" i="15"/>
  <c r="O302" i="15"/>
  <c r="O301" i="15"/>
  <c r="O300" i="15"/>
  <c r="O299" i="15"/>
  <c r="O298" i="15"/>
  <c r="O297" i="15"/>
  <c r="O296" i="15"/>
  <c r="O295" i="15"/>
  <c r="O294" i="15"/>
  <c r="O293" i="15"/>
  <c r="O292" i="15"/>
  <c r="O291" i="15"/>
  <c r="O290" i="15"/>
  <c r="O289" i="15"/>
  <c r="O288" i="15"/>
  <c r="O287" i="15"/>
  <c r="O286" i="15"/>
  <c r="O285" i="15"/>
  <c r="O284" i="15"/>
  <c r="O283" i="15"/>
  <c r="O282" i="15"/>
  <c r="O281" i="15"/>
  <c r="O280" i="15"/>
  <c r="O279" i="15"/>
  <c r="O278" i="15"/>
  <c r="O277" i="15"/>
  <c r="O276" i="15"/>
  <c r="O275" i="15"/>
  <c r="O274" i="15"/>
  <c r="O273" i="15"/>
  <c r="O272" i="15"/>
  <c r="O271" i="15"/>
  <c r="O270" i="15"/>
  <c r="O269" i="15"/>
  <c r="O268" i="15"/>
  <c r="O267" i="15"/>
  <c r="O266" i="15"/>
  <c r="O265" i="15"/>
  <c r="O264" i="15"/>
  <c r="O263" i="15"/>
  <c r="O262" i="15"/>
  <c r="O261" i="15"/>
  <c r="O260" i="15"/>
  <c r="O259" i="15"/>
  <c r="O258" i="15"/>
  <c r="O257" i="15"/>
  <c r="O256" i="15"/>
  <c r="O255" i="15"/>
  <c r="O254" i="15"/>
  <c r="O253" i="15"/>
  <c r="O252" i="15"/>
  <c r="O251" i="15"/>
  <c r="O250" i="15"/>
  <c r="O249" i="15"/>
  <c r="O248" i="15"/>
  <c r="O247" i="15"/>
  <c r="O246" i="15"/>
  <c r="O245" i="15"/>
  <c r="O244" i="15"/>
  <c r="O243" i="15"/>
  <c r="O242" i="15"/>
  <c r="O241" i="15"/>
  <c r="O240" i="15"/>
  <c r="O239" i="15"/>
  <c r="O238" i="15"/>
  <c r="O237" i="15"/>
  <c r="O236" i="15"/>
  <c r="O235" i="15"/>
  <c r="O234" i="15"/>
  <c r="O233" i="15"/>
  <c r="O232" i="15"/>
  <c r="O231" i="15"/>
  <c r="O230" i="15"/>
  <c r="O229" i="15"/>
  <c r="O228" i="15"/>
  <c r="O227" i="15"/>
  <c r="O226" i="15"/>
  <c r="O225" i="15"/>
  <c r="O224" i="15"/>
  <c r="O223" i="15"/>
  <c r="O222" i="15"/>
  <c r="O221" i="15"/>
  <c r="O220" i="15"/>
  <c r="O219" i="15"/>
  <c r="O218" i="15"/>
  <c r="O217" i="15"/>
  <c r="O216" i="15"/>
  <c r="O215" i="15"/>
  <c r="O214" i="15"/>
  <c r="O213" i="15"/>
  <c r="O212" i="15"/>
  <c r="O211" i="15"/>
  <c r="O210" i="15"/>
  <c r="O209" i="15"/>
  <c r="O208" i="15"/>
  <c r="O207" i="15"/>
  <c r="O206" i="15"/>
  <c r="O205" i="15"/>
  <c r="O204" i="15"/>
  <c r="O203" i="15"/>
  <c r="O202" i="15"/>
  <c r="O201" i="15"/>
  <c r="O200" i="15"/>
  <c r="O199" i="15"/>
  <c r="O198" i="15"/>
  <c r="O197" i="15"/>
  <c r="O196" i="15"/>
  <c r="O195" i="15"/>
  <c r="O194" i="15"/>
  <c r="O193" i="15"/>
  <c r="O192" i="15"/>
  <c r="O191" i="15"/>
  <c r="O190" i="15"/>
  <c r="O189" i="15"/>
  <c r="O188" i="15"/>
  <c r="O187" i="15"/>
  <c r="O186" i="15"/>
  <c r="O185" i="15"/>
  <c r="O184" i="15"/>
  <c r="O183" i="15"/>
  <c r="O182" i="15"/>
  <c r="O181" i="15"/>
  <c r="O180" i="15"/>
  <c r="O179" i="15"/>
  <c r="O178" i="15"/>
  <c r="O177" i="15"/>
  <c r="O176" i="15"/>
  <c r="O175" i="15"/>
  <c r="O174" i="15"/>
  <c r="O173" i="15"/>
  <c r="O172" i="15"/>
  <c r="O171" i="15"/>
  <c r="O170" i="15"/>
  <c r="O169" i="15"/>
  <c r="O168" i="15"/>
  <c r="O167" i="15"/>
  <c r="O166" i="15"/>
  <c r="O165" i="15"/>
  <c r="O164" i="15"/>
  <c r="O163" i="15"/>
  <c r="O162" i="15"/>
  <c r="O161" i="15"/>
  <c r="O160" i="15"/>
  <c r="O159" i="15"/>
  <c r="O158" i="15"/>
  <c r="O157" i="15"/>
  <c r="O156" i="15"/>
  <c r="O155" i="15"/>
  <c r="O154" i="15"/>
  <c r="O153" i="15"/>
  <c r="O152" i="15"/>
  <c r="O151" i="15"/>
  <c r="O150" i="15"/>
  <c r="O149" i="15"/>
  <c r="O148" i="15"/>
  <c r="O147" i="15"/>
  <c r="O146" i="15"/>
  <c r="O145" i="15"/>
  <c r="O144" i="15"/>
  <c r="O143" i="15"/>
  <c r="O142" i="15"/>
  <c r="O141" i="15"/>
  <c r="O140" i="15"/>
  <c r="O139" i="15"/>
  <c r="O138" i="15"/>
  <c r="O137" i="15"/>
  <c r="O136" i="15"/>
  <c r="O135" i="15"/>
  <c r="O134" i="15"/>
  <c r="O133" i="15"/>
  <c r="O132" i="15"/>
  <c r="O131" i="15"/>
  <c r="O130" i="15"/>
  <c r="O129" i="15"/>
  <c r="O128" i="15"/>
  <c r="O127" i="15"/>
  <c r="O126" i="15"/>
  <c r="O125" i="15"/>
  <c r="O124" i="15"/>
  <c r="O123" i="15"/>
  <c r="O122" i="15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3" i="15"/>
  <c r="P2" i="15"/>
  <c r="P1" i="15"/>
  <c r="O4" i="15"/>
  <c r="M445" i="15" l="1"/>
  <c r="M431" i="15"/>
  <c r="M394" i="15"/>
  <c r="M402" i="15"/>
  <c r="M428" i="15"/>
  <c r="M399" i="15"/>
  <c r="M334" i="15"/>
  <c r="M396" i="15"/>
  <c r="M412" i="15"/>
  <c r="M166" i="15"/>
  <c r="M408" i="15"/>
  <c r="M102" i="15"/>
  <c r="M391" i="15"/>
  <c r="M405" i="15"/>
  <c r="M430" i="15"/>
  <c r="M89" i="15"/>
  <c r="M100" i="15"/>
  <c r="M113" i="15"/>
  <c r="M71" i="15"/>
  <c r="M70" i="15"/>
  <c r="M88" i="15"/>
  <c r="M415" i="15"/>
  <c r="M118" i="15"/>
  <c r="M150" i="15"/>
  <c r="M420" i="15"/>
  <c r="M414" i="15"/>
  <c r="M105" i="15"/>
  <c r="M72" i="15"/>
  <c r="M83" i="15"/>
  <c r="M406" i="15"/>
  <c r="M115" i="15"/>
  <c r="M424" i="15"/>
  <c r="M131" i="15"/>
  <c r="M400" i="15"/>
  <c r="M398" i="15"/>
  <c r="M413" i="15"/>
  <c r="M154" i="15"/>
  <c r="M86" i="15"/>
  <c r="M291" i="15"/>
  <c r="M249" i="15"/>
  <c r="M425" i="15"/>
  <c r="M138" i="15"/>
  <c r="M69" i="15"/>
  <c r="M144" i="15"/>
  <c r="M392" i="15"/>
  <c r="M278" i="15"/>
  <c r="M287" i="15"/>
  <c r="M87" i="15"/>
  <c r="M257" i="15"/>
  <c r="M286" i="15"/>
  <c r="M410" i="15"/>
  <c r="M277" i="15"/>
  <c r="M164" i="15"/>
  <c r="M128" i="15"/>
  <c r="M267" i="15"/>
  <c r="M319" i="15"/>
  <c r="M178" i="15"/>
  <c r="M245" i="15"/>
  <c r="M172" i="15"/>
  <c r="M395" i="15"/>
  <c r="M432" i="15"/>
  <c r="M184" i="15"/>
  <c r="M253" i="15"/>
  <c r="M93" i="15"/>
  <c r="M229" i="15"/>
  <c r="M119" i="15"/>
  <c r="M314" i="15"/>
  <c r="M96" i="15"/>
  <c r="M333" i="15"/>
  <c r="M419" i="15"/>
  <c r="M175" i="15"/>
  <c r="M323" i="15"/>
  <c r="M312" i="15"/>
  <c r="M315" i="15"/>
  <c r="M293" i="15"/>
  <c r="M106" i="15"/>
  <c r="M167" i="15"/>
  <c r="M309" i="15"/>
  <c r="M330" i="15"/>
  <c r="M349" i="15"/>
  <c r="M204" i="15"/>
  <c r="M163" i="15"/>
  <c r="M397" i="15"/>
  <c r="M66" i="15"/>
  <c r="M196" i="15"/>
  <c r="M353" i="15"/>
  <c r="M289" i="15"/>
  <c r="M328" i="15"/>
  <c r="M227" i="15"/>
  <c r="M299" i="15"/>
  <c r="M434" i="15"/>
  <c r="M182" i="15"/>
  <c r="M335" i="15"/>
  <c r="M280" i="15"/>
  <c r="M401" i="15"/>
  <c r="M243" i="15"/>
  <c r="M180" i="15"/>
  <c r="M318" i="15"/>
  <c r="M331" i="15"/>
  <c r="M321" i="15"/>
  <c r="M197" i="15"/>
  <c r="M444" i="15"/>
  <c r="M337" i="15"/>
  <c r="M305" i="15"/>
  <c r="M187" i="15"/>
  <c r="M205" i="15"/>
  <c r="M190" i="15"/>
  <c r="M75" i="15"/>
  <c r="M341" i="15"/>
  <c r="M177" i="15"/>
  <c r="M345" i="15"/>
  <c r="M332" i="15"/>
  <c r="M310" i="15"/>
  <c r="M297" i="15"/>
  <c r="M181" i="15"/>
  <c r="M207" i="15"/>
  <c r="M80" i="15"/>
  <c r="M198" i="15"/>
  <c r="M386" i="15"/>
  <c r="M327" i="15"/>
  <c r="M336" i="15"/>
  <c r="M228" i="15"/>
  <c r="M81" i="15"/>
  <c r="M176" i="15"/>
  <c r="M218" i="15"/>
  <c r="M191" i="15"/>
  <c r="M247" i="15"/>
  <c r="M441" i="15"/>
  <c r="M259" i="15"/>
  <c r="M273" i="15"/>
  <c r="M216" i="15"/>
  <c r="M248" i="15"/>
  <c r="M284" i="15"/>
  <c r="M231" i="15"/>
  <c r="M76" i="15"/>
  <c r="M258" i="15"/>
  <c r="M200" i="15"/>
  <c r="M281" i="15"/>
  <c r="M435" i="15"/>
  <c r="M443" i="15"/>
  <c r="M354" i="15"/>
  <c r="M348" i="15"/>
  <c r="M255" i="15"/>
  <c r="M183" i="15"/>
  <c r="M316" i="15"/>
  <c r="M324" i="15"/>
  <c r="M370" i="15"/>
  <c r="M202" i="15"/>
  <c r="M285" i="15"/>
  <c r="M325" i="15"/>
  <c r="M265" i="15"/>
  <c r="M357" i="15"/>
  <c r="M220" i="15"/>
  <c r="M313" i="15"/>
  <c r="M260" i="15"/>
  <c r="M244" i="15"/>
  <c r="M210" i="15"/>
  <c r="M322" i="15"/>
  <c r="M203" i="15"/>
  <c r="M300" i="15"/>
  <c r="M343" i="15"/>
  <c r="M185" i="15"/>
  <c r="M364" i="15"/>
  <c r="M339" i="15"/>
  <c r="M61" i="15"/>
  <c r="M212" i="15"/>
  <c r="M156" i="15"/>
  <c r="M379" i="15"/>
  <c r="M254" i="15"/>
  <c r="M340" i="15"/>
  <c r="M320" i="15"/>
  <c r="M294" i="15"/>
  <c r="M438" i="15"/>
  <c r="M246" i="15"/>
  <c r="M442" i="15"/>
  <c r="M371" i="15"/>
  <c r="M211" i="15"/>
  <c r="M126" i="15"/>
  <c r="M292" i="15"/>
  <c r="M279" i="15"/>
  <c r="M338" i="15"/>
  <c r="M199" i="15"/>
  <c r="M326" i="15"/>
  <c r="M350" i="15"/>
  <c r="M436" i="15"/>
  <c r="M298" i="15"/>
  <c r="M186" i="15"/>
  <c r="M295" i="15"/>
  <c r="M206" i="15"/>
  <c r="M221" i="15"/>
  <c r="M306" i="15"/>
  <c r="M288" i="15"/>
  <c r="M329" i="15"/>
  <c r="M433" i="15"/>
  <c r="M188" i="15"/>
  <c r="M214" i="15"/>
  <c r="M344" i="15"/>
  <c r="M388" i="15"/>
  <c r="M230" i="15"/>
  <c r="M358" i="15"/>
  <c r="M384" i="15"/>
  <c r="M317" i="15"/>
  <c r="M342" i="15"/>
  <c r="M303" i="15"/>
  <c r="M290" i="15"/>
  <c r="M439" i="15"/>
  <c r="M440" i="15"/>
  <c r="M213" i="15"/>
  <c r="M215" i="15"/>
  <c r="M256" i="15"/>
  <c r="M217" i="15"/>
  <c r="M268" i="15"/>
  <c r="M232" i="15"/>
  <c r="M355" i="15"/>
  <c r="M301" i="15"/>
  <c r="M157" i="15"/>
  <c r="M266" i="15"/>
  <c r="M189" i="15"/>
  <c r="M208" i="15"/>
  <c r="M381" i="15"/>
  <c r="M127" i="15"/>
  <c r="M222" i="15"/>
  <c r="M365" i="15"/>
  <c r="M378" i="15"/>
  <c r="M274" i="15"/>
  <c r="M356" i="15"/>
  <c r="M352" i="15"/>
  <c r="M219" i="15"/>
  <c r="M359" i="15"/>
  <c r="M264" i="15"/>
  <c r="M360" i="15"/>
  <c r="M437" i="15"/>
  <c r="M201" i="15"/>
  <c r="M311" i="15"/>
  <c r="M380" i="15"/>
  <c r="M296" i="15"/>
  <c r="M385" i="15"/>
  <c r="M304" i="15"/>
  <c r="M382" i="15"/>
  <c r="M209" i="15"/>
  <c r="M387" i="15"/>
  <c r="M302" i="15"/>
  <c r="M389" i="15"/>
  <c r="M374" i="15"/>
  <c r="M4" i="15"/>
  <c r="M390" i="15"/>
  <c r="M351" i="15"/>
  <c r="M263" i="15"/>
  <c r="M262" i="15"/>
  <c r="M261" i="15"/>
  <c r="M383" i="15"/>
  <c r="M37" i="15"/>
  <c r="M38" i="15"/>
  <c r="M39" i="15"/>
  <c r="M5" i="15"/>
  <c r="M25" i="15"/>
  <c r="M6" i="15"/>
  <c r="M26" i="15"/>
  <c r="M27" i="15"/>
  <c r="M40" i="15"/>
  <c r="M28" i="15"/>
  <c r="M7" i="15"/>
  <c r="M29" i="15"/>
  <c r="M30" i="15"/>
  <c r="M31" i="15"/>
  <c r="M8" i="15"/>
  <c r="M47" i="15"/>
  <c r="M48" i="15"/>
  <c r="M41" i="15"/>
  <c r="M52" i="15"/>
  <c r="M42" i="15"/>
  <c r="M32" i="15"/>
  <c r="M43" i="15"/>
  <c r="M44" i="15"/>
  <c r="M53" i="15"/>
  <c r="M49" i="15"/>
  <c r="M9" i="15"/>
  <c r="M10" i="15"/>
  <c r="M11" i="15"/>
  <c r="M50" i="15"/>
  <c r="M33" i="15"/>
  <c r="M34" i="15"/>
  <c r="M35" i="15"/>
  <c r="M54" i="15"/>
  <c r="M55" i="15"/>
  <c r="M56" i="15"/>
  <c r="M60" i="15"/>
  <c r="M57" i="15"/>
  <c r="M45" i="15"/>
  <c r="M12" i="15"/>
  <c r="M51" i="15"/>
  <c r="M46" i="15"/>
  <c r="M1" i="15"/>
  <c r="M58" i="15"/>
  <c r="M13" i="15"/>
  <c r="M14" i="15"/>
  <c r="M2" i="15"/>
  <c r="M36" i="15"/>
  <c r="M15" i="15"/>
  <c r="M16" i="15"/>
  <c r="M17" i="15"/>
  <c r="M18" i="15"/>
  <c r="M3" i="15"/>
  <c r="M59" i="15"/>
  <c r="M403" i="15"/>
  <c r="M97" i="15"/>
  <c r="M418" i="15"/>
  <c r="M151" i="15"/>
  <c r="M179" i="15"/>
  <c r="M165" i="15"/>
  <c r="M67" i="15"/>
  <c r="M173" i="15"/>
  <c r="M155" i="15"/>
  <c r="M129" i="15"/>
  <c r="M421" i="15"/>
  <c r="M103" i="15"/>
  <c r="M94" i="15"/>
  <c r="M73" i="15"/>
  <c r="M116" i="15"/>
  <c r="M139" i="15"/>
  <c r="M269" i="15"/>
  <c r="M145" i="15"/>
  <c r="M82" i="15"/>
  <c r="M90" i="15"/>
  <c r="M168" i="15"/>
  <c r="M120" i="15"/>
  <c r="M422" i="15"/>
  <c r="M170" i="15"/>
  <c r="M132" i="15"/>
  <c r="M107" i="15"/>
  <c r="M426" i="15"/>
  <c r="M393" i="15"/>
  <c r="M223" i="15"/>
  <c r="M62" i="15"/>
  <c r="M372" i="15"/>
  <c r="M233" i="15"/>
  <c r="M307" i="15"/>
  <c r="M77" i="15"/>
  <c r="M192" i="15"/>
  <c r="M366" i="15"/>
  <c r="M250" i="15"/>
  <c r="M158" i="15"/>
  <c r="M193" i="15"/>
  <c r="M282" i="15"/>
  <c r="M275" i="15"/>
  <c r="M224" i="15"/>
  <c r="M361" i="15"/>
  <c r="M270" i="15"/>
  <c r="M367" i="15"/>
  <c r="M234" i="15"/>
  <c r="M375" i="15"/>
  <c r="M346" i="15"/>
  <c r="M429" i="15"/>
  <c r="M101" i="15"/>
  <c r="M114" i="15"/>
  <c r="M423" i="15"/>
  <c r="M169" i="15"/>
  <c r="M92" i="15"/>
  <c r="M98" i="15"/>
  <c r="M417" i="15"/>
  <c r="M416" i="15"/>
  <c r="M68" i="15"/>
  <c r="M411" i="15"/>
  <c r="M174" i="15"/>
  <c r="M140" i="15"/>
  <c r="M74" i="15"/>
  <c r="M271" i="15"/>
  <c r="M117" i="15"/>
  <c r="M146" i="15"/>
  <c r="M95" i="15"/>
  <c r="M251" i="15"/>
  <c r="M133" i="15"/>
  <c r="M91" i="15"/>
  <c r="M407" i="15"/>
  <c r="M171" i="15"/>
  <c r="M121" i="15"/>
  <c r="M409" i="15"/>
  <c r="M108" i="15"/>
  <c r="M427" i="15"/>
  <c r="M63" i="15"/>
  <c r="M373" i="15"/>
  <c r="M130" i="15"/>
  <c r="M225" i="15"/>
  <c r="M104" i="15"/>
  <c r="M78" i="15"/>
  <c r="M235" i="15"/>
  <c r="M226" i="15"/>
  <c r="M308" i="15"/>
  <c r="M194" i="15"/>
  <c r="M252" i="15"/>
  <c r="M159" i="15"/>
  <c r="M195" i="15"/>
  <c r="M79" i="15"/>
  <c r="M368" i="15"/>
  <c r="M283" i="15"/>
  <c r="M276" i="15"/>
  <c r="M362" i="15"/>
  <c r="M272" i="15"/>
  <c r="M369" i="15"/>
  <c r="M236" i="15"/>
  <c r="M376" i="15"/>
  <c r="M347" i="15"/>
  <c r="M109" i="15"/>
  <c r="M152" i="15"/>
  <c r="M147" i="15"/>
  <c r="M141" i="15"/>
  <c r="M99" i="15"/>
  <c r="M84" i="15"/>
  <c r="M122" i="15"/>
  <c r="M134" i="15"/>
  <c r="M64" i="15"/>
  <c r="M363" i="15"/>
  <c r="M377" i="15"/>
  <c r="M160" i="15"/>
  <c r="M237" i="15"/>
  <c r="M238" i="15"/>
  <c r="M135" i="15"/>
  <c r="M153" i="15"/>
  <c r="M161" i="15"/>
  <c r="M239" i="15"/>
  <c r="M123" i="15"/>
  <c r="M136" i="15"/>
  <c r="M148" i="15"/>
  <c r="M142" i="15"/>
  <c r="M110" i="15"/>
  <c r="M124" i="15"/>
  <c r="M149" i="15"/>
  <c r="M111" i="15"/>
  <c r="M85" i="15"/>
  <c r="M65" i="15"/>
  <c r="M240" i="15"/>
  <c r="M112" i="15"/>
  <c r="M143" i="15"/>
  <c r="M137" i="15"/>
  <c r="M125" i="15"/>
  <c r="M241" i="15"/>
  <c r="M162" i="15"/>
  <c r="M242" i="15"/>
  <c r="M19" i="15"/>
  <c r="M20" i="15"/>
  <c r="M21" i="15"/>
  <c r="M22" i="15"/>
  <c r="M23" i="15"/>
  <c r="M24" i="15"/>
  <c r="M404" i="15"/>
  <c r="B202" i="7" l="1"/>
  <c r="C498" i="7"/>
  <c r="B498" i="7"/>
  <c r="B227" i="7"/>
  <c r="B280" i="7"/>
  <c r="G88" i="6" l="1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AZ34" i="6" s="1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223" i="6"/>
  <c r="G222" i="6"/>
  <c r="G219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AO206" i="6" s="1"/>
  <c r="G205" i="6"/>
  <c r="G204" i="6"/>
  <c r="G203" i="6"/>
  <c r="G202" i="6"/>
  <c r="G201" i="6"/>
  <c r="G200" i="6"/>
  <c r="G199" i="6"/>
  <c r="G198" i="6"/>
  <c r="G197" i="6"/>
  <c r="G196" i="6"/>
  <c r="G195" i="6"/>
  <c r="G194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BG173" i="6" s="1"/>
  <c r="G172" i="6"/>
  <c r="G171" i="6"/>
  <c r="G170" i="6"/>
  <c r="G169" i="6"/>
  <c r="G168" i="6"/>
  <c r="G167" i="6"/>
  <c r="G166" i="6"/>
  <c r="BI166" i="6" s="1"/>
  <c r="BI372" i="6" s="1"/>
  <c r="G165" i="6"/>
  <c r="G164" i="6"/>
  <c r="G163" i="6"/>
  <c r="G162" i="6"/>
  <c r="G161" i="6"/>
  <c r="G160" i="6"/>
  <c r="G159" i="6"/>
  <c r="G158" i="6"/>
  <c r="G157" i="6"/>
  <c r="G156" i="6"/>
  <c r="G155" i="6"/>
  <c r="G154" i="6"/>
  <c r="CG154" i="6" s="1"/>
  <c r="G153" i="6"/>
  <c r="AU153" i="6" s="1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306" i="6"/>
  <c r="G304" i="6"/>
  <c r="G303" i="6"/>
  <c r="G302" i="6"/>
  <c r="G301" i="6"/>
  <c r="G300" i="6"/>
  <c r="G299" i="6"/>
  <c r="G298" i="6"/>
  <c r="G297" i="6"/>
  <c r="G296" i="6"/>
  <c r="BZ296" i="6" s="1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AV282" i="6" s="1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P266" i="6" s="1"/>
  <c r="G265" i="6"/>
  <c r="G264" i="6"/>
  <c r="G263" i="6"/>
  <c r="G262" i="6"/>
  <c r="G261" i="6"/>
  <c r="G260" i="6"/>
  <c r="G259" i="6"/>
  <c r="G258" i="6"/>
  <c r="BE258" i="6" s="1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S245" i="6" s="1"/>
  <c r="G244" i="6"/>
  <c r="G243" i="6"/>
  <c r="G242" i="6"/>
  <c r="G241" i="6"/>
  <c r="G240" i="6"/>
  <c r="G239" i="6"/>
  <c r="G238" i="6"/>
  <c r="G237" i="6"/>
  <c r="G236" i="6"/>
  <c r="G235" i="6"/>
  <c r="G234" i="6"/>
  <c r="CX234" i="6" s="1"/>
  <c r="G233" i="6"/>
  <c r="G232" i="6"/>
  <c r="CX232" i="6" s="1"/>
  <c r="G231" i="6"/>
  <c r="G230" i="6"/>
  <c r="G229" i="6"/>
  <c r="CH229" i="6" s="1"/>
  <c r="G228" i="6"/>
  <c r="G349" i="6"/>
  <c r="G348" i="6"/>
  <c r="G347" i="6"/>
  <c r="G346" i="6"/>
  <c r="CY346" i="6" s="1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51" i="6"/>
  <c r="G350" i="6"/>
  <c r="DU354" i="6"/>
  <c r="BH132" i="6"/>
  <c r="BH372" i="6" s="1"/>
  <c r="DM237" i="6"/>
  <c r="BX296" i="6"/>
  <c r="BL189" i="6"/>
  <c r="BY278" i="6" l="1"/>
  <c r="AO278" i="6"/>
  <c r="T288" i="6"/>
  <c r="AP288" i="6"/>
  <c r="BI375" i="6"/>
  <c r="BI378" i="6" s="1"/>
  <c r="BH375" i="6"/>
  <c r="BH378" i="6" s="1"/>
  <c r="E89" i="14"/>
  <c r="E31" i="14"/>
  <c r="E168" i="14"/>
  <c r="E138" i="14"/>
  <c r="E162" i="14"/>
  <c r="E165" i="14"/>
  <c r="E147" i="14"/>
  <c r="E119" i="14"/>
  <c r="E103" i="14"/>
  <c r="E331" i="14" s="1"/>
  <c r="BY136" i="6"/>
  <c r="BU38" i="6"/>
  <c r="K461" i="3"/>
  <c r="W219" i="6"/>
  <c r="DR219" i="6" s="1"/>
  <c r="DS219" i="6" s="1"/>
  <c r="CK304" i="6"/>
  <c r="DR304" i="6" s="1"/>
  <c r="DS304" i="6" s="1"/>
  <c r="F31" i="2"/>
  <c r="D6263" i="5"/>
  <c r="D3128" i="5"/>
  <c r="Q461" i="3" l="1"/>
  <c r="BH388" i="6"/>
  <c r="I23" i="3"/>
  <c r="C227" i="7" s="1"/>
  <c r="BI388" i="6"/>
  <c r="I675" i="3"/>
  <c r="C280" i="7" s="1"/>
  <c r="F32" i="2"/>
  <c r="F6" i="1" s="1"/>
  <c r="L160" i="13"/>
  <c r="L82" i="13"/>
  <c r="L81" i="13"/>
  <c r="M70" i="13"/>
  <c r="L70" i="13"/>
  <c r="L68" i="13"/>
  <c r="L67" i="13"/>
  <c r="L66" i="13"/>
  <c r="L65" i="13"/>
  <c r="L64" i="13"/>
  <c r="L55" i="13"/>
  <c r="L49" i="13"/>
  <c r="L47" i="13"/>
  <c r="L46" i="13"/>
  <c r="L45" i="13"/>
  <c r="L43" i="13"/>
  <c r="L42" i="13"/>
  <c r="L40" i="13"/>
  <c r="L39" i="13"/>
  <c r="L38" i="13"/>
  <c r="L30" i="13"/>
  <c r="L22" i="13"/>
  <c r="D1702" i="5"/>
  <c r="L62" i="13"/>
  <c r="L63" i="13"/>
  <c r="L74" i="13"/>
  <c r="L11" i="13"/>
  <c r="L75" i="13"/>
  <c r="L157" i="13"/>
  <c r="L158" i="13"/>
  <c r="L29" i="13"/>
  <c r="L52" i="13"/>
  <c r="L51" i="13"/>
  <c r="L159" i="13"/>
  <c r="L69" i="13"/>
  <c r="L73" i="13"/>
  <c r="L71" i="13"/>
  <c r="L19" i="13"/>
  <c r="L20" i="13"/>
  <c r="L9" i="13"/>
  <c r="L83" i="13"/>
  <c r="L27" i="13"/>
  <c r="L6" i="13"/>
  <c r="D4837" i="5"/>
  <c r="M66" i="13"/>
  <c r="M65" i="13"/>
  <c r="M68" i="13"/>
  <c r="M64" i="13"/>
  <c r="M61" i="13"/>
  <c r="M67" i="13"/>
  <c r="D4920" i="5"/>
  <c r="D6357" i="5"/>
  <c r="M43" i="13"/>
  <c r="M42" i="13"/>
  <c r="M30" i="13"/>
  <c r="M45" i="13"/>
  <c r="M39" i="13"/>
  <c r="M47" i="13"/>
  <c r="M55" i="13"/>
  <c r="M46" i="13"/>
  <c r="M40" i="13"/>
  <c r="M49" i="13"/>
  <c r="M38" i="13"/>
  <c r="M81" i="13"/>
  <c r="M27" i="13"/>
  <c r="M83" i="13"/>
  <c r="M9" i="13"/>
  <c r="M20" i="13"/>
  <c r="M19" i="13"/>
  <c r="M71" i="13"/>
  <c r="M73" i="13"/>
  <c r="M74" i="13"/>
  <c r="M69" i="13"/>
  <c r="M84" i="13"/>
  <c r="M159" i="13"/>
  <c r="M51" i="13"/>
  <c r="M52" i="13"/>
  <c r="M29" i="13"/>
  <c r="M156" i="13"/>
  <c r="M158" i="13"/>
  <c r="M157" i="13"/>
  <c r="M75" i="13"/>
  <c r="M63" i="13"/>
  <c r="M62" i="13"/>
  <c r="M6" i="13"/>
  <c r="D22" i="5" l="1"/>
  <c r="D4514" i="5" l="1"/>
  <c r="D4507" i="5"/>
  <c r="D4516" i="5"/>
  <c r="BA217" i="6"/>
  <c r="DR217" i="6" l="1"/>
  <c r="DS217" i="6" s="1"/>
  <c r="BU195" i="6"/>
  <c r="BU168" i="6"/>
  <c r="BG303" i="6"/>
  <c r="J2252" i="5"/>
  <c r="D2252" i="5"/>
  <c r="B500" i="7"/>
  <c r="B499" i="7"/>
  <c r="B168" i="7"/>
  <c r="B167" i="7"/>
  <c r="D66" i="7"/>
  <c r="B66" i="7"/>
  <c r="D1" i="7"/>
  <c r="D2" i="7"/>
  <c r="B408" i="7" l="1"/>
  <c r="B407" i="7"/>
  <c r="B359" i="7"/>
  <c r="I462" i="3" l="1"/>
  <c r="K462" i="3" l="1"/>
  <c r="Q462" i="3" s="1"/>
  <c r="C499" i="7"/>
  <c r="BD216" i="6"/>
  <c r="DR216" i="6" s="1"/>
  <c r="DS216" i="6" s="1"/>
  <c r="BD252" i="6"/>
  <c r="CP137" i="6"/>
  <c r="DO350" i="6" l="1"/>
  <c r="DR350" i="6" s="1"/>
  <c r="DS350" i="6" s="1"/>
  <c r="BU148" i="6"/>
  <c r="BU138" i="6"/>
  <c r="BU203" i="6"/>
  <c r="BU171" i="6"/>
  <c r="BZ147" i="6"/>
  <c r="AZ71" i="6"/>
  <c r="I937" i="3"/>
  <c r="H3598" i="5"/>
  <c r="H3597" i="5"/>
  <c r="H3596" i="5"/>
  <c r="H3595" i="5"/>
  <c r="H3594" i="5"/>
  <c r="H3593" i="5"/>
  <c r="H3592" i="5"/>
  <c r="H3591" i="5"/>
  <c r="H3590" i="5"/>
  <c r="H3589" i="5"/>
  <c r="H3588" i="5"/>
  <c r="H3587" i="5"/>
  <c r="H3586" i="5"/>
  <c r="H3585" i="5"/>
  <c r="H3584" i="5"/>
  <c r="H3583" i="5"/>
  <c r="H3582" i="5"/>
  <c r="H3581" i="5"/>
  <c r="H3580" i="5"/>
  <c r="H3579" i="5"/>
  <c r="H3578" i="5"/>
  <c r="H3577" i="5"/>
  <c r="H3576" i="5"/>
  <c r="H3575" i="5"/>
  <c r="H3574" i="5"/>
  <c r="H3573" i="5"/>
  <c r="H3572" i="5"/>
  <c r="H3571" i="5"/>
  <c r="E3562" i="5"/>
  <c r="D3562" i="5"/>
  <c r="D3563" i="5" l="1"/>
  <c r="I909" i="3"/>
  <c r="E3563" i="5"/>
  <c r="I919" i="3"/>
  <c r="J22" i="5"/>
  <c r="K919" i="3" l="1"/>
  <c r="Q919" i="3" s="1"/>
  <c r="C408" i="7"/>
  <c r="K909" i="3"/>
  <c r="Q909" i="3" s="1"/>
  <c r="C407" i="7"/>
  <c r="J112" i="13"/>
  <c r="J58" i="13"/>
  <c r="J56" i="13"/>
  <c r="J41" i="13"/>
  <c r="J36" i="13"/>
  <c r="J162" i="13" l="1"/>
  <c r="D1899" i="5"/>
  <c r="I92" i="13" s="1"/>
  <c r="K92" i="13" s="1"/>
  <c r="D50" i="5"/>
  <c r="I6" i="13" s="1"/>
  <c r="K6" i="13" s="1"/>
  <c r="E334" i="12"/>
  <c r="E311" i="12"/>
  <c r="E308" i="12"/>
  <c r="E296" i="12"/>
  <c r="E249" i="12"/>
  <c r="E186" i="12"/>
  <c r="E183" i="12"/>
  <c r="E176" i="12"/>
  <c r="E169" i="12"/>
  <c r="E162" i="12"/>
  <c r="E74" i="12"/>
  <c r="E20" i="12"/>
  <c r="Q306" i="6"/>
  <c r="BU223" i="6"/>
  <c r="CA222" i="6"/>
  <c r="CY351" i="6"/>
  <c r="DR351" i="6" s="1"/>
  <c r="DS351" i="6" s="1"/>
  <c r="G352" i="6"/>
  <c r="BK113" i="6"/>
  <c r="E335" i="12" l="1"/>
  <c r="DC338" i="6"/>
  <c r="CY326" i="6"/>
  <c r="DR326" i="6" s="1"/>
  <c r="DS326" i="6" s="1"/>
  <c r="DR288" i="6"/>
  <c r="DS288" i="6" s="1"/>
  <c r="DR338" i="6"/>
  <c r="DS338" i="6" s="1"/>
  <c r="DR195" i="6"/>
  <c r="DS195" i="6" s="1"/>
  <c r="AZ161" i="6"/>
  <c r="DR161" i="6" s="1"/>
  <c r="DS161" i="6" s="1"/>
  <c r="DR168" i="6"/>
  <c r="DS168" i="6" s="1"/>
  <c r="CS158" i="6"/>
  <c r="DR158" i="6" s="1"/>
  <c r="DS158" i="6" s="1"/>
  <c r="BN299" i="6"/>
  <c r="DR299" i="6" s="1"/>
  <c r="DS299" i="6" s="1"/>
  <c r="BU213" i="6"/>
  <c r="DR213" i="6" s="1"/>
  <c r="DS213" i="6" s="1"/>
  <c r="AZ212" i="6" l="1"/>
  <c r="DR212" i="6" s="1"/>
  <c r="DS212" i="6" s="1"/>
  <c r="R259" i="6"/>
  <c r="BK261" i="6"/>
  <c r="BK254" i="6"/>
  <c r="BK209" i="6"/>
  <c r="AR176" i="6"/>
  <c r="BK156" i="6"/>
  <c r="AZ145" i="6"/>
  <c r="DR145" i="6" s="1"/>
  <c r="DS145" i="6" s="1"/>
  <c r="BL116" i="6"/>
  <c r="DR116" i="6" s="1"/>
  <c r="DS116" i="6" s="1"/>
  <c r="BL167" i="6"/>
  <c r="DR167" i="6" s="1"/>
  <c r="DS167" i="6" s="1"/>
  <c r="V121" i="6" l="1"/>
  <c r="CQ113" i="6"/>
  <c r="BU56" i="6"/>
  <c r="BU58" i="6"/>
  <c r="AY115" i="6" l="1"/>
  <c r="AZ123" i="6"/>
  <c r="BK123" i="6"/>
  <c r="D6602" i="5"/>
  <c r="AP83" i="6"/>
  <c r="AP372" i="6" s="1"/>
  <c r="AP375" i="6" s="1"/>
  <c r="N78" i="6"/>
  <c r="I61" i="4" l="1"/>
  <c r="K61" i="4" s="1"/>
  <c r="I156" i="13"/>
  <c r="K156" i="13" s="1"/>
  <c r="I359" i="3"/>
  <c r="C167" i="7" s="1"/>
  <c r="AP378" i="6"/>
  <c r="BX72" i="6"/>
  <c r="M40" i="6"/>
  <c r="BC81" i="6"/>
  <c r="CF73" i="6"/>
  <c r="BE73" i="6"/>
  <c r="AZ45" i="6"/>
  <c r="AT245" i="6"/>
  <c r="S14" i="6"/>
  <c r="T13" i="6"/>
  <c r="I360" i="3" l="1"/>
  <c r="AP388" i="6"/>
  <c r="AZ31" i="6"/>
  <c r="K360" i="3" l="1"/>
  <c r="Q360" i="3" s="1"/>
  <c r="C168" i="7"/>
  <c r="AZ27" i="6"/>
  <c r="AZ26" i="6"/>
  <c r="K1835" i="5"/>
  <c r="D3979" i="5"/>
  <c r="F3767" i="5"/>
  <c r="D2007" i="5"/>
  <c r="D1992" i="5"/>
  <c r="D1991" i="5"/>
  <c r="D4150" i="5"/>
  <c r="D4161" i="5"/>
  <c r="D4162" i="5"/>
  <c r="D4160" i="5"/>
  <c r="D4153" i="5"/>
  <c r="D4152" i="5"/>
  <c r="D4151" i="5"/>
  <c r="D4146" i="5"/>
  <c r="D4145" i="5"/>
  <c r="D4141" i="5"/>
  <c r="D4138" i="5"/>
  <c r="O101" i="6" l="1"/>
  <c r="Q108" i="6"/>
  <c r="O139" i="6"/>
  <c r="P143" i="6"/>
  <c r="O233" i="6"/>
  <c r="O242" i="6"/>
  <c r="O244" i="6"/>
  <c r="J3320" i="5"/>
  <c r="D3320" i="5"/>
  <c r="DR385" i="6"/>
  <c r="I82" i="3" l="1"/>
  <c r="I116" i="13"/>
  <c r="K116" i="13" s="1"/>
  <c r="G385" i="6"/>
  <c r="I99" i="4"/>
  <c r="G224" i="6"/>
  <c r="G89" i="6"/>
  <c r="J83" i="4"/>
  <c r="J3731" i="5"/>
  <c r="D2148" i="5"/>
  <c r="D2054" i="5"/>
  <c r="I124" i="13" s="1"/>
  <c r="K124" i="13" s="1"/>
  <c r="H4250" i="5" l="1"/>
  <c r="H4249" i="5"/>
  <c r="H4248" i="5"/>
  <c r="H4247" i="5"/>
  <c r="H4246" i="5"/>
  <c r="H4245" i="5"/>
  <c r="H4244" i="5"/>
  <c r="H4243" i="5"/>
  <c r="H4242" i="5"/>
  <c r="H4241" i="5"/>
  <c r="H4240" i="5"/>
  <c r="H4239" i="5"/>
  <c r="H4238" i="5"/>
  <c r="H4237" i="5"/>
  <c r="H4236" i="5"/>
  <c r="H4235" i="5"/>
  <c r="H4234" i="5"/>
  <c r="H4233" i="5"/>
  <c r="H4232" i="5"/>
  <c r="H4231" i="5"/>
  <c r="H4230" i="5"/>
  <c r="H4229" i="5"/>
  <c r="H4228" i="5"/>
  <c r="H4227" i="5"/>
  <c r="H4226" i="5"/>
  <c r="H4225" i="5"/>
  <c r="H4224" i="5"/>
  <c r="H4223" i="5"/>
  <c r="H4222" i="5"/>
  <c r="H4221" i="5"/>
  <c r="I112" i="4"/>
  <c r="J111" i="4"/>
  <c r="J97" i="4"/>
  <c r="J89" i="4"/>
  <c r="J84" i="4"/>
  <c r="D4129" i="5"/>
  <c r="M929" i="3"/>
  <c r="D5653" i="5" l="1"/>
  <c r="D5654" i="5" s="1"/>
  <c r="F3787" i="5"/>
  <c r="F3786" i="5"/>
  <c r="F3785" i="5"/>
  <c r="F3784" i="5"/>
  <c r="F3783" i="5"/>
  <c r="F3782" i="5"/>
  <c r="F3781" i="5"/>
  <c r="F3780" i="5"/>
  <c r="F3779" i="5"/>
  <c r="F3778" i="5"/>
  <c r="F3777" i="5"/>
  <c r="F3776" i="5"/>
  <c r="F3775" i="5"/>
  <c r="F3774" i="5"/>
  <c r="F3773" i="5"/>
  <c r="F3772" i="5"/>
  <c r="F3771" i="5"/>
  <c r="F3770" i="5"/>
  <c r="F3769" i="5"/>
  <c r="F3768" i="5"/>
  <c r="F3766" i="5"/>
  <c r="F3765" i="5"/>
  <c r="F3764" i="5"/>
  <c r="F3763" i="5"/>
  <c r="F3750" i="5"/>
  <c r="F3749" i="5"/>
  <c r="F3748" i="5"/>
  <c r="F3747" i="5"/>
  <c r="F3746" i="5"/>
  <c r="F3745" i="5"/>
  <c r="F3744" i="5"/>
  <c r="F3743" i="5"/>
  <c r="F3742" i="5"/>
  <c r="F3741" i="5"/>
  <c r="F3740" i="5"/>
  <c r="F3739" i="5"/>
  <c r="F3738" i="5"/>
  <c r="F3737" i="5"/>
  <c r="F3736" i="5"/>
  <c r="F3735" i="5"/>
  <c r="F3734" i="5"/>
  <c r="F3733" i="5"/>
  <c r="F3732" i="5"/>
  <c r="F3731" i="5"/>
  <c r="F3730" i="5"/>
  <c r="J6668" i="5"/>
  <c r="J6657" i="5"/>
  <c r="J6641" i="5"/>
  <c r="J6642" i="5" s="1"/>
  <c r="J6578" i="5"/>
  <c r="J6579" i="5" s="1"/>
  <c r="J6538" i="5"/>
  <c r="J6539" i="5" s="1"/>
  <c r="N6538" i="5"/>
  <c r="N6539" i="5" s="1"/>
  <c r="L6538" i="5"/>
  <c r="L6539" i="5" s="1"/>
  <c r="K6538" i="5"/>
  <c r="K6539" i="5" s="1"/>
  <c r="J6499" i="5"/>
  <c r="J6500" i="5" s="1"/>
  <c r="L6499" i="5"/>
  <c r="L6500" i="5" s="1"/>
  <c r="K6499" i="5"/>
  <c r="K6500" i="5" s="1"/>
  <c r="J6460" i="5"/>
  <c r="N6460" i="5"/>
  <c r="L6460" i="5"/>
  <c r="K6460" i="5"/>
  <c r="J6435" i="5"/>
  <c r="N6435" i="5"/>
  <c r="L6435" i="5"/>
  <c r="K6435" i="5"/>
  <c r="J6410" i="5"/>
  <c r="J6399" i="5"/>
  <c r="J6387" i="5"/>
  <c r="J6357" i="5"/>
  <c r="J6306" i="5"/>
  <c r="J6263" i="5"/>
  <c r="J6219" i="5"/>
  <c r="K6177" i="5"/>
  <c r="J6141" i="5"/>
  <c r="L6138" i="5"/>
  <c r="L6141" i="5" s="1"/>
  <c r="K6138" i="5"/>
  <c r="K6141" i="5" s="1"/>
  <c r="J6130" i="5"/>
  <c r="J6089" i="5"/>
  <c r="J6048" i="5"/>
  <c r="J6049" i="5" s="1"/>
  <c r="J6007" i="5"/>
  <c r="J6008" i="5" s="1"/>
  <c r="J5965" i="5"/>
  <c r="J5966" i="5" s="1"/>
  <c r="J5923" i="5"/>
  <c r="J5924" i="5" s="1"/>
  <c r="J5880" i="5"/>
  <c r="J5881" i="5" s="1"/>
  <c r="L5880" i="5"/>
  <c r="L5881" i="5" s="1"/>
  <c r="K5880" i="5"/>
  <c r="K5881" i="5" s="1"/>
  <c r="J5843" i="5"/>
  <c r="J5844" i="5" s="1"/>
  <c r="N5843" i="5"/>
  <c r="N5844" i="5" s="1"/>
  <c r="L5843" i="5"/>
  <c r="L5844" i="5" s="1"/>
  <c r="K5843" i="5"/>
  <c r="K5844" i="5" s="1"/>
  <c r="J5805" i="5"/>
  <c r="J5806" i="5" s="1"/>
  <c r="N5805" i="5"/>
  <c r="N5806" i="5" s="1"/>
  <c r="L5805" i="5"/>
  <c r="L5806" i="5" s="1"/>
  <c r="K5805" i="5"/>
  <c r="K5806" i="5" s="1"/>
  <c r="J5767" i="5"/>
  <c r="J5768" i="5" s="1"/>
  <c r="L5767" i="5"/>
  <c r="K5767" i="5"/>
  <c r="K5768" i="5" s="1"/>
  <c r="J5729" i="5"/>
  <c r="J5730" i="5" s="1"/>
  <c r="N5729" i="5"/>
  <c r="N5730" i="5" s="1"/>
  <c r="L5729" i="5"/>
  <c r="L5730" i="5" s="1"/>
  <c r="K5729" i="5"/>
  <c r="K5730" i="5" s="1"/>
  <c r="J5691" i="5"/>
  <c r="J5692" i="5" s="1"/>
  <c r="N5691" i="5"/>
  <c r="N5692" i="5" s="1"/>
  <c r="L5691" i="5"/>
  <c r="L5692" i="5" s="1"/>
  <c r="K5691" i="5"/>
  <c r="K5692" i="5" s="1"/>
  <c r="J5653" i="5"/>
  <c r="J5654" i="5" s="1"/>
  <c r="K5653" i="5"/>
  <c r="K5654" i="5" s="1"/>
  <c r="J5615" i="5"/>
  <c r="J5616" i="5" s="1"/>
  <c r="N5615" i="5"/>
  <c r="N5616" i="5" s="1"/>
  <c r="L5615" i="5"/>
  <c r="L5616" i="5" s="1"/>
  <c r="K5615" i="5"/>
  <c r="K5616" i="5" s="1"/>
  <c r="K5576" i="5"/>
  <c r="K5577" i="5" s="1"/>
  <c r="J5540" i="5"/>
  <c r="J5541" i="5" s="1"/>
  <c r="N5540" i="5"/>
  <c r="N5541" i="5" s="1"/>
  <c r="L5540" i="5"/>
  <c r="L5541" i="5" s="1"/>
  <c r="K5540" i="5"/>
  <c r="K5541" i="5" s="1"/>
  <c r="J5502" i="5"/>
  <c r="J5503" i="5" s="1"/>
  <c r="K5502" i="5"/>
  <c r="K5503" i="5" s="1"/>
  <c r="J5465" i="5"/>
  <c r="J5466" i="5" s="1"/>
  <c r="N5465" i="5"/>
  <c r="N5466" i="5" s="1"/>
  <c r="L5465" i="5"/>
  <c r="L5466" i="5" s="1"/>
  <c r="K5465" i="5"/>
  <c r="K5466" i="5" s="1"/>
  <c r="J5427" i="5"/>
  <c r="J5396" i="5"/>
  <c r="J5363" i="5"/>
  <c r="J5341" i="5"/>
  <c r="J5310" i="5"/>
  <c r="J5283" i="5"/>
  <c r="J5256" i="5"/>
  <c r="J5226" i="5"/>
  <c r="J5195" i="5"/>
  <c r="J5173" i="5"/>
  <c r="J5144" i="5"/>
  <c r="J5146" i="5" s="1"/>
  <c r="J5131" i="5"/>
  <c r="J5111" i="5"/>
  <c r="J5112" i="5" s="1"/>
  <c r="J5075" i="5"/>
  <c r="J5076" i="5" s="1"/>
  <c r="J5045" i="5"/>
  <c r="J5046" i="5" s="1"/>
  <c r="J5007" i="5"/>
  <c r="J5009" i="5" s="1"/>
  <c r="J4979" i="5"/>
  <c r="J4980" i="5" s="1"/>
  <c r="J4951" i="5"/>
  <c r="J4952" i="5" s="1"/>
  <c r="J4920" i="5"/>
  <c r="J4921" i="5" s="1"/>
  <c r="J4889" i="5"/>
  <c r="J4890" i="5" s="1"/>
  <c r="J4866" i="5"/>
  <c r="J4867" i="5" s="1"/>
  <c r="J4837" i="5"/>
  <c r="J4838" i="5" s="1"/>
  <c r="J4799" i="5"/>
  <c r="J4780" i="5"/>
  <c r="J4757" i="5"/>
  <c r="J4758" i="5" s="1"/>
  <c r="N4757" i="5"/>
  <c r="N4758" i="5" s="1"/>
  <c r="L4757" i="5"/>
  <c r="L4758" i="5" s="1"/>
  <c r="K4757" i="5"/>
  <c r="K4758" i="5" s="1"/>
  <c r="J4731" i="5"/>
  <c r="J4730" i="5"/>
  <c r="L4730" i="5"/>
  <c r="L4734" i="5" s="1"/>
  <c r="K4730" i="5"/>
  <c r="K4734" i="5" s="1"/>
  <c r="J4718" i="5"/>
  <c r="L4718" i="5"/>
  <c r="K4718" i="5"/>
  <c r="J4690" i="5"/>
  <c r="L4690" i="5"/>
  <c r="K4690" i="5"/>
  <c r="J4662" i="5"/>
  <c r="L4662" i="5"/>
  <c r="K4662" i="5"/>
  <c r="J4648" i="5"/>
  <c r="J4649" i="5" s="1"/>
  <c r="J4619" i="5"/>
  <c r="J4620" i="5" s="1"/>
  <c r="J4590" i="5"/>
  <c r="J4591" i="5" s="1"/>
  <c r="J4548" i="5"/>
  <c r="J4549" i="5" s="1"/>
  <c r="J4519" i="5"/>
  <c r="J4520" i="5" s="1"/>
  <c r="J4494" i="5"/>
  <c r="J4495" i="5" s="1"/>
  <c r="J4465" i="5"/>
  <c r="J4454" i="5"/>
  <c r="J4437" i="5"/>
  <c r="J4438" i="5" s="1"/>
  <c r="J4411" i="5"/>
  <c r="J4412" i="5" s="1"/>
  <c r="J4385" i="5"/>
  <c r="J4386" i="5" s="1"/>
  <c r="J4359" i="5"/>
  <c r="J4360" i="5" s="1"/>
  <c r="J4333" i="5"/>
  <c r="J4334" i="5" s="1"/>
  <c r="J4307" i="5"/>
  <c r="J4308" i="5" s="1"/>
  <c r="J4280" i="5"/>
  <c r="J4281" i="5" s="1"/>
  <c r="N4252" i="5"/>
  <c r="N4253" i="5" s="1"/>
  <c r="L4252" i="5"/>
  <c r="L4253" i="5" s="1"/>
  <c r="K4252" i="5"/>
  <c r="K4253" i="5" s="1"/>
  <c r="J4252" i="5"/>
  <c r="J4253" i="5" s="1"/>
  <c r="J4176" i="5"/>
  <c r="J4210" i="5" s="1"/>
  <c r="J4211" i="5" s="1"/>
  <c r="L4167" i="5"/>
  <c r="J4167" i="5"/>
  <c r="K4129" i="5"/>
  <c r="K4130" i="5" s="1"/>
  <c r="J4125" i="5"/>
  <c r="J4129" i="5" s="1"/>
  <c r="J4130" i="5" s="1"/>
  <c r="K4092" i="5"/>
  <c r="J4092" i="5"/>
  <c r="J4059" i="5"/>
  <c r="J4025" i="5"/>
  <c r="J3993" i="5"/>
  <c r="J3956" i="5"/>
  <c r="J3922" i="5"/>
  <c r="K3885" i="5"/>
  <c r="J3885" i="5"/>
  <c r="J3850" i="5"/>
  <c r="J3819" i="5"/>
  <c r="L3791" i="5"/>
  <c r="K3791" i="5"/>
  <c r="J3791" i="5"/>
  <c r="K3753" i="5"/>
  <c r="J3753" i="5"/>
  <c r="L3731" i="5"/>
  <c r="L3753" i="5" s="1"/>
  <c r="K3722" i="5"/>
  <c r="J3722" i="5"/>
  <c r="L3719" i="5"/>
  <c r="L3718" i="5"/>
  <c r="L3717" i="5"/>
  <c r="L3716" i="5"/>
  <c r="L3715" i="5"/>
  <c r="L3714" i="5"/>
  <c r="L3713" i="5"/>
  <c r="L3712" i="5"/>
  <c r="L3711" i="5"/>
  <c r="L3710" i="5"/>
  <c r="L3709" i="5"/>
  <c r="L3708" i="5"/>
  <c r="L3707" i="5"/>
  <c r="L3706" i="5"/>
  <c r="L3705" i="5"/>
  <c r="L3704" i="5"/>
  <c r="L3703" i="5"/>
  <c r="L3702" i="5"/>
  <c r="L3701" i="5"/>
  <c r="L3700" i="5"/>
  <c r="L3699" i="5"/>
  <c r="L3698" i="5"/>
  <c r="L3697" i="5"/>
  <c r="L3696" i="5"/>
  <c r="L3695" i="5"/>
  <c r="L3694" i="5"/>
  <c r="J3685" i="5"/>
  <c r="J3686" i="5" s="1"/>
  <c r="J3668" i="5"/>
  <c r="J3669" i="5" s="1"/>
  <c r="K3640" i="5"/>
  <c r="K3641" i="5" s="1"/>
  <c r="J3640" i="5"/>
  <c r="J3641" i="5" s="1"/>
  <c r="L3611" i="5"/>
  <c r="L3640" i="5" s="1"/>
  <c r="L3641" i="5" s="1"/>
  <c r="J4734" i="5" l="1"/>
  <c r="L3722" i="5"/>
  <c r="M3600" i="5"/>
  <c r="M3601" i="5" s="1"/>
  <c r="L3600" i="5"/>
  <c r="L3601" i="5" s="1"/>
  <c r="K3600" i="5"/>
  <c r="K3601" i="5" s="1"/>
  <c r="J3600" i="5"/>
  <c r="N3598" i="5"/>
  <c r="N3597" i="5"/>
  <c r="N3596" i="5"/>
  <c r="N3595" i="5"/>
  <c r="N3594" i="5"/>
  <c r="N3593" i="5"/>
  <c r="N3592" i="5"/>
  <c r="N3591" i="5"/>
  <c r="N3590" i="5"/>
  <c r="N3589" i="5"/>
  <c r="N3588" i="5"/>
  <c r="N3587" i="5"/>
  <c r="N3586" i="5"/>
  <c r="N3585" i="5"/>
  <c r="N3584" i="5"/>
  <c r="N3583" i="5"/>
  <c r="N3582" i="5"/>
  <c r="N3581" i="5"/>
  <c r="N3580" i="5"/>
  <c r="N3579" i="5"/>
  <c r="N3578" i="5"/>
  <c r="N3577" i="5"/>
  <c r="N3576" i="5"/>
  <c r="N3575" i="5"/>
  <c r="N3574" i="5"/>
  <c r="N3573" i="5"/>
  <c r="N3572" i="5"/>
  <c r="N3571" i="5"/>
  <c r="J3524" i="5"/>
  <c r="L3499" i="5"/>
  <c r="K3499" i="5"/>
  <c r="J3499" i="5"/>
  <c r="N3470" i="5"/>
  <c r="L3470" i="5"/>
  <c r="K3470" i="5"/>
  <c r="J3470" i="5"/>
  <c r="J3435" i="5"/>
  <c r="J3436" i="5" s="1"/>
  <c r="J3390" i="5"/>
  <c r="J3391" i="5" s="1"/>
  <c r="J3343" i="5"/>
  <c r="J3291" i="5"/>
  <c r="J3266" i="5"/>
  <c r="L3241" i="5"/>
  <c r="K3241" i="5"/>
  <c r="J3241" i="5"/>
  <c r="J3215" i="5"/>
  <c r="J3185" i="5"/>
  <c r="J3158" i="5"/>
  <c r="J3131" i="5"/>
  <c r="L3096" i="5"/>
  <c r="K3096" i="5"/>
  <c r="J3096" i="5"/>
  <c r="J3076" i="5"/>
  <c r="N3039" i="5"/>
  <c r="L3039" i="5"/>
  <c r="K3039" i="5"/>
  <c r="J3039" i="5"/>
  <c r="J3009" i="5"/>
  <c r="J2982" i="5"/>
  <c r="N2962" i="5"/>
  <c r="L2962" i="5"/>
  <c r="K2962" i="5"/>
  <c r="J2962" i="5"/>
  <c r="N2921" i="5"/>
  <c r="L2921" i="5"/>
  <c r="K2921" i="5"/>
  <c r="J2921" i="5"/>
  <c r="N2879" i="5"/>
  <c r="L2879" i="5"/>
  <c r="K2879" i="5"/>
  <c r="J2879" i="5"/>
  <c r="N2831" i="5"/>
  <c r="L2831" i="5"/>
  <c r="K2831" i="5"/>
  <c r="J2831" i="5"/>
  <c r="N2790" i="5"/>
  <c r="L2790" i="5"/>
  <c r="K2790" i="5"/>
  <c r="J2790" i="5"/>
  <c r="N2748" i="5"/>
  <c r="L2748" i="5"/>
  <c r="K2748" i="5"/>
  <c r="J2748" i="5"/>
  <c r="N2702" i="5"/>
  <c r="L2702" i="5"/>
  <c r="K2702" i="5"/>
  <c r="J2702" i="5"/>
  <c r="N2656" i="5"/>
  <c r="L2656" i="5"/>
  <c r="K2656" i="5"/>
  <c r="J2656" i="5"/>
  <c r="N2614" i="5"/>
  <c r="L2614" i="5"/>
  <c r="K2614" i="5"/>
  <c r="J2614" i="5"/>
  <c r="N2573" i="5"/>
  <c r="L2573" i="5"/>
  <c r="K2573" i="5"/>
  <c r="J2573" i="5"/>
  <c r="N2533" i="5"/>
  <c r="L2533" i="5"/>
  <c r="K2533" i="5"/>
  <c r="J2533" i="5"/>
  <c r="N2491" i="5"/>
  <c r="M2491" i="5"/>
  <c r="L2491" i="5"/>
  <c r="K2491" i="5"/>
  <c r="J2491" i="5"/>
  <c r="N2443" i="5"/>
  <c r="L2443" i="5"/>
  <c r="K2443" i="5"/>
  <c r="J2443" i="5"/>
  <c r="N2407" i="5"/>
  <c r="L2407" i="5"/>
  <c r="K2407" i="5"/>
  <c r="J2407" i="5"/>
  <c r="J2369" i="5"/>
  <c r="J2348" i="5"/>
  <c r="J2310" i="5"/>
  <c r="J2283" i="5"/>
  <c r="J2220" i="5"/>
  <c r="J2209" i="5"/>
  <c r="N2188" i="5"/>
  <c r="L2188" i="5"/>
  <c r="K2188" i="5"/>
  <c r="J2188" i="5"/>
  <c r="N2148" i="5"/>
  <c r="L2148" i="5"/>
  <c r="K2148" i="5"/>
  <c r="J2148" i="5"/>
  <c r="N3600" i="5" l="1"/>
  <c r="N3601" i="5" s="1"/>
  <c r="J3601" i="5"/>
  <c r="J2122" i="5"/>
  <c r="J2095" i="5"/>
  <c r="J2079" i="5"/>
  <c r="J2054" i="5"/>
  <c r="J2016" i="5"/>
  <c r="J2007" i="5"/>
  <c r="J2006" i="5"/>
  <c r="J1999" i="5"/>
  <c r="J1992" i="5"/>
  <c r="J1991" i="5"/>
  <c r="J1980" i="5"/>
  <c r="J1953" i="5"/>
  <c r="J1932" i="5"/>
  <c r="J1899" i="5"/>
  <c r="K1863" i="5"/>
  <c r="J1863" i="5"/>
  <c r="J1835" i="5"/>
  <c r="J1791" i="5"/>
  <c r="J1758" i="5"/>
  <c r="J1748" i="5"/>
  <c r="J1749" i="5" s="1"/>
  <c r="J1724" i="5"/>
  <c r="J1713" i="5"/>
  <c r="J1702" i="5"/>
  <c r="J1691" i="5"/>
  <c r="J1678" i="5"/>
  <c r="J1665" i="5"/>
  <c r="J1631" i="5"/>
  <c r="K1604" i="5"/>
  <c r="K1605" i="5" s="1"/>
  <c r="J1604" i="5"/>
  <c r="J1572" i="5"/>
  <c r="J1573" i="5" s="1"/>
  <c r="J1538" i="5"/>
  <c r="J1539" i="5" s="1"/>
  <c r="J1517" i="5"/>
  <c r="J1518" i="5" s="1"/>
  <c r="J1486" i="5"/>
  <c r="J1475" i="5"/>
  <c r="J1457" i="5"/>
  <c r="J1458" i="5" s="1"/>
  <c r="J1441" i="5"/>
  <c r="J1429" i="5"/>
  <c r="J1414" i="5"/>
  <c r="J1391" i="5"/>
  <c r="J1367" i="5"/>
  <c r="J1355" i="5"/>
  <c r="J1343" i="5"/>
  <c r="J1331" i="5"/>
  <c r="J1332" i="5" s="1"/>
  <c r="J1298" i="5"/>
  <c r="J1299" i="5" s="1"/>
  <c r="J1265" i="5"/>
  <c r="J1266" i="5" s="1"/>
  <c r="J1234" i="5"/>
  <c r="J1235" i="5" s="1"/>
  <c r="J1202" i="5"/>
  <c r="J1173" i="5"/>
  <c r="J1174" i="5" s="1"/>
  <c r="D330" i="5"/>
  <c r="D332" i="5" s="1"/>
  <c r="J477" i="5"/>
  <c r="J478" i="5" s="1"/>
  <c r="J435" i="5"/>
  <c r="J436" i="5" s="1"/>
  <c r="J400" i="5"/>
  <c r="J401" i="5" s="1"/>
  <c r="J359" i="5"/>
  <c r="J360" i="5" s="1"/>
  <c r="J330" i="5"/>
  <c r="J332" i="5" s="1"/>
  <c r="J303" i="5"/>
  <c r="J272" i="5"/>
  <c r="J250" i="5"/>
  <c r="J251" i="5" s="1"/>
  <c r="J214" i="5"/>
  <c r="J215" i="5" s="1"/>
  <c r="J179" i="5"/>
  <c r="J144" i="5"/>
  <c r="J145" i="5" s="1"/>
  <c r="J106" i="5"/>
  <c r="J107" i="5" s="1"/>
  <c r="J76" i="5"/>
  <c r="J77" i="5" s="1"/>
  <c r="J50" i="5"/>
  <c r="J23" i="5"/>
  <c r="N1136" i="5"/>
  <c r="L1136" i="5"/>
  <c r="K1136" i="5"/>
  <c r="J1136" i="5"/>
  <c r="N1093" i="5"/>
  <c r="L1093" i="5"/>
  <c r="K1093" i="5"/>
  <c r="J1093" i="5"/>
  <c r="N1050" i="5"/>
  <c r="L1050" i="5"/>
  <c r="K1050" i="5"/>
  <c r="J1050" i="5"/>
  <c r="N1007" i="5"/>
  <c r="L1007" i="5"/>
  <c r="K1007" i="5"/>
  <c r="J1007" i="5"/>
  <c r="N963" i="5"/>
  <c r="L963" i="5"/>
  <c r="K963" i="5"/>
  <c r="J963" i="5"/>
  <c r="N918" i="5"/>
  <c r="L918" i="5"/>
  <c r="K918" i="5"/>
  <c r="J918" i="5"/>
  <c r="N874" i="5"/>
  <c r="L874" i="5"/>
  <c r="K874" i="5"/>
  <c r="J874" i="5"/>
  <c r="N830" i="5"/>
  <c r="L830" i="5"/>
  <c r="K830" i="5"/>
  <c r="J830" i="5"/>
  <c r="N786" i="5"/>
  <c r="L786" i="5"/>
  <c r="K786" i="5"/>
  <c r="J786" i="5"/>
  <c r="N741" i="5"/>
  <c r="L741" i="5"/>
  <c r="K741" i="5"/>
  <c r="J741" i="5"/>
  <c r="N697" i="5"/>
  <c r="L697" i="5"/>
  <c r="K697" i="5"/>
  <c r="J697" i="5"/>
  <c r="N654" i="5"/>
  <c r="L654" i="5"/>
  <c r="K654" i="5"/>
  <c r="J654" i="5"/>
  <c r="N611" i="5"/>
  <c r="L611" i="5"/>
  <c r="K611" i="5"/>
  <c r="J611" i="5"/>
  <c r="N567" i="5"/>
  <c r="L567" i="5"/>
  <c r="K567" i="5"/>
  <c r="J567" i="5"/>
  <c r="N522" i="5"/>
  <c r="L522" i="5"/>
  <c r="K522" i="5"/>
  <c r="J522" i="5"/>
  <c r="I39" i="13" l="1"/>
  <c r="K39" i="13" s="1"/>
  <c r="J51" i="5"/>
  <c r="J1605" i="5"/>
  <c r="J2021" i="5"/>
  <c r="P1" i="5" s="1"/>
  <c r="I463" i="3"/>
  <c r="B40" i="7"/>
  <c r="B453" i="7"/>
  <c r="K463" i="3" l="1"/>
  <c r="Q463" i="3" s="1"/>
  <c r="C500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B1" i="7"/>
  <c r="D47" i="7"/>
  <c r="D32" i="7"/>
  <c r="D31" i="7"/>
  <c r="D30" i="7" l="1"/>
  <c r="J22" i="2"/>
  <c r="AS274" i="6"/>
  <c r="AJ162" i="6"/>
  <c r="DR162" i="6" s="1"/>
  <c r="DS162" i="6" s="1"/>
  <c r="AJ175" i="6"/>
  <c r="AJ180" i="6"/>
  <c r="AS202" i="6"/>
  <c r="AJ97" i="6"/>
  <c r="O293" i="6" l="1"/>
  <c r="CS301" i="6"/>
  <c r="CA280" i="6" l="1"/>
  <c r="CP141" i="6" l="1"/>
  <c r="AU286" i="6"/>
  <c r="AY276" i="6"/>
  <c r="DR276" i="6" s="1"/>
  <c r="DS276" i="6" s="1"/>
  <c r="M281" i="6"/>
  <c r="CK289" i="6"/>
  <c r="BK279" i="6"/>
  <c r="AZ191" i="6"/>
  <c r="AY302" i="6"/>
  <c r="CH300" i="6"/>
  <c r="CK295" i="6"/>
  <c r="BM294" i="6"/>
  <c r="N292" i="6"/>
  <c r="O292" i="6"/>
  <c r="CP290" i="6"/>
  <c r="O287" i="6"/>
  <c r="BC285" i="6"/>
  <c r="AL284" i="6"/>
  <c r="BF275" i="6"/>
  <c r="CH235" i="6"/>
  <c r="BR238" i="6"/>
  <c r="I80" i="13"/>
  <c r="K80" i="13" s="1"/>
  <c r="D6657" i="5"/>
  <c r="I5" i="13" s="1"/>
  <c r="K5" i="13" s="1"/>
  <c r="I325" i="3" l="1"/>
  <c r="C73" i="7" s="1"/>
  <c r="I130" i="4"/>
  <c r="K130" i="4" s="1"/>
  <c r="I402" i="3"/>
  <c r="C88" i="7" s="1"/>
  <c r="I46" i="4"/>
  <c r="K46" i="4" s="1"/>
  <c r="K402" i="3"/>
  <c r="Q402" i="3" s="1"/>
  <c r="CS159" i="6"/>
  <c r="DR159" i="6" s="1"/>
  <c r="DS159" i="6" s="1"/>
  <c r="G2491" i="5"/>
  <c r="I572" i="3" s="1"/>
  <c r="D1631" i="5"/>
  <c r="I422" i="3"/>
  <c r="I421" i="3"/>
  <c r="C202" i="7" s="1"/>
  <c r="I420" i="3"/>
  <c r="C201" i="7" s="1"/>
  <c r="D1691" i="5"/>
  <c r="I22" i="13" s="1"/>
  <c r="K22" i="13" s="1"/>
  <c r="G3600" i="5"/>
  <c r="I808" i="3" s="1"/>
  <c r="AT372" i="6"/>
  <c r="D6578" i="5"/>
  <c r="D6579" i="5" s="1"/>
  <c r="I84" i="13" s="1"/>
  <c r="K84" i="13" s="1"/>
  <c r="I460" i="3"/>
  <c r="C359" i="7" l="1"/>
  <c r="K808" i="3"/>
  <c r="Q808" i="3" s="1"/>
  <c r="I25" i="4"/>
  <c r="I63" i="13"/>
  <c r="K63" i="13" s="1"/>
  <c r="D4838" i="5"/>
  <c r="K326" i="3"/>
  <c r="Q326" i="3" s="1"/>
  <c r="I348" i="3"/>
  <c r="C86" i="7" s="1"/>
  <c r="I48" i="4"/>
  <c r="K48" i="4" s="1"/>
  <c r="K572" i="3"/>
  <c r="Q572" i="3" s="1"/>
  <c r="C261" i="7"/>
  <c r="K422" i="3"/>
  <c r="AT375" i="6"/>
  <c r="AT378" i="6" s="1"/>
  <c r="G3601" i="5"/>
  <c r="I110" i="13" l="1"/>
  <c r="K110" i="13" s="1"/>
  <c r="I87" i="4"/>
  <c r="I349" i="3"/>
  <c r="C87" i="7" s="1"/>
  <c r="AT388" i="6"/>
  <c r="K349" i="3" l="1"/>
  <c r="Q349" i="3" s="1"/>
  <c r="AZ54" i="6"/>
  <c r="D6641" i="5" l="1"/>
  <c r="D6642" i="5" s="1"/>
  <c r="I113" i="13" s="1"/>
  <c r="K113" i="13" s="1"/>
  <c r="I25" i="3" l="1"/>
  <c r="C228" i="7" s="1"/>
  <c r="I92" i="4"/>
  <c r="K92" i="4" s="1"/>
  <c r="D1791" i="5"/>
  <c r="I151" i="13" s="1"/>
  <c r="K151" i="13" s="1"/>
  <c r="D1234" i="5"/>
  <c r="D1265" i="5"/>
  <c r="I157" i="13" s="1"/>
  <c r="K157" i="13" s="1"/>
  <c r="DR223" i="6"/>
  <c r="DS223" i="6" s="1"/>
  <c r="J96" i="2"/>
  <c r="K25" i="3" l="1"/>
  <c r="Q25" i="3" s="1"/>
  <c r="D1235" i="5"/>
  <c r="I75" i="13"/>
  <c r="K75" i="13" s="1"/>
  <c r="J84" i="2"/>
  <c r="CZ332" i="6" l="1"/>
  <c r="DR332" i="6" s="1"/>
  <c r="DS332" i="6" s="1"/>
  <c r="CA291" i="6" l="1"/>
  <c r="R283" i="6"/>
  <c r="CI277" i="6"/>
  <c r="CP263" i="6"/>
  <c r="DR259" i="6"/>
  <c r="DS259" i="6" s="1"/>
  <c r="CF258" i="6"/>
  <c r="AZ208" i="6"/>
  <c r="BJ187" i="6"/>
  <c r="CH187" i="6"/>
  <c r="AZ135" i="6"/>
  <c r="R133" i="6"/>
  <c r="CP122" i="6"/>
  <c r="Z298" i="6"/>
  <c r="DR298" i="6" s="1"/>
  <c r="DS298" i="6" s="1"/>
  <c r="CL297" i="6"/>
  <c r="DR297" i="6" s="1"/>
  <c r="DS297" i="6" s="1"/>
  <c r="BU210" i="6"/>
  <c r="DR210" i="6" s="1"/>
  <c r="DS210" i="6" s="1"/>
  <c r="X150" i="6" l="1"/>
  <c r="DR150" i="6" s="1"/>
  <c r="DS150" i="6" s="1"/>
  <c r="BW260" i="6"/>
  <c r="BV260" i="6"/>
  <c r="DI255" i="6"/>
  <c r="DR255" i="6" s="1"/>
  <c r="DS255" i="6" s="1"/>
  <c r="CY320" i="6"/>
  <c r="DI127" i="6"/>
  <c r="DR127" i="6" s="1"/>
  <c r="DS127" i="6" s="1"/>
  <c r="DA318" i="6"/>
  <c r="BU107" i="6"/>
  <c r="DR107" i="6" s="1"/>
  <c r="DS107" i="6" s="1"/>
  <c r="R270" i="6"/>
  <c r="CR269" i="6"/>
  <c r="AF269" i="6"/>
  <c r="AS253" i="6"/>
  <c r="AZ21" i="6"/>
  <c r="DR21" i="6" s="1"/>
  <c r="DS21" i="6" s="1"/>
  <c r="U201" i="6"/>
  <c r="DR108" i="6"/>
  <c r="DS108" i="6" s="1"/>
  <c r="CV172" i="6"/>
  <c r="U165" i="6"/>
  <c r="DR165" i="6" s="1"/>
  <c r="DS165" i="6" s="1"/>
  <c r="DF143" i="6"/>
  <c r="AY124" i="6"/>
  <c r="CA103" i="6"/>
  <c r="CK103" i="6"/>
  <c r="BU30" i="6"/>
  <c r="AZ30" i="6"/>
  <c r="CL121" i="6"/>
  <c r="DR176" i="6" l="1"/>
  <c r="DS176" i="6" s="1"/>
  <c r="E741" i="5"/>
  <c r="F741" i="5"/>
  <c r="H741" i="5"/>
  <c r="D741" i="5"/>
  <c r="E697" i="5"/>
  <c r="F697" i="5"/>
  <c r="H697" i="5"/>
  <c r="D697" i="5"/>
  <c r="E654" i="5"/>
  <c r="F654" i="5"/>
  <c r="H654" i="5"/>
  <c r="D654" i="5"/>
  <c r="E611" i="5"/>
  <c r="F611" i="5"/>
  <c r="H611" i="5"/>
  <c r="D611" i="5"/>
  <c r="E567" i="5"/>
  <c r="F567" i="5"/>
  <c r="H567" i="5"/>
  <c r="D567" i="5"/>
  <c r="E522" i="5"/>
  <c r="F522" i="5"/>
  <c r="H522" i="5"/>
  <c r="D522" i="5"/>
  <c r="DR383" i="6"/>
  <c r="DP372" i="6"/>
  <c r="DP378" i="6" s="1"/>
  <c r="DN372" i="6"/>
  <c r="DN375" i="6" s="1"/>
  <c r="DN378" i="6" s="1"/>
  <c r="DM372" i="6"/>
  <c r="DL372" i="6"/>
  <c r="DL375" i="6" s="1"/>
  <c r="DL378" i="6" s="1"/>
  <c r="DL388" i="6" s="1"/>
  <c r="DJ372" i="6"/>
  <c r="DJ375" i="6" s="1"/>
  <c r="DJ378" i="6" s="1"/>
  <c r="DJ388" i="6" s="1"/>
  <c r="DH372" i="6"/>
  <c r="DH375" i="6" s="1"/>
  <c r="DH378" i="6" s="1"/>
  <c r="DH388" i="6" s="1"/>
  <c r="CR372" i="6"/>
  <c r="CR375" i="6" s="1"/>
  <c r="CR378" i="6" s="1"/>
  <c r="CQ372" i="6"/>
  <c r="CQ378" i="6" s="1"/>
  <c r="CO372" i="6"/>
  <c r="CM372" i="6"/>
  <c r="CC372" i="6"/>
  <c r="CB372" i="6"/>
  <c r="CB375" i="6" s="1"/>
  <c r="CB378" i="6" s="1"/>
  <c r="BT372" i="6"/>
  <c r="BT375" i="6" s="1"/>
  <c r="BT378" i="6" s="1"/>
  <c r="BS372" i="6"/>
  <c r="BP372" i="6"/>
  <c r="BP375" i="6" s="1"/>
  <c r="BP378" i="6" s="1"/>
  <c r="BP388" i="6" s="1"/>
  <c r="AX372" i="6"/>
  <c r="AX375" i="6" s="1"/>
  <c r="AX378" i="6" s="1"/>
  <c r="AX388" i="6" s="1"/>
  <c r="AI372" i="6"/>
  <c r="AG372" i="6"/>
  <c r="BU368" i="6"/>
  <c r="DQ372" i="6"/>
  <c r="DQ378" i="6" s="1"/>
  <c r="G363" i="6"/>
  <c r="AZ362" i="6"/>
  <c r="DR362" i="6" s="1"/>
  <c r="AZ361" i="6"/>
  <c r="AS361" i="6"/>
  <c r="X360" i="6"/>
  <c r="DD359" i="6"/>
  <c r="X359" i="6"/>
  <c r="DR354" i="6"/>
  <c r="DC349" i="6"/>
  <c r="DR349" i="6" s="1"/>
  <c r="DS349" i="6" s="1"/>
  <c r="DC348" i="6"/>
  <c r="DR348" i="6" s="1"/>
  <c r="DS348" i="6" s="1"/>
  <c r="CZ347" i="6"/>
  <c r="DR347" i="6" s="1"/>
  <c r="DS347" i="6" s="1"/>
  <c r="DR346" i="6"/>
  <c r="DS346" i="6" s="1"/>
  <c r="DA345" i="6"/>
  <c r="DR345" i="6" s="1"/>
  <c r="DS345" i="6" s="1"/>
  <c r="DD344" i="6"/>
  <c r="DR344" i="6" s="1"/>
  <c r="DS344" i="6" s="1"/>
  <c r="CY343" i="6"/>
  <c r="DR343" i="6" s="1"/>
  <c r="DS343" i="6" s="1"/>
  <c r="CZ342" i="6"/>
  <c r="DR342" i="6" s="1"/>
  <c r="DS342" i="6" s="1"/>
  <c r="DO341" i="6"/>
  <c r="DR341" i="6" s="1"/>
  <c r="DS341" i="6" s="1"/>
  <c r="DO340" i="6"/>
  <c r="DR340" i="6" s="1"/>
  <c r="DS340" i="6" s="1"/>
  <c r="CZ339" i="6"/>
  <c r="DR339" i="6" s="1"/>
  <c r="DS339" i="6" s="1"/>
  <c r="DB337" i="6"/>
  <c r="DR337" i="6" s="1"/>
  <c r="DS337" i="6" s="1"/>
  <c r="DO336" i="6"/>
  <c r="DR336" i="6" s="1"/>
  <c r="DS336" i="6" s="1"/>
  <c r="CY335" i="6"/>
  <c r="DR335" i="6" s="1"/>
  <c r="DS335" i="6" s="1"/>
  <c r="CZ334" i="6"/>
  <c r="DR334" i="6" s="1"/>
  <c r="DS334" i="6" s="1"/>
  <c r="Q333" i="6"/>
  <c r="DR333" i="6" s="1"/>
  <c r="DS333" i="6" s="1"/>
  <c r="DB331" i="6"/>
  <c r="DR331" i="6" s="1"/>
  <c r="DS331" i="6" s="1"/>
  <c r="DB330" i="6"/>
  <c r="DR330" i="6" s="1"/>
  <c r="DS330" i="6" s="1"/>
  <c r="DG329" i="6"/>
  <c r="DG372" i="6" s="1"/>
  <c r="DD328" i="6"/>
  <c r="DR328" i="6" s="1"/>
  <c r="DS328" i="6" s="1"/>
  <c r="DB327" i="6"/>
  <c r="DR327" i="6" s="1"/>
  <c r="DS327" i="6" s="1"/>
  <c r="CZ325" i="6"/>
  <c r="DR325" i="6" s="1"/>
  <c r="DS325" i="6" s="1"/>
  <c r="DD324" i="6"/>
  <c r="DR324" i="6" s="1"/>
  <c r="DS324" i="6" s="1"/>
  <c r="DA323" i="6"/>
  <c r="DR323" i="6" s="1"/>
  <c r="DS323" i="6" s="1"/>
  <c r="CY322" i="6"/>
  <c r="DR322" i="6" s="1"/>
  <c r="DS322" i="6" s="1"/>
  <c r="CY321" i="6"/>
  <c r="DR321" i="6" s="1"/>
  <c r="DS321" i="6" s="1"/>
  <c r="DR320" i="6"/>
  <c r="DS320" i="6" s="1"/>
  <c r="CZ319" i="6"/>
  <c r="DR319" i="6" s="1"/>
  <c r="DS319" i="6" s="1"/>
  <c r="CZ317" i="6"/>
  <c r="DR317" i="6" s="1"/>
  <c r="DS317" i="6" s="1"/>
  <c r="CY316" i="6"/>
  <c r="DR316" i="6" s="1"/>
  <c r="DS316" i="6" s="1"/>
  <c r="CZ315" i="6"/>
  <c r="DR315" i="6" s="1"/>
  <c r="DS315" i="6" s="1"/>
  <c r="CY314" i="6"/>
  <c r="DA313" i="6"/>
  <c r="DC312" i="6"/>
  <c r="DO311" i="6"/>
  <c r="DR311" i="6" s="1"/>
  <c r="DS311" i="6" s="1"/>
  <c r="G307" i="6"/>
  <c r="BW372" i="6"/>
  <c r="DR306" i="6"/>
  <c r="DS306" i="6" s="1"/>
  <c r="DR234" i="6"/>
  <c r="DS234" i="6" s="1"/>
  <c r="CT372" i="6"/>
  <c r="DR303" i="6"/>
  <c r="DS303" i="6" s="1"/>
  <c r="BM372" i="6"/>
  <c r="DR301" i="6"/>
  <c r="DS301" i="6" s="1"/>
  <c r="DR296" i="6"/>
  <c r="DS296" i="6" s="1"/>
  <c r="DR295" i="6"/>
  <c r="DS295" i="6" s="1"/>
  <c r="DR294" i="6"/>
  <c r="DS294" i="6" s="1"/>
  <c r="DR293" i="6"/>
  <c r="DS293" i="6" s="1"/>
  <c r="AU372" i="6"/>
  <c r="DR291" i="6"/>
  <c r="DS291" i="6" s="1"/>
  <c r="DR290" i="6"/>
  <c r="DS290" i="6" s="1"/>
  <c r="AL372" i="6"/>
  <c r="DR287" i="6"/>
  <c r="DS287" i="6" s="1"/>
  <c r="AV372" i="6"/>
  <c r="DR285" i="6"/>
  <c r="DS285" i="6" s="1"/>
  <c r="AM372" i="6"/>
  <c r="DR284" i="6"/>
  <c r="DS284" i="6" s="1"/>
  <c r="DR283" i="6"/>
  <c r="DS283" i="6" s="1"/>
  <c r="DR282" i="6"/>
  <c r="DS282" i="6" s="1"/>
  <c r="BA372" i="6"/>
  <c r="DR279" i="6"/>
  <c r="DS279" i="6" s="1"/>
  <c r="DR278" i="6"/>
  <c r="DS278" i="6" s="1"/>
  <c r="DR277" i="6"/>
  <c r="DS277" i="6" s="1"/>
  <c r="DR275" i="6"/>
  <c r="DS275" i="6" s="1"/>
  <c r="DR274" i="6"/>
  <c r="DS274" i="6" s="1"/>
  <c r="CJ273" i="6"/>
  <c r="CJ372" i="6" s="1"/>
  <c r="BN372" i="6"/>
  <c r="BQ272" i="6"/>
  <c r="BQ372" i="6" s="1"/>
  <c r="CH271" i="6"/>
  <c r="DR271" i="6" s="1"/>
  <c r="DS271" i="6" s="1"/>
  <c r="DR270" i="6"/>
  <c r="DS270" i="6" s="1"/>
  <c r="DR269" i="6"/>
  <c r="DS269" i="6" s="1"/>
  <c r="O268" i="6"/>
  <c r="DR268" i="6" s="1"/>
  <c r="DS268" i="6" s="1"/>
  <c r="CN267" i="6"/>
  <c r="AN267" i="6"/>
  <c r="AN372" i="6" s="1"/>
  <c r="P372" i="6"/>
  <c r="P375" i="6" s="1"/>
  <c r="O266" i="6"/>
  <c r="R265" i="6"/>
  <c r="DR265" i="6" s="1"/>
  <c r="DS265" i="6" s="1"/>
  <c r="BE264" i="6"/>
  <c r="DR264" i="6" s="1"/>
  <c r="DS264" i="6" s="1"/>
  <c r="DR263" i="6"/>
  <c r="DS263" i="6" s="1"/>
  <c r="O262" i="6"/>
  <c r="DR262" i="6" s="1"/>
  <c r="DS262" i="6" s="1"/>
  <c r="DR261" i="6"/>
  <c r="DS261" i="6" s="1"/>
  <c r="DR260" i="6"/>
  <c r="DS260" i="6" s="1"/>
  <c r="CE257" i="6"/>
  <c r="BF257" i="6"/>
  <c r="CW256" i="6"/>
  <c r="DR256" i="6" s="1"/>
  <c r="DS256" i="6" s="1"/>
  <c r="DR254" i="6"/>
  <c r="DS254" i="6" s="1"/>
  <c r="DR253" i="6"/>
  <c r="DS253" i="6" s="1"/>
  <c r="DR252" i="6"/>
  <c r="DS252" i="6" s="1"/>
  <c r="DD251" i="6"/>
  <c r="DR251" i="6" s="1"/>
  <c r="DS251" i="6" s="1"/>
  <c r="AH250" i="6"/>
  <c r="DR250" i="6" s="1"/>
  <c r="DS250" i="6" s="1"/>
  <c r="DD249" i="6"/>
  <c r="CK248" i="6"/>
  <c r="DR248" i="6" s="1"/>
  <c r="DS248" i="6" s="1"/>
  <c r="BL247" i="6"/>
  <c r="DR247" i="6" s="1"/>
  <c r="DS247" i="6" s="1"/>
  <c r="BU246" i="6"/>
  <c r="DR246" i="6" s="1"/>
  <c r="DS246" i="6" s="1"/>
  <c r="DR245" i="6"/>
  <c r="DS245" i="6" s="1"/>
  <c r="DR244" i="6"/>
  <c r="DS244" i="6" s="1"/>
  <c r="CX243" i="6"/>
  <c r="DR243" i="6" s="1"/>
  <c r="DS243" i="6" s="1"/>
  <c r="DR242" i="6"/>
  <c r="DS242" i="6" s="1"/>
  <c r="BO241" i="6"/>
  <c r="BO372" i="6" s="1"/>
  <c r="BL240" i="6"/>
  <c r="DR240" i="6" s="1"/>
  <c r="DS240" i="6" s="1"/>
  <c r="BE239" i="6"/>
  <c r="DR239" i="6" s="1"/>
  <c r="DS239" i="6" s="1"/>
  <c r="DR238" i="6"/>
  <c r="DS238" i="6" s="1"/>
  <c r="CK236" i="6"/>
  <c r="DR236" i="6" s="1"/>
  <c r="DS236" i="6" s="1"/>
  <c r="DR235" i="6"/>
  <c r="DS235" i="6" s="1"/>
  <c r="DR233" i="6"/>
  <c r="DS233" i="6" s="1"/>
  <c r="R231" i="6"/>
  <c r="DR231" i="6" s="1"/>
  <c r="DS231" i="6" s="1"/>
  <c r="X230" i="6"/>
  <c r="DR230" i="6" s="1"/>
  <c r="DS230" i="6" s="1"/>
  <c r="DR229" i="6"/>
  <c r="DS229" i="6" s="1"/>
  <c r="Y228" i="6"/>
  <c r="Y372" i="6" s="1"/>
  <c r="DK372" i="6"/>
  <c r="AZ211" i="6"/>
  <c r="DR211" i="6" s="1"/>
  <c r="DS211" i="6" s="1"/>
  <c r="DR209" i="6"/>
  <c r="DS209" i="6" s="1"/>
  <c r="DR208" i="6"/>
  <c r="DS208" i="6" s="1"/>
  <c r="BD207" i="6"/>
  <c r="DR207" i="6" s="1"/>
  <c r="DS207" i="6" s="1"/>
  <c r="AQ372" i="6"/>
  <c r="AZ205" i="6"/>
  <c r="DR205" i="6" s="1"/>
  <c r="DS205" i="6" s="1"/>
  <c r="DI204" i="6"/>
  <c r="DR204" i="6" s="1"/>
  <c r="DS204" i="6" s="1"/>
  <c r="DR203" i="6"/>
  <c r="DS203" i="6" s="1"/>
  <c r="DR202" i="6"/>
  <c r="DS202" i="6" s="1"/>
  <c r="DR201" i="6"/>
  <c r="DS201" i="6" s="1"/>
  <c r="DO199" i="6"/>
  <c r="AZ198" i="6"/>
  <c r="DR198" i="6" s="1"/>
  <c r="DS198" i="6" s="1"/>
  <c r="AZ197" i="6"/>
  <c r="DR197" i="6" s="1"/>
  <c r="DS197" i="6" s="1"/>
  <c r="CA194" i="6"/>
  <c r="DR194" i="6" s="1"/>
  <c r="DS194" i="6" s="1"/>
  <c r="CN192" i="6"/>
  <c r="DR192" i="6" s="1"/>
  <c r="DS192" i="6" s="1"/>
  <c r="AD190" i="6"/>
  <c r="AD372" i="6" s="1"/>
  <c r="DR189" i="6"/>
  <c r="DS189" i="6" s="1"/>
  <c r="DR156" i="6"/>
  <c r="DS156" i="6" s="1"/>
  <c r="CK188" i="6"/>
  <c r="DR188" i="6" s="1"/>
  <c r="DS188" i="6" s="1"/>
  <c r="AA372" i="6"/>
  <c r="DR187" i="6"/>
  <c r="DS187" i="6" s="1"/>
  <c r="DI185" i="6"/>
  <c r="DR185" i="6" s="1"/>
  <c r="DS185" i="6" s="1"/>
  <c r="CK184" i="6"/>
  <c r="DR184" i="6" s="1"/>
  <c r="DS184" i="6" s="1"/>
  <c r="CK183" i="6"/>
  <c r="DR183" i="6" s="1"/>
  <c r="DS183" i="6" s="1"/>
  <c r="CK182" i="6"/>
  <c r="DR182" i="6" s="1"/>
  <c r="DS182" i="6" s="1"/>
  <c r="AZ181" i="6"/>
  <c r="DR181" i="6" s="1"/>
  <c r="DS181" i="6" s="1"/>
  <c r="DR180" i="6"/>
  <c r="DS180" i="6" s="1"/>
  <c r="AB179" i="6"/>
  <c r="AB372" i="6" s="1"/>
  <c r="CN178" i="6"/>
  <c r="DR178" i="6" s="1"/>
  <c r="DS178" i="6" s="1"/>
  <c r="CK177" i="6"/>
  <c r="DR177" i="6" s="1"/>
  <c r="DS177" i="6" s="1"/>
  <c r="AR372" i="6"/>
  <c r="DR175" i="6"/>
  <c r="DS175" i="6" s="1"/>
  <c r="BD174" i="6"/>
  <c r="DR174" i="6" s="1"/>
  <c r="DS174" i="6" s="1"/>
  <c r="BG372" i="6"/>
  <c r="Q372" i="6"/>
  <c r="DR171" i="6"/>
  <c r="DS171" i="6" s="1"/>
  <c r="X214" i="6"/>
  <c r="DR214" i="6" s="1"/>
  <c r="DS214" i="6" s="1"/>
  <c r="X170" i="6"/>
  <c r="DR170" i="6" s="1"/>
  <c r="DS170" i="6" s="1"/>
  <c r="AZ169" i="6"/>
  <c r="DR169" i="6" s="1"/>
  <c r="DS169" i="6" s="1"/>
  <c r="AZ186" i="6"/>
  <c r="DR186" i="6" s="1"/>
  <c r="DS186" i="6" s="1"/>
  <c r="DR166" i="6"/>
  <c r="DS166" i="6" s="1"/>
  <c r="BU164" i="6"/>
  <c r="DR164" i="6" s="1"/>
  <c r="DS164" i="6" s="1"/>
  <c r="AZ163" i="6"/>
  <c r="DR163" i="6" s="1"/>
  <c r="DS163" i="6" s="1"/>
  <c r="BU160" i="6"/>
  <c r="DR160" i="6" s="1"/>
  <c r="DS160" i="6" s="1"/>
  <c r="AO157" i="6"/>
  <c r="AO372" i="6" s="1"/>
  <c r="AZ155" i="6"/>
  <c r="DR155" i="6" s="1"/>
  <c r="DS155" i="6" s="1"/>
  <c r="CG372" i="6"/>
  <c r="AK372" i="6"/>
  <c r="W152" i="6"/>
  <c r="W372" i="6" s="1"/>
  <c r="BU151" i="6"/>
  <c r="DR151" i="6" s="1"/>
  <c r="DS151" i="6" s="1"/>
  <c r="AZ149" i="6"/>
  <c r="DR149" i="6" s="1"/>
  <c r="DS149" i="6" s="1"/>
  <c r="DR148" i="6"/>
  <c r="DS148" i="6" s="1"/>
  <c r="BZ372" i="6"/>
  <c r="BR372" i="6"/>
  <c r="CH146" i="6"/>
  <c r="DR146" i="6" s="1"/>
  <c r="DS146" i="6" s="1"/>
  <c r="BU144" i="6"/>
  <c r="DR144" i="6" s="1"/>
  <c r="DS144" i="6" s="1"/>
  <c r="CV372" i="6"/>
  <c r="CK142" i="6"/>
  <c r="DR142" i="6" s="1"/>
  <c r="DS142" i="6" s="1"/>
  <c r="DR141" i="6"/>
  <c r="DS141" i="6" s="1"/>
  <c r="BU140" i="6"/>
  <c r="DR140" i="6" s="1"/>
  <c r="DS140" i="6" s="1"/>
  <c r="DR139" i="6"/>
  <c r="DS139" i="6" s="1"/>
  <c r="DR138" i="6"/>
  <c r="DS138" i="6" s="1"/>
  <c r="BX372" i="6"/>
  <c r="DR135" i="6"/>
  <c r="DS135" i="6" s="1"/>
  <c r="Z134" i="6"/>
  <c r="Z372" i="6" s="1"/>
  <c r="BU131" i="6"/>
  <c r="DR131" i="6" s="1"/>
  <c r="DS131" i="6" s="1"/>
  <c r="BF130" i="6"/>
  <c r="DR130" i="6" s="1"/>
  <c r="DS130" i="6" s="1"/>
  <c r="AZ129" i="6"/>
  <c r="DR129" i="6" s="1"/>
  <c r="DS129" i="6" s="1"/>
  <c r="BD200" i="6"/>
  <c r="DR200" i="6" s="1"/>
  <c r="DS200" i="6" s="1"/>
  <c r="CA128" i="6"/>
  <c r="AF128" i="6"/>
  <c r="AZ126" i="6"/>
  <c r="DR126" i="6" s="1"/>
  <c r="DS126" i="6" s="1"/>
  <c r="DR133" i="6"/>
  <c r="DS133" i="6" s="1"/>
  <c r="BL125" i="6"/>
  <c r="DR125" i="6" s="1"/>
  <c r="DS125" i="6" s="1"/>
  <c r="DR124" i="6"/>
  <c r="DS124" i="6" s="1"/>
  <c r="DR123" i="6"/>
  <c r="DS123" i="6" s="1"/>
  <c r="CP372" i="6"/>
  <c r="AE196" i="6"/>
  <c r="DR196" i="6" s="1"/>
  <c r="DS196" i="6" s="1"/>
  <c r="CL372" i="6"/>
  <c r="AW119" i="6"/>
  <c r="BL118" i="6"/>
  <c r="DR118" i="6" s="1"/>
  <c r="DS118" i="6" s="1"/>
  <c r="CK117" i="6"/>
  <c r="DR115" i="6"/>
  <c r="DS115" i="6" s="1"/>
  <c r="CI114" i="6"/>
  <c r="DR132" i="6"/>
  <c r="DS132" i="6" s="1"/>
  <c r="X112" i="6"/>
  <c r="DR112" i="6" s="1"/>
  <c r="DS112" i="6" s="1"/>
  <c r="CW111" i="6"/>
  <c r="BJ110" i="6"/>
  <c r="AF109" i="6"/>
  <c r="DR109" i="6" s="1"/>
  <c r="DS109" i="6" s="1"/>
  <c r="AH106" i="6"/>
  <c r="AH372" i="6" s="1"/>
  <c r="AC120" i="6"/>
  <c r="AZ105" i="6"/>
  <c r="DR105" i="6" s="1"/>
  <c r="DS105" i="6" s="1"/>
  <c r="BU104" i="6"/>
  <c r="DR104" i="6" s="1"/>
  <c r="DS104" i="6" s="1"/>
  <c r="DR103" i="6"/>
  <c r="DS103" i="6" s="1"/>
  <c r="AZ102" i="6"/>
  <c r="DR102" i="6" s="1"/>
  <c r="DS102" i="6" s="1"/>
  <c r="DR101" i="6"/>
  <c r="DS101" i="6" s="1"/>
  <c r="CU100" i="6"/>
  <c r="CN99" i="6"/>
  <c r="BV99" i="6"/>
  <c r="BV372" i="6" s="1"/>
  <c r="AZ98" i="6"/>
  <c r="DR98" i="6" s="1"/>
  <c r="DS98" i="6" s="1"/>
  <c r="X215" i="6"/>
  <c r="AZ88" i="6"/>
  <c r="DR88" i="6" s="1"/>
  <c r="DS88" i="6" s="1"/>
  <c r="AZ87" i="6"/>
  <c r="DR87" i="6" s="1"/>
  <c r="DS87" i="6" s="1"/>
  <c r="AZ86" i="6"/>
  <c r="DR86" i="6" s="1"/>
  <c r="DS86" i="6" s="1"/>
  <c r="BU85" i="6"/>
  <c r="DR85" i="6" s="1"/>
  <c r="DS85" i="6" s="1"/>
  <c r="AZ84" i="6"/>
  <c r="DR84" i="6" s="1"/>
  <c r="DS84" i="6" s="1"/>
  <c r="AZ82" i="6"/>
  <c r="DR82" i="6" s="1"/>
  <c r="DS82" i="6" s="1"/>
  <c r="CF372" i="6"/>
  <c r="AZ80" i="6"/>
  <c r="DR80" i="6" s="1"/>
  <c r="DS80" i="6" s="1"/>
  <c r="AZ79" i="6"/>
  <c r="DR79" i="6" s="1"/>
  <c r="DS79" i="6" s="1"/>
  <c r="N372" i="6"/>
  <c r="AZ77" i="6"/>
  <c r="DR77" i="6" s="1"/>
  <c r="DS77" i="6" s="1"/>
  <c r="AZ76" i="6"/>
  <c r="DR76" i="6" s="1"/>
  <c r="DS76" i="6" s="1"/>
  <c r="M372" i="6"/>
  <c r="AZ74" i="6"/>
  <c r="DR74" i="6" s="1"/>
  <c r="DS74" i="6" s="1"/>
  <c r="DR73" i="6"/>
  <c r="DS73" i="6" s="1"/>
  <c r="DR72" i="6"/>
  <c r="DS72" i="6" s="1"/>
  <c r="DR71" i="6"/>
  <c r="DS71" i="6" s="1"/>
  <c r="BU70" i="6"/>
  <c r="DR70" i="6" s="1"/>
  <c r="DS70" i="6" s="1"/>
  <c r="BU69" i="6"/>
  <c r="DR69" i="6" s="1"/>
  <c r="DS69" i="6" s="1"/>
  <c r="AZ75" i="6"/>
  <c r="DR75" i="6" s="1"/>
  <c r="DS75" i="6" s="1"/>
  <c r="AZ68" i="6"/>
  <c r="DR68" i="6" s="1"/>
  <c r="DS68" i="6" s="1"/>
  <c r="BU67" i="6"/>
  <c r="DR67" i="6" s="1"/>
  <c r="DS67" i="6" s="1"/>
  <c r="AZ66" i="6"/>
  <c r="DR66" i="6" s="1"/>
  <c r="DS66" i="6" s="1"/>
  <c r="AZ65" i="6"/>
  <c r="DR65" i="6" s="1"/>
  <c r="DS65" i="6" s="1"/>
  <c r="AZ64" i="6"/>
  <c r="DR64" i="6" s="1"/>
  <c r="DS64" i="6" s="1"/>
  <c r="AZ63" i="6"/>
  <c r="DR63" i="6" s="1"/>
  <c r="DS63" i="6" s="1"/>
  <c r="AZ62" i="6"/>
  <c r="DR62" i="6" s="1"/>
  <c r="DS62" i="6" s="1"/>
  <c r="U61" i="6"/>
  <c r="U372" i="6" s="1"/>
  <c r="AZ60" i="6"/>
  <c r="DR60" i="6" s="1"/>
  <c r="DS60" i="6" s="1"/>
  <c r="AZ59" i="6"/>
  <c r="DR59" i="6" s="1"/>
  <c r="DS59" i="6" s="1"/>
  <c r="DR58" i="6"/>
  <c r="DS58" i="6" s="1"/>
  <c r="AZ57" i="6"/>
  <c r="DR57" i="6" s="1"/>
  <c r="DS57" i="6" s="1"/>
  <c r="DR56" i="6"/>
  <c r="DS56" i="6" s="1"/>
  <c r="AZ55" i="6"/>
  <c r="DR55" i="6" s="1"/>
  <c r="DS55" i="6" s="1"/>
  <c r="DR54" i="6"/>
  <c r="DS54" i="6" s="1"/>
  <c r="AZ53" i="6"/>
  <c r="DR53" i="6" s="1"/>
  <c r="DS53" i="6" s="1"/>
  <c r="AZ52" i="6"/>
  <c r="DR52" i="6" s="1"/>
  <c r="DS52" i="6" s="1"/>
  <c r="AZ51" i="6"/>
  <c r="DR51" i="6" s="1"/>
  <c r="DS51" i="6" s="1"/>
  <c r="AZ50" i="6"/>
  <c r="DR50" i="6" s="1"/>
  <c r="DS50" i="6" s="1"/>
  <c r="AZ49" i="6"/>
  <c r="DR49" i="6" s="1"/>
  <c r="DS49" i="6" s="1"/>
  <c r="AZ48" i="6"/>
  <c r="DR48" i="6" s="1"/>
  <c r="DS48" i="6" s="1"/>
  <c r="AZ47" i="6"/>
  <c r="DR47" i="6" s="1"/>
  <c r="DS47" i="6" s="1"/>
  <c r="AZ46" i="6"/>
  <c r="DR46" i="6" s="1"/>
  <c r="DS46" i="6" s="1"/>
  <c r="DR45" i="6"/>
  <c r="DS45" i="6" s="1"/>
  <c r="AZ44" i="6"/>
  <c r="DR44" i="6" s="1"/>
  <c r="DS44" i="6" s="1"/>
  <c r="AZ43" i="6"/>
  <c r="DR43" i="6" s="1"/>
  <c r="DS43" i="6" s="1"/>
  <c r="BU42" i="6"/>
  <c r="DR42" i="6" s="1"/>
  <c r="DS42" i="6" s="1"/>
  <c r="BU41" i="6"/>
  <c r="DR41" i="6" s="1"/>
  <c r="DS41" i="6" s="1"/>
  <c r="CD372" i="6"/>
  <c r="BC372" i="6"/>
  <c r="AZ39" i="6"/>
  <c r="DR39" i="6" s="1"/>
  <c r="DS39" i="6" s="1"/>
  <c r="DR38" i="6"/>
  <c r="DS38" i="6" s="1"/>
  <c r="BU37" i="6"/>
  <c r="DR37" i="6" s="1"/>
  <c r="DS37" i="6" s="1"/>
  <c r="AZ36" i="6"/>
  <c r="DR36" i="6" s="1"/>
  <c r="DS36" i="6" s="1"/>
  <c r="BU35" i="6"/>
  <c r="DR35" i="6" s="1"/>
  <c r="DS35" i="6" s="1"/>
  <c r="DR34" i="6"/>
  <c r="DS34" i="6" s="1"/>
  <c r="AZ33" i="6"/>
  <c r="DR33" i="6" s="1"/>
  <c r="DS33" i="6" s="1"/>
  <c r="AZ32" i="6"/>
  <c r="DR32" i="6" s="1"/>
  <c r="DS32" i="6" s="1"/>
  <c r="BU31" i="6"/>
  <c r="DR31" i="6" s="1"/>
  <c r="DS31" i="6" s="1"/>
  <c r="DR30" i="6"/>
  <c r="DS30" i="6" s="1"/>
  <c r="AZ29" i="6"/>
  <c r="DR29" i="6" s="1"/>
  <c r="DS29" i="6" s="1"/>
  <c r="AZ28" i="6"/>
  <c r="DR28" i="6" s="1"/>
  <c r="DS28" i="6" s="1"/>
  <c r="DR27" i="6"/>
  <c r="DS27" i="6" s="1"/>
  <c r="BB372" i="6"/>
  <c r="DR26" i="6"/>
  <c r="DS26" i="6" s="1"/>
  <c r="V25" i="6"/>
  <c r="V372" i="6" s="1"/>
  <c r="AZ24" i="6"/>
  <c r="DR24" i="6" s="1"/>
  <c r="DS24" i="6" s="1"/>
  <c r="AZ23" i="6"/>
  <c r="DR23" i="6" s="1"/>
  <c r="DS23" i="6" s="1"/>
  <c r="AZ22" i="6"/>
  <c r="DR22" i="6" s="1"/>
  <c r="DS22" i="6" s="1"/>
  <c r="AZ20" i="6"/>
  <c r="DR20" i="6" s="1"/>
  <c r="DS20" i="6" s="1"/>
  <c r="BU19" i="6"/>
  <c r="DR19" i="6" s="1"/>
  <c r="DS19" i="6" s="1"/>
  <c r="AZ18" i="6"/>
  <c r="DR18" i="6" s="1"/>
  <c r="DS18" i="6" s="1"/>
  <c r="BU17" i="6"/>
  <c r="DR17" i="6" s="1"/>
  <c r="DS17" i="6" s="1"/>
  <c r="AZ16" i="6"/>
  <c r="DR16" i="6" s="1"/>
  <c r="DS16" i="6" s="1"/>
  <c r="CE15" i="6"/>
  <c r="BF15" i="6"/>
  <c r="T372" i="6"/>
  <c r="S372" i="6"/>
  <c r="CH12" i="6"/>
  <c r="AZ11" i="6"/>
  <c r="DR11" i="6" s="1"/>
  <c r="DS11" i="6" s="1"/>
  <c r="AZ10" i="6"/>
  <c r="DR10" i="6" s="1"/>
  <c r="DS10" i="6" s="1"/>
  <c r="AZ9" i="6"/>
  <c r="DR9" i="6" s="1"/>
  <c r="DS9" i="6" s="1"/>
  <c r="AZ8" i="6"/>
  <c r="DR8" i="6" s="1"/>
  <c r="R372" i="6" l="1"/>
  <c r="CE372" i="6"/>
  <c r="G369" i="6"/>
  <c r="DO372" i="6"/>
  <c r="DO375" i="6" s="1"/>
  <c r="DO378" i="6" s="1"/>
  <c r="I774" i="3"/>
  <c r="BT388" i="6"/>
  <c r="I500" i="3"/>
  <c r="CR388" i="6"/>
  <c r="I90" i="3"/>
  <c r="DP388" i="6"/>
  <c r="I11" i="3"/>
  <c r="DQ388" i="6"/>
  <c r="I105" i="3"/>
  <c r="CB388" i="6"/>
  <c r="I491" i="3"/>
  <c r="DN388" i="6"/>
  <c r="I494" i="3"/>
  <c r="CQ388" i="6"/>
  <c r="DI372" i="6"/>
  <c r="DI375" i="6" s="1"/>
  <c r="DI378" i="6" s="1"/>
  <c r="BF372" i="6"/>
  <c r="BF375" i="6" s="1"/>
  <c r="BF378" i="6" s="1"/>
  <c r="CZ372" i="6"/>
  <c r="CZ375" i="6" s="1"/>
  <c r="CZ378" i="6" s="1"/>
  <c r="DB372" i="6"/>
  <c r="DB375" i="6" s="1"/>
  <c r="DB378" i="6" s="1"/>
  <c r="CY372" i="6"/>
  <c r="CY375" i="6" s="1"/>
  <c r="CY378" i="6" s="1"/>
  <c r="X372" i="6"/>
  <c r="X375" i="6" s="1"/>
  <c r="X378" i="6" s="1"/>
  <c r="CN372" i="6"/>
  <c r="CN375" i="6" s="1"/>
  <c r="CN378" i="6" s="1"/>
  <c r="DC372" i="6"/>
  <c r="DC375" i="6" s="1"/>
  <c r="DC378" i="6" s="1"/>
  <c r="DA372" i="6"/>
  <c r="DA375" i="6" s="1"/>
  <c r="DA378" i="6" s="1"/>
  <c r="DR359" i="6"/>
  <c r="DR128" i="6"/>
  <c r="DS128" i="6" s="1"/>
  <c r="DR137" i="6"/>
  <c r="DS137" i="6" s="1"/>
  <c r="DR173" i="6"/>
  <c r="DS173" i="6" s="1"/>
  <c r="DR329" i="6"/>
  <c r="DS329" i="6" s="1"/>
  <c r="CH372" i="6"/>
  <c r="CH375" i="6" s="1"/>
  <c r="CH378" i="6" s="1"/>
  <c r="O372" i="6"/>
  <c r="O375" i="6" s="1"/>
  <c r="O378" i="6" s="1"/>
  <c r="DR237" i="6"/>
  <c r="DS237" i="6" s="1"/>
  <c r="DR257" i="6"/>
  <c r="DS257" i="6" s="1"/>
  <c r="DR258" i="6"/>
  <c r="DS258" i="6" s="1"/>
  <c r="DR292" i="6"/>
  <c r="DS292" i="6" s="1"/>
  <c r="DR313" i="6"/>
  <c r="DS313" i="6" s="1"/>
  <c r="DR361" i="6"/>
  <c r="DR365" i="6"/>
  <c r="DU365" i="6" s="1"/>
  <c r="DU369" i="6" s="1"/>
  <c r="DU372" i="6" s="1"/>
  <c r="DR25" i="6"/>
  <c r="DS25" i="6" s="1"/>
  <c r="DR81" i="6"/>
  <c r="DS81" i="6" s="1"/>
  <c r="DR83" i="6"/>
  <c r="DS83" i="6" s="1"/>
  <c r="DR106" i="6"/>
  <c r="DS106" i="6" s="1"/>
  <c r="AF372" i="6"/>
  <c r="AF375" i="6" s="1"/>
  <c r="AF378" i="6" s="1"/>
  <c r="BL372" i="6"/>
  <c r="BL375" i="6" s="1"/>
  <c r="BL378" i="6" s="1"/>
  <c r="DR122" i="6"/>
  <c r="DS122" i="6" s="1"/>
  <c r="CS372" i="6"/>
  <c r="BY372" i="6"/>
  <c r="BY375" i="6" s="1"/>
  <c r="BY378" i="6" s="1"/>
  <c r="DR153" i="6"/>
  <c r="DS153" i="6" s="1"/>
  <c r="AS372" i="6"/>
  <c r="BK372" i="6"/>
  <c r="BK375" i="6" s="1"/>
  <c r="BK378" i="6" s="1"/>
  <c r="CX372" i="6"/>
  <c r="CX375" i="6" s="1"/>
  <c r="CX378" i="6" s="1"/>
  <c r="DD372" i="6"/>
  <c r="DD375" i="6" s="1"/>
  <c r="DD378" i="6" s="1"/>
  <c r="DR266" i="6"/>
  <c r="DS266" i="6" s="1"/>
  <c r="DR281" i="6"/>
  <c r="DS281" i="6" s="1"/>
  <c r="DE372" i="6"/>
  <c r="DE375" i="6" s="1"/>
  <c r="DE378" i="6" s="1"/>
  <c r="DR289" i="6"/>
  <c r="DS289" i="6" s="1"/>
  <c r="DR300" i="6"/>
  <c r="DS300" i="6" s="1"/>
  <c r="DR302" i="6"/>
  <c r="DS302" i="6" s="1"/>
  <c r="DR312" i="6"/>
  <c r="DS312" i="6" s="1"/>
  <c r="R375" i="6"/>
  <c r="R378" i="6" s="1"/>
  <c r="V375" i="6"/>
  <c r="V378" i="6" s="1"/>
  <c r="BB375" i="6"/>
  <c r="BB378" i="6" s="1"/>
  <c r="CD375" i="6"/>
  <c r="CD378" i="6" s="1"/>
  <c r="AJ372" i="6"/>
  <c r="DR97" i="6"/>
  <c r="DS97" i="6" s="1"/>
  <c r="BV375" i="6"/>
  <c r="BV378" i="6" s="1"/>
  <c r="BV388" i="6" s="1"/>
  <c r="CK372" i="6"/>
  <c r="DR117" i="6"/>
  <c r="DS117" i="6" s="1"/>
  <c r="AW372" i="6"/>
  <c r="DR119" i="6"/>
  <c r="DS119" i="6" s="1"/>
  <c r="AZ372" i="6"/>
  <c r="DS8" i="6"/>
  <c r="DR12" i="6"/>
  <c r="DR13" i="6"/>
  <c r="DS13" i="6" s="1"/>
  <c r="BU372" i="6"/>
  <c r="DR14" i="6"/>
  <c r="DS14" i="6" s="1"/>
  <c r="DR15" i="6"/>
  <c r="DS15" i="6" s="1"/>
  <c r="DR61" i="6"/>
  <c r="DS61" i="6" s="1"/>
  <c r="DR215" i="6"/>
  <c r="DS215" i="6" s="1"/>
  <c r="DR99" i="6"/>
  <c r="DS99" i="6" s="1"/>
  <c r="S375" i="6"/>
  <c r="S378" i="6" s="1"/>
  <c r="T375" i="6"/>
  <c r="T378" i="6" s="1"/>
  <c r="CE375" i="6"/>
  <c r="CE378" i="6" s="1"/>
  <c r="BC375" i="6"/>
  <c r="BC378" i="6" s="1"/>
  <c r="U375" i="6"/>
  <c r="U378" i="6" s="1"/>
  <c r="CU372" i="6"/>
  <c r="DR100" i="6"/>
  <c r="DS100" i="6" s="1"/>
  <c r="AC372" i="6"/>
  <c r="DR120" i="6"/>
  <c r="DS120" i="6" s="1"/>
  <c r="BJ372" i="6"/>
  <c r="DR110" i="6"/>
  <c r="DS110" i="6" s="1"/>
  <c r="CW372" i="6"/>
  <c r="DR111" i="6"/>
  <c r="DS111" i="6" s="1"/>
  <c r="BE372" i="6"/>
  <c r="DR113" i="6"/>
  <c r="DS113" i="6" s="1"/>
  <c r="CI372" i="6"/>
  <c r="DR114" i="6"/>
  <c r="DS114" i="6" s="1"/>
  <c r="BW375" i="6"/>
  <c r="BW378" i="6" s="1"/>
  <c r="DR40" i="6"/>
  <c r="DS40" i="6" s="1"/>
  <c r="DR121" i="6"/>
  <c r="DS121" i="6" s="1"/>
  <c r="Z375" i="6"/>
  <c r="Z378" i="6" s="1"/>
  <c r="CV375" i="6"/>
  <c r="CV378" i="6" s="1"/>
  <c r="BZ375" i="6"/>
  <c r="BZ378" i="6" s="1"/>
  <c r="W375" i="6"/>
  <c r="W378" i="6" s="1"/>
  <c r="CG375" i="6"/>
  <c r="CG378" i="6" s="1"/>
  <c r="AO375" i="6"/>
  <c r="AO378" i="6" s="1"/>
  <c r="P378" i="6"/>
  <c r="Q375" i="6"/>
  <c r="Q378" i="6" s="1"/>
  <c r="AR375" i="6"/>
  <c r="AR378" i="6" s="1"/>
  <c r="AB375" i="6"/>
  <c r="AB378" i="6" s="1"/>
  <c r="AA375" i="6"/>
  <c r="AA378" i="6" s="1"/>
  <c r="AD375" i="6"/>
  <c r="AD378" i="6" s="1"/>
  <c r="AQ375" i="6"/>
  <c r="AQ378" i="6" s="1"/>
  <c r="DK375" i="6"/>
  <c r="DK378" i="6" s="1"/>
  <c r="Y375" i="6"/>
  <c r="Y378" i="6" s="1"/>
  <c r="BO375" i="6"/>
  <c r="BO378" i="6" s="1"/>
  <c r="BQ375" i="6"/>
  <c r="BQ378" i="6" s="1"/>
  <c r="CJ375" i="6"/>
  <c r="CJ378" i="6" s="1"/>
  <c r="BA375" i="6"/>
  <c r="BA378" i="6" s="1"/>
  <c r="AV375" i="6"/>
  <c r="AV378" i="6" s="1"/>
  <c r="AL375" i="6"/>
  <c r="AL378" i="6" s="1"/>
  <c r="AU375" i="6"/>
  <c r="AU378" i="6" s="1"/>
  <c r="BM375" i="6"/>
  <c r="BM378" i="6" s="1"/>
  <c r="DG375" i="6"/>
  <c r="DG378" i="6" s="1"/>
  <c r="DR147" i="6"/>
  <c r="DS147" i="6" s="1"/>
  <c r="DR314" i="6"/>
  <c r="DS314" i="6" s="1"/>
  <c r="DR318" i="6"/>
  <c r="DS318" i="6" s="1"/>
  <c r="M375" i="6"/>
  <c r="N375" i="6"/>
  <c r="N378" i="6" s="1"/>
  <c r="CF375" i="6"/>
  <c r="CF378" i="6" s="1"/>
  <c r="BX375" i="6"/>
  <c r="BX378" i="6" s="1"/>
  <c r="AH375" i="6"/>
  <c r="AH378" i="6" s="1"/>
  <c r="CL375" i="6"/>
  <c r="CL378" i="6" s="1"/>
  <c r="CP375" i="6"/>
  <c r="CP378" i="6" s="1"/>
  <c r="BR375" i="6"/>
  <c r="BR378" i="6" s="1"/>
  <c r="AK375" i="6"/>
  <c r="AK378" i="6" s="1"/>
  <c r="BG375" i="6"/>
  <c r="BG378" i="6" s="1"/>
  <c r="AN375" i="6"/>
  <c r="AN378" i="6" s="1"/>
  <c r="BN375" i="6"/>
  <c r="BN378" i="6" s="1"/>
  <c r="AM375" i="6"/>
  <c r="AM378" i="6" s="1"/>
  <c r="CT375" i="6"/>
  <c r="CT378" i="6" s="1"/>
  <c r="DR78" i="6"/>
  <c r="DS78" i="6" s="1"/>
  <c r="CA372" i="6"/>
  <c r="AY372" i="6"/>
  <c r="AE372" i="6"/>
  <c r="BD372" i="6"/>
  <c r="DR134" i="6"/>
  <c r="DS134" i="6" s="1"/>
  <c r="DF372" i="6"/>
  <c r="DR152" i="6"/>
  <c r="DS152" i="6" s="1"/>
  <c r="DR154" i="6"/>
  <c r="DS154" i="6" s="1"/>
  <c r="DR157" i="6"/>
  <c r="DS157" i="6" s="1"/>
  <c r="DR172" i="6"/>
  <c r="DS172" i="6" s="1"/>
  <c r="DR179" i="6"/>
  <c r="DS179" i="6" s="1"/>
  <c r="DR222" i="6"/>
  <c r="DS222" i="6" s="1"/>
  <c r="DR190" i="6"/>
  <c r="DS190" i="6" s="1"/>
  <c r="DR191" i="6"/>
  <c r="DS191" i="6" s="1"/>
  <c r="DR199" i="6"/>
  <c r="DS199" i="6" s="1"/>
  <c r="DR206" i="6"/>
  <c r="DS206" i="6" s="1"/>
  <c r="DR228" i="6"/>
  <c r="DS228" i="6" s="1"/>
  <c r="DR232" i="6"/>
  <c r="DS232" i="6" s="1"/>
  <c r="DR241" i="6"/>
  <c r="DS241" i="6" s="1"/>
  <c r="DR249" i="6"/>
  <c r="DS249" i="6" s="1"/>
  <c r="DR267" i="6"/>
  <c r="DS267" i="6" s="1"/>
  <c r="DR272" i="6"/>
  <c r="DS272" i="6" s="1"/>
  <c r="DR273" i="6"/>
  <c r="DS273" i="6" s="1"/>
  <c r="DR280" i="6"/>
  <c r="DS280" i="6" s="1"/>
  <c r="DR286" i="6"/>
  <c r="DS286" i="6" s="1"/>
  <c r="AG375" i="6"/>
  <c r="AG378" i="6" s="1"/>
  <c r="AI375" i="6"/>
  <c r="AI378" i="6" s="1"/>
  <c r="BS375" i="6"/>
  <c r="BS378" i="6" s="1"/>
  <c r="CC375" i="6"/>
  <c r="CC378" i="6" s="1"/>
  <c r="CM375" i="6"/>
  <c r="CM378" i="6" s="1"/>
  <c r="CM388" i="6" s="1"/>
  <c r="CO375" i="6"/>
  <c r="CO378" i="6" s="1"/>
  <c r="DM375" i="6"/>
  <c r="DM378" i="6" s="1"/>
  <c r="DU375" i="6" l="1"/>
  <c r="DU378" i="6" s="1"/>
  <c r="I554" i="3"/>
  <c r="C536" i="7" s="1"/>
  <c r="CC388" i="6"/>
  <c r="I497" i="3"/>
  <c r="DM388" i="6"/>
  <c r="I658" i="3"/>
  <c r="BS388" i="6"/>
  <c r="I328" i="3"/>
  <c r="AG388" i="6"/>
  <c r="I388" i="3"/>
  <c r="AM388" i="6"/>
  <c r="I346" i="3"/>
  <c r="AN388" i="6"/>
  <c r="I408" i="3"/>
  <c r="AK388" i="6"/>
  <c r="I485" i="3"/>
  <c r="CP388" i="6"/>
  <c r="I392" i="3"/>
  <c r="AH388" i="6"/>
  <c r="I616" i="3"/>
  <c r="CF388" i="6"/>
  <c r="I532" i="3"/>
  <c r="DG388" i="6"/>
  <c r="I405" i="3"/>
  <c r="AU388" i="6"/>
  <c r="I650" i="3"/>
  <c r="AV388" i="6"/>
  <c r="I729" i="3"/>
  <c r="CJ388" i="6"/>
  <c r="I718" i="3"/>
  <c r="BO388" i="6"/>
  <c r="I503" i="3"/>
  <c r="DK388" i="6"/>
  <c r="I551" i="3"/>
  <c r="DO388" i="6"/>
  <c r="I357" i="3"/>
  <c r="AR388" i="6"/>
  <c r="I343" i="3"/>
  <c r="P388" i="6"/>
  <c r="I199" i="3"/>
  <c r="CG388" i="6"/>
  <c r="I187" i="3"/>
  <c r="BZ388" i="6"/>
  <c r="I738" i="3"/>
  <c r="Z388" i="6"/>
  <c r="I214" i="3"/>
  <c r="U388" i="6"/>
  <c r="I726" i="3"/>
  <c r="CE388" i="6"/>
  <c r="I209" i="3"/>
  <c r="S388" i="6"/>
  <c r="I184" i="3"/>
  <c r="CD388" i="6"/>
  <c r="I626" i="3"/>
  <c r="V388" i="6"/>
  <c r="I540" i="3"/>
  <c r="DE388" i="6"/>
  <c r="I372" i="3"/>
  <c r="CX388" i="6"/>
  <c r="I176" i="3"/>
  <c r="BY388" i="6"/>
  <c r="I354" i="3"/>
  <c r="AF388" i="6"/>
  <c r="I337" i="3"/>
  <c r="O388" i="6"/>
  <c r="I442" i="3"/>
  <c r="DC388" i="6"/>
  <c r="I220" i="3"/>
  <c r="X388" i="6"/>
  <c r="I771" i="3"/>
  <c r="DB388" i="6"/>
  <c r="I723" i="3"/>
  <c r="BF388" i="6"/>
  <c r="CO388" i="6"/>
  <c r="I397" i="3"/>
  <c r="AI388" i="6"/>
  <c r="I166" i="3"/>
  <c r="CT388" i="6"/>
  <c r="I609" i="3"/>
  <c r="BN388" i="6"/>
  <c r="I806" i="3"/>
  <c r="BG388" i="6"/>
  <c r="I125" i="3"/>
  <c r="BR388" i="6"/>
  <c r="I488" i="3"/>
  <c r="CL388" i="6"/>
  <c r="I178" i="3"/>
  <c r="BX388" i="6"/>
  <c r="I331" i="3"/>
  <c r="N388" i="6"/>
  <c r="I122" i="3"/>
  <c r="BM388" i="6"/>
  <c r="I414" i="3"/>
  <c r="AL388" i="6"/>
  <c r="I181" i="3"/>
  <c r="BA388" i="6"/>
  <c r="I128" i="3"/>
  <c r="BQ388" i="6"/>
  <c r="I628" i="3"/>
  <c r="Y388" i="6"/>
  <c r="I363" i="3"/>
  <c r="AQ388" i="6"/>
  <c r="I740" i="3"/>
  <c r="AD388" i="6"/>
  <c r="I233" i="3"/>
  <c r="AB388" i="6"/>
  <c r="I340" i="3"/>
  <c r="Q388" i="6"/>
  <c r="I369" i="3"/>
  <c r="AO388" i="6"/>
  <c r="I736" i="3"/>
  <c r="W388" i="6"/>
  <c r="I433" i="3"/>
  <c r="CV388" i="6"/>
  <c r="I217" i="3"/>
  <c r="BW388" i="6"/>
  <c r="I170" i="3"/>
  <c r="BC388" i="6"/>
  <c r="I334" i="3"/>
  <c r="T388" i="6"/>
  <c r="I193" i="3"/>
  <c r="BB388" i="6"/>
  <c r="I206" i="3"/>
  <c r="R388" i="6"/>
  <c r="I537" i="3"/>
  <c r="DD388" i="6"/>
  <c r="I202" i="3"/>
  <c r="BL388" i="6"/>
  <c r="I196" i="3"/>
  <c r="CH388" i="6"/>
  <c r="I655" i="3"/>
  <c r="DA388" i="6"/>
  <c r="I480" i="3"/>
  <c r="CN388" i="6"/>
  <c r="I439" i="3"/>
  <c r="CZ388" i="6"/>
  <c r="I140" i="3"/>
  <c r="DI388" i="6"/>
  <c r="I225" i="3"/>
  <c r="AA388" i="6"/>
  <c r="I436" i="3"/>
  <c r="CY388" i="6"/>
  <c r="I16" i="3"/>
  <c r="BK388" i="6"/>
  <c r="DS12" i="6"/>
  <c r="AS375" i="6"/>
  <c r="AS378" i="6" s="1"/>
  <c r="CS375" i="6"/>
  <c r="CS378" i="6" s="1"/>
  <c r="DR136" i="6"/>
  <c r="DS136" i="6" s="1"/>
  <c r="DF375" i="6"/>
  <c r="DF378" i="6" s="1"/>
  <c r="AY375" i="6"/>
  <c r="AY378" i="6" s="1"/>
  <c r="CI375" i="6"/>
  <c r="CI378" i="6" s="1"/>
  <c r="BE375" i="6"/>
  <c r="BE378" i="6" s="1"/>
  <c r="CW375" i="6"/>
  <c r="CW378" i="6" s="1"/>
  <c r="BJ375" i="6"/>
  <c r="BJ378" i="6" s="1"/>
  <c r="AC375" i="6"/>
  <c r="AC378" i="6" s="1"/>
  <c r="CU375" i="6"/>
  <c r="CU378" i="6" s="1"/>
  <c r="BU375" i="6"/>
  <c r="BU378" i="6" s="1"/>
  <c r="AW375" i="6"/>
  <c r="AW378" i="6" s="1"/>
  <c r="CK375" i="6"/>
  <c r="AJ375" i="6"/>
  <c r="AJ378" i="6" s="1"/>
  <c r="DR372" i="6"/>
  <c r="DR143" i="6"/>
  <c r="DS143" i="6" s="1"/>
  <c r="BD375" i="6"/>
  <c r="BD378" i="6" s="1"/>
  <c r="AE375" i="6"/>
  <c r="AE378" i="6" s="1"/>
  <c r="CA375" i="6"/>
  <c r="CA378" i="6" s="1"/>
  <c r="AZ375" i="6"/>
  <c r="AZ378" i="6" s="1"/>
  <c r="M378" i="6"/>
  <c r="DS352" i="6" l="1"/>
  <c r="CK378" i="6"/>
  <c r="CK388" i="6" s="1"/>
  <c r="DR375" i="6"/>
  <c r="DR378" i="6" s="1"/>
  <c r="I9" i="3"/>
  <c r="AZ388" i="6"/>
  <c r="I323" i="3"/>
  <c r="M388" i="6"/>
  <c r="I173" i="3"/>
  <c r="BD388" i="6"/>
  <c r="I469" i="3"/>
  <c r="I88" i="3"/>
  <c r="BU388" i="6"/>
  <c r="I630" i="3"/>
  <c r="AC388" i="6"/>
  <c r="I451" i="3"/>
  <c r="CW388" i="6"/>
  <c r="I619" i="3"/>
  <c r="CI388" i="6"/>
  <c r="I529" i="3"/>
  <c r="DF388" i="6"/>
  <c r="I163" i="3"/>
  <c r="CS388" i="6"/>
  <c r="I228" i="3"/>
  <c r="AE388" i="6"/>
  <c r="I400" i="3"/>
  <c r="AJ388" i="6"/>
  <c r="I766" i="3"/>
  <c r="AW388" i="6"/>
  <c r="I145" i="3"/>
  <c r="C457" i="7" s="1"/>
  <c r="CU388" i="6"/>
  <c r="I62" i="3"/>
  <c r="BJ388" i="6"/>
  <c r="I614" i="3"/>
  <c r="BE388" i="6"/>
  <c r="I366" i="3"/>
  <c r="AY388" i="6"/>
  <c r="I411" i="3"/>
  <c r="AS388" i="6"/>
  <c r="I190" i="3"/>
  <c r="CA388" i="6"/>
  <c r="DR369" i="6"/>
  <c r="BH380" i="6" l="1"/>
  <c r="BH383" i="6" s="1"/>
  <c r="BI380" i="6"/>
  <c r="BI383" i="6" s="1"/>
  <c r="AP380" i="6"/>
  <c r="AP383" i="6" s="1"/>
  <c r="DR388" i="6"/>
  <c r="DR389" i="6" s="1"/>
  <c r="DQ380" i="6"/>
  <c r="DQ383" i="6" s="1"/>
  <c r="DO380" i="6"/>
  <c r="DO383" i="6" s="1"/>
  <c r="DM380" i="6"/>
  <c r="DK380" i="6"/>
  <c r="DK383" i="6" s="1"/>
  <c r="DI380" i="6"/>
  <c r="DI383" i="6" s="1"/>
  <c r="DG380" i="6"/>
  <c r="DG383" i="6" s="1"/>
  <c r="DE380" i="6"/>
  <c r="DE383" i="6" s="1"/>
  <c r="DC380" i="6"/>
  <c r="DC383" i="6" s="1"/>
  <c r="DA380" i="6"/>
  <c r="DA383" i="6" s="1"/>
  <c r="CY380" i="6"/>
  <c r="CY383" i="6" s="1"/>
  <c r="CW380" i="6"/>
  <c r="CW383" i="6" s="1"/>
  <c r="CU380" i="6"/>
  <c r="CU383" i="6" s="1"/>
  <c r="CS380" i="6"/>
  <c r="CS383" i="6" s="1"/>
  <c r="CQ380" i="6"/>
  <c r="CQ383" i="6" s="1"/>
  <c r="CO380" i="6"/>
  <c r="CO383" i="6" s="1"/>
  <c r="CM380" i="6"/>
  <c r="CM383" i="6" s="1"/>
  <c r="CK380" i="6"/>
  <c r="CK383" i="6" s="1"/>
  <c r="CI380" i="6"/>
  <c r="CI383" i="6" s="1"/>
  <c r="CG380" i="6"/>
  <c r="CG383" i="6" s="1"/>
  <c r="CE380" i="6"/>
  <c r="CE383" i="6" s="1"/>
  <c r="CC380" i="6"/>
  <c r="CC383" i="6" s="1"/>
  <c r="CA380" i="6"/>
  <c r="CA383" i="6" s="1"/>
  <c r="BY380" i="6"/>
  <c r="BY383" i="6" s="1"/>
  <c r="BW380" i="6"/>
  <c r="BW383" i="6" s="1"/>
  <c r="BU380" i="6"/>
  <c r="BS380" i="6"/>
  <c r="BS383" i="6" s="1"/>
  <c r="BQ380" i="6"/>
  <c r="BQ383" i="6" s="1"/>
  <c r="BO380" i="6"/>
  <c r="BO383" i="6" s="1"/>
  <c r="BM380" i="6"/>
  <c r="BM383" i="6" s="1"/>
  <c r="BK380" i="6"/>
  <c r="BK383" i="6" s="1"/>
  <c r="BG380" i="6"/>
  <c r="BG383" i="6" s="1"/>
  <c r="BE380" i="6"/>
  <c r="BE383" i="6" s="1"/>
  <c r="BC380" i="6"/>
  <c r="BC383" i="6" s="1"/>
  <c r="BA380" i="6"/>
  <c r="BA383" i="6" s="1"/>
  <c r="AY380" i="6"/>
  <c r="AY383" i="6" s="1"/>
  <c r="AW380" i="6"/>
  <c r="AW383" i="6" s="1"/>
  <c r="AU380" i="6"/>
  <c r="AU383" i="6" s="1"/>
  <c r="AS380" i="6"/>
  <c r="AS383" i="6" s="1"/>
  <c r="AQ380" i="6"/>
  <c r="AQ383" i="6" s="1"/>
  <c r="AN380" i="6"/>
  <c r="AN383" i="6" s="1"/>
  <c r="AL380" i="6"/>
  <c r="AL383" i="6" s="1"/>
  <c r="AJ380" i="6"/>
  <c r="AJ383" i="6" s="1"/>
  <c r="AH380" i="6"/>
  <c r="AH383" i="6" s="1"/>
  <c r="AF380" i="6"/>
  <c r="AD380" i="6"/>
  <c r="AD383" i="6" s="1"/>
  <c r="AB380" i="6"/>
  <c r="AB383" i="6" s="1"/>
  <c r="Z380" i="6"/>
  <c r="Z383" i="6" s="1"/>
  <c r="X380" i="6"/>
  <c r="X383" i="6" s="1"/>
  <c r="V380" i="6"/>
  <c r="V383" i="6" s="1"/>
  <c r="T380" i="6"/>
  <c r="T383" i="6" s="1"/>
  <c r="R380" i="6"/>
  <c r="R383" i="6" s="1"/>
  <c r="P380" i="6"/>
  <c r="P383" i="6" s="1"/>
  <c r="N380" i="6"/>
  <c r="N383" i="6" s="1"/>
  <c r="AI380" i="6"/>
  <c r="AC380" i="6"/>
  <c r="AC383" i="6" s="1"/>
  <c r="Y380" i="6"/>
  <c r="Y383" i="6" s="1"/>
  <c r="U380" i="6"/>
  <c r="U383" i="6" s="1"/>
  <c r="Q380" i="6"/>
  <c r="M380" i="6"/>
  <c r="M383" i="6" s="1"/>
  <c r="DP380" i="6"/>
  <c r="DP383" i="6" s="1"/>
  <c r="DN380" i="6"/>
  <c r="DL380" i="6"/>
  <c r="DL383" i="6" s="1"/>
  <c r="DJ380" i="6"/>
  <c r="DJ383" i="6" s="1"/>
  <c r="DH380" i="6"/>
  <c r="DH383" i="6" s="1"/>
  <c r="DF380" i="6"/>
  <c r="DF383" i="6" s="1"/>
  <c r="DD380" i="6"/>
  <c r="DD383" i="6" s="1"/>
  <c r="DB380" i="6"/>
  <c r="DB383" i="6" s="1"/>
  <c r="CZ380" i="6"/>
  <c r="CZ383" i="6" s="1"/>
  <c r="CX380" i="6"/>
  <c r="CX383" i="6" s="1"/>
  <c r="CV380" i="6"/>
  <c r="CV383" i="6" s="1"/>
  <c r="CT380" i="6"/>
  <c r="CT383" i="6" s="1"/>
  <c r="CR380" i="6"/>
  <c r="CR383" i="6" s="1"/>
  <c r="CP380" i="6"/>
  <c r="CP383" i="6" s="1"/>
  <c r="CN380" i="6"/>
  <c r="CN383" i="6" s="1"/>
  <c r="CL380" i="6"/>
  <c r="CL383" i="6" s="1"/>
  <c r="CJ380" i="6"/>
  <c r="CJ383" i="6" s="1"/>
  <c r="CH380" i="6"/>
  <c r="CH383" i="6" s="1"/>
  <c r="CF380" i="6"/>
  <c r="CF383" i="6" s="1"/>
  <c r="CD380" i="6"/>
  <c r="CD383" i="6" s="1"/>
  <c r="CB380" i="6"/>
  <c r="BZ380" i="6"/>
  <c r="BZ383" i="6" s="1"/>
  <c r="BX380" i="6"/>
  <c r="BX383" i="6" s="1"/>
  <c r="BV380" i="6"/>
  <c r="BV383" i="6" s="1"/>
  <c r="BT380" i="6"/>
  <c r="BT383" i="6" s="1"/>
  <c r="BR380" i="6"/>
  <c r="BR383" i="6" s="1"/>
  <c r="BP380" i="6"/>
  <c r="BP383" i="6" s="1"/>
  <c r="BN380" i="6"/>
  <c r="BN383" i="6" s="1"/>
  <c r="BL380" i="6"/>
  <c r="BL383" i="6" s="1"/>
  <c r="BJ380" i="6"/>
  <c r="BJ383" i="6" s="1"/>
  <c r="BF380" i="6"/>
  <c r="BF383" i="6" s="1"/>
  <c r="BD380" i="6"/>
  <c r="BD383" i="6" s="1"/>
  <c r="BB380" i="6"/>
  <c r="BB383" i="6" s="1"/>
  <c r="AZ380" i="6"/>
  <c r="AZ383" i="6" s="1"/>
  <c r="AX380" i="6"/>
  <c r="AX383" i="6" s="1"/>
  <c r="AV380" i="6"/>
  <c r="AV383" i="6" s="1"/>
  <c r="AT380" i="6"/>
  <c r="AT383" i="6" s="1"/>
  <c r="AR380" i="6"/>
  <c r="AR383" i="6" s="1"/>
  <c r="AO380" i="6"/>
  <c r="AO383" i="6" s="1"/>
  <c r="AM380" i="6"/>
  <c r="AM383" i="6" s="1"/>
  <c r="AK380" i="6"/>
  <c r="AK383" i="6" s="1"/>
  <c r="AG380" i="6"/>
  <c r="AG383" i="6" s="1"/>
  <c r="AE380" i="6"/>
  <c r="AE383" i="6" s="1"/>
  <c r="AA380" i="6"/>
  <c r="AA383" i="6" s="1"/>
  <c r="W380" i="6"/>
  <c r="W383" i="6" s="1"/>
  <c r="S380" i="6"/>
  <c r="S383" i="6" s="1"/>
  <c r="O380" i="6"/>
  <c r="O383" i="6" s="1"/>
  <c r="G378" i="6"/>
  <c r="DU379" i="6" s="1"/>
  <c r="CB383" i="6"/>
  <c r="DN383" i="6"/>
  <c r="AI383" i="6"/>
  <c r="AF383" i="6"/>
  <c r="Q383" i="6"/>
  <c r="DM383" i="6"/>
  <c r="BU383" i="6"/>
  <c r="G388" i="6" l="1"/>
  <c r="I935" i="3"/>
  <c r="D3600" i="5"/>
  <c r="D3601" i="5" l="1"/>
  <c r="J23" i="2"/>
  <c r="J21" i="2"/>
  <c r="H6538" i="5"/>
  <c r="H6539" i="5" s="1"/>
  <c r="F6538" i="5"/>
  <c r="F6539" i="5" s="1"/>
  <c r="E6538" i="5"/>
  <c r="E6539" i="5" s="1"/>
  <c r="I883" i="3" s="1"/>
  <c r="K883" i="3" s="1"/>
  <c r="D6538" i="5"/>
  <c r="D6539" i="5" s="1"/>
  <c r="I875" i="3" s="1"/>
  <c r="K875" i="3" s="1"/>
  <c r="F6499" i="5"/>
  <c r="F6500" i="5" s="1"/>
  <c r="I895" i="3" s="1"/>
  <c r="E6499" i="5"/>
  <c r="E6500" i="5" s="1"/>
  <c r="I893" i="3" s="1"/>
  <c r="D6499" i="5"/>
  <c r="D6500" i="5" s="1"/>
  <c r="I891" i="3" s="1"/>
  <c r="H6460" i="5"/>
  <c r="F6460" i="5"/>
  <c r="E6460" i="5"/>
  <c r="D6460" i="5"/>
  <c r="I801" i="3" s="1"/>
  <c r="H6435" i="5"/>
  <c r="I799" i="3" s="1"/>
  <c r="F6435" i="5"/>
  <c r="I797" i="3" s="1"/>
  <c r="E6435" i="5"/>
  <c r="I795" i="3" s="1"/>
  <c r="D6435" i="5"/>
  <c r="I793" i="3" s="1"/>
  <c r="I901" i="3"/>
  <c r="I899" i="3" l="1"/>
  <c r="K899" i="3" s="1"/>
  <c r="Q899" i="3" s="1"/>
  <c r="I70" i="4"/>
  <c r="I33" i="13"/>
  <c r="K793" i="3"/>
  <c r="C354" i="7"/>
  <c r="K797" i="3"/>
  <c r="C356" i="7"/>
  <c r="K801" i="3"/>
  <c r="C358" i="7"/>
  <c r="K891" i="3"/>
  <c r="C395" i="7"/>
  <c r="K895" i="3"/>
  <c r="C397" i="7"/>
  <c r="K901" i="3"/>
  <c r="Q901" i="3" s="1"/>
  <c r="C399" i="7"/>
  <c r="K795" i="3"/>
  <c r="C355" i="7"/>
  <c r="K799" i="3"/>
  <c r="C357" i="7"/>
  <c r="K893" i="3"/>
  <c r="C396" i="7"/>
  <c r="D6387" i="5"/>
  <c r="H2962" i="5"/>
  <c r="I674" i="3" s="1"/>
  <c r="K675" i="3" s="1"/>
  <c r="Q675" i="3" s="1"/>
  <c r="F2962" i="5"/>
  <c r="I677" i="3" s="1"/>
  <c r="C398" i="7" l="1"/>
  <c r="I102" i="4"/>
  <c r="K102" i="4" s="1"/>
  <c r="I120" i="13"/>
  <c r="K120" i="13" s="1"/>
  <c r="K677" i="3"/>
  <c r="C281" i="7"/>
  <c r="C279" i="7"/>
  <c r="I64" i="3"/>
  <c r="K64" i="3" l="1"/>
  <c r="C241" i="7"/>
  <c r="F3640" i="5" l="1"/>
  <c r="F3641" i="5" s="1"/>
  <c r="D1441" i="5"/>
  <c r="I16" i="13" s="1"/>
  <c r="K16" i="13" s="1"/>
  <c r="D1367" i="5"/>
  <c r="I10" i="13" s="1"/>
  <c r="K10" i="13" s="1"/>
  <c r="D214" i="5"/>
  <c r="I19" i="13" s="1"/>
  <c r="K19" i="13" s="1"/>
  <c r="F4734" i="5"/>
  <c r="E4734" i="5"/>
  <c r="D4734" i="5"/>
  <c r="I154" i="13" l="1"/>
  <c r="K154" i="13" s="1"/>
  <c r="I82" i="13"/>
  <c r="K82" i="13" s="1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694" i="5"/>
  <c r="D1517" i="5" l="1"/>
  <c r="D1518" i="5" l="1"/>
  <c r="I74" i="13"/>
  <c r="K74" i="13" s="1"/>
  <c r="I522" i="3"/>
  <c r="D21" i="9" l="1"/>
  <c r="E21" i="9" s="1"/>
  <c r="F7" i="1"/>
  <c r="H7" i="1" s="1"/>
  <c r="E26" i="9"/>
  <c r="E14" i="9"/>
  <c r="E10" i="9"/>
  <c r="D40" i="7"/>
  <c r="I129" i="13"/>
  <c r="K129" i="13" s="1"/>
  <c r="D4548" i="5"/>
  <c r="D4549" i="5" s="1"/>
  <c r="I371" i="3" s="1"/>
  <c r="C481" i="7" s="1"/>
  <c r="E1863" i="5"/>
  <c r="I177" i="3" s="1"/>
  <c r="F4167" i="5"/>
  <c r="H105" i="2"/>
  <c r="D18" i="7"/>
  <c r="E4" i="8"/>
  <c r="J10" i="8"/>
  <c r="J8" i="8"/>
  <c r="L21" i="8"/>
  <c r="G4" i="8"/>
  <c r="F4" i="8"/>
  <c r="C4" i="8"/>
  <c r="D29" i="7"/>
  <c r="J20" i="2"/>
  <c r="I508" i="3"/>
  <c r="I518" i="3"/>
  <c r="C517" i="7" s="1"/>
  <c r="I514" i="3"/>
  <c r="C515" i="7" s="1"/>
  <c r="I520" i="3"/>
  <c r="I510" i="3"/>
  <c r="K510" i="3" s="1"/>
  <c r="I477" i="3"/>
  <c r="K477" i="3" s="1"/>
  <c r="I475" i="3"/>
  <c r="K475" i="3" s="1"/>
  <c r="Q475" i="3" s="1"/>
  <c r="I473" i="3"/>
  <c r="K473" i="3" s="1"/>
  <c r="I471" i="3"/>
  <c r="K471" i="3" s="1"/>
  <c r="Q471" i="3" s="1"/>
  <c r="I417" i="3"/>
  <c r="C199" i="7" s="1"/>
  <c r="I418" i="3"/>
  <c r="I458" i="3"/>
  <c r="C494" i="7" s="1"/>
  <c r="I457" i="3"/>
  <c r="C495" i="7" s="1"/>
  <c r="I459" i="3"/>
  <c r="C496" i="7" s="1"/>
  <c r="K460" i="3"/>
  <c r="I482" i="3"/>
  <c r="K482" i="3" s="1"/>
  <c r="I512" i="3"/>
  <c r="K512" i="3" s="1"/>
  <c r="I524" i="3"/>
  <c r="K524" i="3" s="1"/>
  <c r="K506" i="3"/>
  <c r="K516" i="3"/>
  <c r="K522" i="3"/>
  <c r="J235" i="3"/>
  <c r="L235" i="3"/>
  <c r="P235" i="3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22" i="7"/>
  <c r="D23" i="7"/>
  <c r="D25" i="7"/>
  <c r="D26" i="7"/>
  <c r="D27" i="7"/>
  <c r="D28" i="7"/>
  <c r="D35" i="7"/>
  <c r="D36" i="7"/>
  <c r="D37" i="7"/>
  <c r="D38" i="7"/>
  <c r="D39" i="7"/>
  <c r="D41" i="7"/>
  <c r="D42" i="7"/>
  <c r="D45" i="7"/>
  <c r="D46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7" i="7"/>
  <c r="D68" i="7"/>
  <c r="D69" i="7"/>
  <c r="C33" i="7"/>
  <c r="C506" i="7"/>
  <c r="C510" i="7"/>
  <c r="C512" i="7"/>
  <c r="C516" i="7"/>
  <c r="C518" i="7"/>
  <c r="H2748" i="5"/>
  <c r="I693" i="3" s="1"/>
  <c r="I550" i="3"/>
  <c r="C533" i="7" s="1"/>
  <c r="D6306" i="5"/>
  <c r="D3524" i="5"/>
  <c r="H2188" i="5"/>
  <c r="F2188" i="5"/>
  <c r="I816" i="3" s="1"/>
  <c r="E2188" i="5"/>
  <c r="I814" i="3" s="1"/>
  <c r="D2188" i="5"/>
  <c r="I805" i="3" s="1"/>
  <c r="F5767" i="5"/>
  <c r="I869" i="3" s="1"/>
  <c r="E3499" i="5"/>
  <c r="I404" i="3" s="1"/>
  <c r="C297" i="7" s="1"/>
  <c r="F3499" i="5"/>
  <c r="F3600" i="5"/>
  <c r="E3600" i="5"/>
  <c r="D6219" i="5"/>
  <c r="I28" i="4" s="1"/>
  <c r="K28" i="4" s="1"/>
  <c r="D5045" i="5"/>
  <c r="I73" i="13" s="1"/>
  <c r="K73" i="13" s="1"/>
  <c r="I444" i="3"/>
  <c r="C489" i="7" s="1"/>
  <c r="I664" i="3"/>
  <c r="K664" i="3" s="1"/>
  <c r="Q664" i="3" s="1"/>
  <c r="I780" i="3"/>
  <c r="K780" i="3" s="1"/>
  <c r="H2879" i="5"/>
  <c r="F2879" i="5"/>
  <c r="I672" i="3" s="1"/>
  <c r="E2879" i="5"/>
  <c r="I725" i="3" s="1"/>
  <c r="C414" i="7" s="1"/>
  <c r="D2879" i="5"/>
  <c r="I689" i="3" s="1"/>
  <c r="D3993" i="5"/>
  <c r="D3885" i="5"/>
  <c r="I94" i="3" s="1"/>
  <c r="E5576" i="5"/>
  <c r="E5577" i="5" s="1"/>
  <c r="E5502" i="5"/>
  <c r="I923" i="3" s="1"/>
  <c r="F5880" i="5"/>
  <c r="H5843" i="5"/>
  <c r="I915" i="3" s="1"/>
  <c r="D5691" i="5"/>
  <c r="D5615" i="5"/>
  <c r="D5540" i="5"/>
  <c r="D5465" i="5"/>
  <c r="D2220" i="5"/>
  <c r="K33" i="13" s="1"/>
  <c r="D5880" i="5"/>
  <c r="D5881" i="5" s="1"/>
  <c r="E5880" i="5"/>
  <c r="F5843" i="5"/>
  <c r="I885" i="3" s="1"/>
  <c r="K885" i="3" s="1"/>
  <c r="Q885" i="3" s="1"/>
  <c r="E5843" i="5"/>
  <c r="I881" i="3" s="1"/>
  <c r="D5843" i="5"/>
  <c r="I879" i="3" s="1"/>
  <c r="H5805" i="5"/>
  <c r="I877" i="3" s="1"/>
  <c r="F5805" i="5"/>
  <c r="I873" i="3" s="1"/>
  <c r="D5805" i="5"/>
  <c r="D5806" i="5" s="1"/>
  <c r="D5729" i="5"/>
  <c r="I867" i="3" s="1"/>
  <c r="D5767" i="5"/>
  <c r="I865" i="3" s="1"/>
  <c r="K865" i="3" s="1"/>
  <c r="Q865" i="3" s="1"/>
  <c r="H5729" i="5"/>
  <c r="I863" i="3" s="1"/>
  <c r="E5691" i="5"/>
  <c r="I861" i="3" s="1"/>
  <c r="F5729" i="5"/>
  <c r="I859" i="3" s="1"/>
  <c r="K859" i="3" s="1"/>
  <c r="F5691" i="5"/>
  <c r="I857" i="3" s="1"/>
  <c r="E5729" i="5"/>
  <c r="I855" i="3" s="1"/>
  <c r="H5691" i="5"/>
  <c r="I853" i="3" s="1"/>
  <c r="E5653" i="5"/>
  <c r="I851" i="3" s="1"/>
  <c r="I849" i="3"/>
  <c r="H5615" i="5"/>
  <c r="I847" i="3" s="1"/>
  <c r="E5615" i="5"/>
  <c r="I845" i="3" s="1"/>
  <c r="F5615" i="5"/>
  <c r="I843" i="3" s="1"/>
  <c r="F5540" i="5"/>
  <c r="E5540" i="5"/>
  <c r="H5540" i="5"/>
  <c r="D5502" i="5"/>
  <c r="I835" i="3" s="1"/>
  <c r="H5465" i="5"/>
  <c r="I833" i="3" s="1"/>
  <c r="F5465" i="5"/>
  <c r="I831" i="3" s="1"/>
  <c r="E5465" i="5"/>
  <c r="E5805" i="5"/>
  <c r="I824" i="3" s="1"/>
  <c r="E5767" i="5"/>
  <c r="I822" i="3" s="1"/>
  <c r="H2148" i="5"/>
  <c r="I791" i="3" s="1"/>
  <c r="F2148" i="5"/>
  <c r="I789" i="3" s="1"/>
  <c r="E2148" i="5"/>
  <c r="I778" i="3"/>
  <c r="E4718" i="5"/>
  <c r="I776" i="3" s="1"/>
  <c r="E4690" i="5"/>
  <c r="I770" i="3" s="1"/>
  <c r="C345" i="7" s="1"/>
  <c r="H2831" i="5"/>
  <c r="I687" i="3" s="1"/>
  <c r="F2831" i="5"/>
  <c r="I685" i="3" s="1"/>
  <c r="K685" i="3" s="1"/>
  <c r="E2831" i="5"/>
  <c r="I683" i="3" s="1"/>
  <c r="D2831" i="5"/>
  <c r="I681" i="3" s="1"/>
  <c r="K681" i="3" s="1"/>
  <c r="I662" i="3"/>
  <c r="F4718" i="5"/>
  <c r="I660" i="3" s="1"/>
  <c r="K660" i="3" s="1"/>
  <c r="F4690" i="5"/>
  <c r="I654" i="3" s="1"/>
  <c r="C329" i="7" s="1"/>
  <c r="E6177" i="5"/>
  <c r="D3640" i="5"/>
  <c r="D6089" i="5"/>
  <c r="D6130" i="5"/>
  <c r="I30" i="4" s="1"/>
  <c r="K30" i="4" s="1"/>
  <c r="D5965" i="5"/>
  <c r="D5923" i="5"/>
  <c r="I138" i="4" s="1"/>
  <c r="K138" i="4" s="1"/>
  <c r="D6048" i="5"/>
  <c r="D51" i="5"/>
  <c r="I322" i="3" s="1"/>
  <c r="C71" i="7" s="1"/>
  <c r="D1748" i="5"/>
  <c r="D76" i="5"/>
  <c r="D106" i="5"/>
  <c r="D144" i="5"/>
  <c r="D179" i="5"/>
  <c r="D215" i="5"/>
  <c r="I342" i="3" s="1"/>
  <c r="C84" i="7" s="1"/>
  <c r="D250" i="5"/>
  <c r="D272" i="5"/>
  <c r="D303" i="5"/>
  <c r="I11" i="4" s="1"/>
  <c r="K11" i="4" s="1"/>
  <c r="I213" i="3"/>
  <c r="C94" i="7" s="1"/>
  <c r="D400" i="5"/>
  <c r="D435" i="5"/>
  <c r="D477" i="5"/>
  <c r="I15" i="4" s="1"/>
  <c r="K15" i="4" s="1"/>
  <c r="I236" i="3"/>
  <c r="C102" i="7" s="1"/>
  <c r="I633" i="3"/>
  <c r="I240" i="3"/>
  <c r="C105" i="7" s="1"/>
  <c r="I242" i="3"/>
  <c r="C106" i="7" s="1"/>
  <c r="I244" i="3"/>
  <c r="C107" i="7" s="1"/>
  <c r="I246" i="3"/>
  <c r="C108" i="7" s="1"/>
  <c r="I248" i="3"/>
  <c r="C109" i="7" s="1"/>
  <c r="I635" i="3"/>
  <c r="C110" i="7" s="1"/>
  <c r="I250" i="3"/>
  <c r="C111" i="7" s="1"/>
  <c r="I252" i="3"/>
  <c r="C112" i="7" s="1"/>
  <c r="I256" i="3"/>
  <c r="C114" i="7" s="1"/>
  <c r="I258" i="3"/>
  <c r="C115" i="7" s="1"/>
  <c r="I260" i="3"/>
  <c r="C116" i="7" s="1"/>
  <c r="I262" i="3"/>
  <c r="C117" i="7" s="1"/>
  <c r="I264" i="3"/>
  <c r="C118" i="7" s="1"/>
  <c r="I266" i="3"/>
  <c r="C119" i="7" s="1"/>
  <c r="I268" i="3"/>
  <c r="C120" i="7" s="1"/>
  <c r="I637" i="3"/>
  <c r="C121" i="7" s="1"/>
  <c r="H963" i="5"/>
  <c r="I270" i="3" s="1"/>
  <c r="C122" i="7" s="1"/>
  <c r="I272" i="3"/>
  <c r="C123" i="7" s="1"/>
  <c r="I274" i="3"/>
  <c r="C124" i="7" s="1"/>
  <c r="I276" i="3"/>
  <c r="C125" i="7" s="1"/>
  <c r="D786" i="5"/>
  <c r="I743" i="3"/>
  <c r="E786" i="5"/>
  <c r="I280" i="3" s="1"/>
  <c r="C128" i="7" s="1"/>
  <c r="F786" i="5"/>
  <c r="I282" i="3" s="1"/>
  <c r="C129" i="7" s="1"/>
  <c r="D830" i="5"/>
  <c r="I745" i="3" s="1"/>
  <c r="C130" i="7" s="1"/>
  <c r="D1007" i="5"/>
  <c r="I747" i="3" s="1"/>
  <c r="C131" i="7" s="1"/>
  <c r="D1136" i="5"/>
  <c r="I284" i="3" s="1"/>
  <c r="C132" i="7" s="1"/>
  <c r="H1050" i="5"/>
  <c r="I286" i="3" s="1"/>
  <c r="C133" i="7" s="1"/>
  <c r="H786" i="5"/>
  <c r="I288" i="3" s="1"/>
  <c r="C134" i="7" s="1"/>
  <c r="H1093" i="5"/>
  <c r="I290" i="3" s="1"/>
  <c r="C135" i="7" s="1"/>
  <c r="E830" i="5"/>
  <c r="I749" i="3" s="1"/>
  <c r="C136" i="7" s="1"/>
  <c r="D874" i="5"/>
  <c r="I751" i="3" s="1"/>
  <c r="C137" i="7" s="1"/>
  <c r="E874" i="5"/>
  <c r="I753" i="3" s="1"/>
  <c r="C138" i="7" s="1"/>
  <c r="F874" i="5"/>
  <c r="I755" i="3" s="1"/>
  <c r="C139" i="7" s="1"/>
  <c r="H830" i="5"/>
  <c r="I292" i="3" s="1"/>
  <c r="C140" i="7" s="1"/>
  <c r="F830" i="5"/>
  <c r="I639" i="3" s="1"/>
  <c r="C141" i="7" s="1"/>
  <c r="H874" i="5"/>
  <c r="I641" i="3" s="1"/>
  <c r="C142" i="7" s="1"/>
  <c r="E963" i="5"/>
  <c r="I294" i="3" s="1"/>
  <c r="C143" i="7" s="1"/>
  <c r="F918" i="5"/>
  <c r="I298" i="3" s="1"/>
  <c r="C144" i="7" s="1"/>
  <c r="H918" i="5"/>
  <c r="I300" i="3" s="1"/>
  <c r="C145" i="7" s="1"/>
  <c r="D963" i="5"/>
  <c r="I302" i="3" s="1"/>
  <c r="C146" i="7" s="1"/>
  <c r="F963" i="5"/>
  <c r="I643" i="3" s="1"/>
  <c r="C147" i="7" s="1"/>
  <c r="H1007" i="5"/>
  <c r="I757" i="3" s="1"/>
  <c r="C148" i="7" s="1"/>
  <c r="D1050" i="5"/>
  <c r="I304" i="3" s="1"/>
  <c r="C149" i="7" s="1"/>
  <c r="E1093" i="5"/>
  <c r="I306" i="3" s="1"/>
  <c r="C150" i="7" s="1"/>
  <c r="D1093" i="5"/>
  <c r="I308" i="3" s="1"/>
  <c r="C151" i="7" s="1"/>
  <c r="F1093" i="5"/>
  <c r="I310" i="3" s="1"/>
  <c r="C152" i="7" s="1"/>
  <c r="E1007" i="5"/>
  <c r="I645" i="3" s="1"/>
  <c r="C153" i="7" s="1"/>
  <c r="F1007" i="5"/>
  <c r="I759" i="3" s="1"/>
  <c r="C154" i="7" s="1"/>
  <c r="F1050" i="5"/>
  <c r="I312" i="3" s="1"/>
  <c r="C155" i="7" s="1"/>
  <c r="D1173" i="5"/>
  <c r="I19" i="4" s="1"/>
  <c r="K19" i="4" s="1"/>
  <c r="D1202" i="5"/>
  <c r="I353" i="3"/>
  <c r="D1266" i="5"/>
  <c r="I356" i="3" s="1"/>
  <c r="C165" i="7" s="1"/>
  <c r="D1298" i="5"/>
  <c r="D1331" i="5"/>
  <c r="I159" i="13" s="1"/>
  <c r="K159" i="13" s="1"/>
  <c r="I378" i="3"/>
  <c r="K378" i="3" s="1"/>
  <c r="Q378" i="3" s="1"/>
  <c r="D1391" i="5"/>
  <c r="I77" i="4" s="1"/>
  <c r="K77" i="4" s="1"/>
  <c r="D1414" i="5"/>
  <c r="D1429" i="5"/>
  <c r="I21" i="13" s="1"/>
  <c r="K21" i="13" s="1"/>
  <c r="I386" i="3"/>
  <c r="K386" i="3" s="1"/>
  <c r="Q386" i="3" s="1"/>
  <c r="D1457" i="5"/>
  <c r="I72" i="4" s="1"/>
  <c r="K72" i="4" s="1"/>
  <c r="D1475" i="5"/>
  <c r="I25" i="13"/>
  <c r="K25" i="13" s="1"/>
  <c r="I391" i="3"/>
  <c r="C185" i="7" s="1"/>
  <c r="D1538" i="5"/>
  <c r="D1572" i="5"/>
  <c r="D1604" i="5"/>
  <c r="D1605" i="5" s="1"/>
  <c r="E1604" i="5"/>
  <c r="I413" i="3"/>
  <c r="C196" i="7" s="1"/>
  <c r="D1665" i="5"/>
  <c r="D1713" i="5"/>
  <c r="D1724" i="5"/>
  <c r="I169" i="3"/>
  <c r="C209" i="7" s="1"/>
  <c r="D1835" i="5"/>
  <c r="D1863" i="5"/>
  <c r="I175" i="3" s="1"/>
  <c r="I180" i="3"/>
  <c r="C217" i="7" s="1"/>
  <c r="D1932" i="5"/>
  <c r="D1980" i="5"/>
  <c r="I103" i="13" s="1"/>
  <c r="K103" i="13" s="1"/>
  <c r="I39" i="3"/>
  <c r="D2079" i="5"/>
  <c r="I114" i="4" s="1"/>
  <c r="K114" i="4" s="1"/>
  <c r="D5173" i="5"/>
  <c r="D2122" i="5"/>
  <c r="D5195" i="5"/>
  <c r="D5310" i="5"/>
  <c r="D2283" i="5"/>
  <c r="I56" i="4" s="1"/>
  <c r="K56" i="4" s="1"/>
  <c r="D2310" i="5"/>
  <c r="D2348" i="5"/>
  <c r="I123" i="4" s="1"/>
  <c r="K123" i="4" s="1"/>
  <c r="D5341" i="5"/>
  <c r="D2369" i="5"/>
  <c r="D2407" i="5"/>
  <c r="I101" i="4" s="1"/>
  <c r="K101" i="4" s="1"/>
  <c r="E2407" i="5"/>
  <c r="F2407" i="5"/>
  <c r="H2407" i="5"/>
  <c r="D2443" i="5"/>
  <c r="E2443" i="5"/>
  <c r="F2443" i="5"/>
  <c r="H2443" i="5"/>
  <c r="D2982" i="5"/>
  <c r="I127" i="4" s="1"/>
  <c r="K127" i="4" s="1"/>
  <c r="D3076" i="5"/>
  <c r="D3131" i="5"/>
  <c r="D3158" i="5"/>
  <c r="D3185" i="5"/>
  <c r="D3215" i="5"/>
  <c r="I129" i="4" s="1"/>
  <c r="K129" i="4" s="1"/>
  <c r="D3009" i="5"/>
  <c r="D3266" i="5"/>
  <c r="I109" i="4" s="1"/>
  <c r="K109" i="4" s="1"/>
  <c r="D3291" i="5"/>
  <c r="I142" i="4" s="1"/>
  <c r="K142" i="4" s="1"/>
  <c r="D3343" i="5"/>
  <c r="D3390" i="5"/>
  <c r="E2702" i="5"/>
  <c r="I560" i="3" s="1"/>
  <c r="E2491" i="5"/>
  <c r="I625" i="3" s="1"/>
  <c r="C255" i="7" s="1"/>
  <c r="F2533" i="5"/>
  <c r="I562" i="3" s="1"/>
  <c r="F2614" i="5"/>
  <c r="I564" i="3" s="1"/>
  <c r="F2491" i="5"/>
  <c r="I566" i="3" s="1"/>
  <c r="E2533" i="5"/>
  <c r="I570" i="3" s="1"/>
  <c r="H2491" i="5"/>
  <c r="I575" i="3" s="1"/>
  <c r="H2614" i="5"/>
  <c r="I577" i="3" s="1"/>
  <c r="D2533" i="5"/>
  <c r="I579" i="3" s="1"/>
  <c r="H2533" i="5"/>
  <c r="I581" i="3" s="1"/>
  <c r="D2573" i="5"/>
  <c r="I583" i="3" s="1"/>
  <c r="D2614" i="5"/>
  <c r="I585" i="3" s="1"/>
  <c r="E2614" i="5"/>
  <c r="I587" i="3" s="1"/>
  <c r="E2573" i="5"/>
  <c r="I589" i="3" s="1"/>
  <c r="F2573" i="5"/>
  <c r="I593" i="3" s="1"/>
  <c r="H2573" i="5"/>
  <c r="I595" i="3" s="1"/>
  <c r="D3435" i="5"/>
  <c r="D2748" i="5"/>
  <c r="F2748" i="5"/>
  <c r="I670" i="3" s="1"/>
  <c r="K670" i="3" s="1"/>
  <c r="Q670" i="3" s="1"/>
  <c r="E2962" i="5"/>
  <c r="I679" i="3" s="1"/>
  <c r="K679" i="3" s="1"/>
  <c r="E2748" i="5"/>
  <c r="I691" i="3" s="1"/>
  <c r="D2790" i="5"/>
  <c r="I695" i="3" s="1"/>
  <c r="H2921" i="5"/>
  <c r="I697" i="3" s="1"/>
  <c r="H2790" i="5"/>
  <c r="I699" i="3" s="1"/>
  <c r="E2790" i="5"/>
  <c r="I701" i="3" s="1"/>
  <c r="K701" i="3" s="1"/>
  <c r="Q701" i="3" s="1"/>
  <c r="F2790" i="5"/>
  <c r="I703" i="3" s="1"/>
  <c r="C289" i="7" s="1"/>
  <c r="D2962" i="5"/>
  <c r="I705" i="3" s="1"/>
  <c r="K705" i="3" s="1"/>
  <c r="Q705" i="3" s="1"/>
  <c r="D3470" i="5"/>
  <c r="E3470" i="5"/>
  <c r="F3470" i="5"/>
  <c r="H3470" i="5"/>
  <c r="D3499" i="5"/>
  <c r="I201" i="3"/>
  <c r="C299" i="7" s="1"/>
  <c r="E3640" i="5"/>
  <c r="E3641" i="5" s="1"/>
  <c r="D2921" i="5"/>
  <c r="I711" i="3" s="1"/>
  <c r="K711" i="3" s="1"/>
  <c r="Q711" i="3" s="1"/>
  <c r="E2921" i="5"/>
  <c r="I713" i="3" s="1"/>
  <c r="K713" i="3" s="1"/>
  <c r="F2702" i="5"/>
  <c r="I598" i="3" s="1"/>
  <c r="K598" i="3" s="1"/>
  <c r="Q598" i="3" s="1"/>
  <c r="D2656" i="5"/>
  <c r="I600" i="3" s="1"/>
  <c r="C421" i="7" s="1"/>
  <c r="E2656" i="5"/>
  <c r="F2656" i="5"/>
  <c r="I604" i="3" s="1"/>
  <c r="K604" i="3" s="1"/>
  <c r="H2656" i="5"/>
  <c r="I606" i="3" s="1"/>
  <c r="K606" i="3" s="1"/>
  <c r="Q606" i="3" s="1"/>
  <c r="D359" i="5"/>
  <c r="D3922" i="5"/>
  <c r="I97" i="13" s="1"/>
  <c r="D5396" i="5"/>
  <c r="D3956" i="5"/>
  <c r="D3819" i="5"/>
  <c r="D5226" i="5"/>
  <c r="D5256" i="5"/>
  <c r="D4025" i="5"/>
  <c r="D5427" i="5"/>
  <c r="I158" i="4" s="1"/>
  <c r="K158" i="4" s="1"/>
  <c r="D4059" i="5"/>
  <c r="D5283" i="5"/>
  <c r="D3850" i="5"/>
  <c r="D4092" i="5"/>
  <c r="D2702" i="5"/>
  <c r="I608" i="3" s="1"/>
  <c r="C444" i="7" s="1"/>
  <c r="F2921" i="5"/>
  <c r="I717" i="3" s="1"/>
  <c r="C446" i="7" s="1"/>
  <c r="D4130" i="5"/>
  <c r="I162" i="3" s="1"/>
  <c r="E4129" i="5"/>
  <c r="D4167" i="5"/>
  <c r="D6007" i="5"/>
  <c r="I81" i="4" s="1"/>
  <c r="K81" i="4" s="1"/>
  <c r="D4210" i="5"/>
  <c r="D4211" i="5" s="1"/>
  <c r="D4889" i="5"/>
  <c r="D4890" i="5" s="1"/>
  <c r="D5007" i="5"/>
  <c r="D4951" i="5"/>
  <c r="I189" i="3"/>
  <c r="C463" i="7" s="1"/>
  <c r="D4252" i="5"/>
  <c r="E4252" i="5"/>
  <c r="E4253" i="5" s="1"/>
  <c r="I618" i="3" s="1"/>
  <c r="C467" i="7" s="1"/>
  <c r="F4252" i="5"/>
  <c r="D4280" i="5"/>
  <c r="D4494" i="5"/>
  <c r="D4519" i="5"/>
  <c r="I81" i="13" s="1"/>
  <c r="K81" i="13" s="1"/>
  <c r="D4590" i="5"/>
  <c r="D4690" i="5"/>
  <c r="D4718" i="5"/>
  <c r="D4619" i="5"/>
  <c r="D4620" i="5" s="1"/>
  <c r="I657" i="3" s="1"/>
  <c r="D4648" i="5"/>
  <c r="D4649" i="5" s="1"/>
  <c r="I773" i="3" s="1"/>
  <c r="C492" i="7" s="1"/>
  <c r="D4757" i="5"/>
  <c r="E4757" i="5"/>
  <c r="E4758" i="5" s="1"/>
  <c r="I531" i="3" s="1"/>
  <c r="C522" i="7" s="1"/>
  <c r="F4757" i="5"/>
  <c r="I534" i="3" s="1"/>
  <c r="D5075" i="5"/>
  <c r="D5111" i="5"/>
  <c r="D5131" i="5"/>
  <c r="D4780" i="5"/>
  <c r="D4799" i="5"/>
  <c r="D5363" i="5"/>
  <c r="D4866" i="5"/>
  <c r="F1136" i="5"/>
  <c r="I761" i="3" s="1"/>
  <c r="C156" i="7" s="1"/>
  <c r="D918" i="5"/>
  <c r="I296" i="3" s="1"/>
  <c r="E1136" i="5"/>
  <c r="I314" i="3" s="1"/>
  <c r="C157" i="7" s="1"/>
  <c r="E918" i="5"/>
  <c r="E1050" i="5"/>
  <c r="H1136" i="5"/>
  <c r="E4092" i="5"/>
  <c r="I156" i="4" s="1"/>
  <c r="K156" i="4" s="1"/>
  <c r="D4979" i="5"/>
  <c r="D4980" i="5" s="1"/>
  <c r="E3885" i="5"/>
  <c r="D4662" i="5"/>
  <c r="E4662" i="5"/>
  <c r="D5146" i="5"/>
  <c r="D2491" i="5"/>
  <c r="H2702" i="5"/>
  <c r="I568" i="3" s="1"/>
  <c r="D4454" i="5"/>
  <c r="D1678" i="5"/>
  <c r="I24" i="13" s="1"/>
  <c r="K24" i="13" s="1"/>
  <c r="H5844" i="5"/>
  <c r="F5844" i="5"/>
  <c r="D5844" i="5"/>
  <c r="F5806" i="5"/>
  <c r="D5768" i="5"/>
  <c r="H5730" i="5"/>
  <c r="E5730" i="5"/>
  <c r="E5654" i="5"/>
  <c r="H5616" i="5"/>
  <c r="D1953" i="5"/>
  <c r="E5503" i="5"/>
  <c r="F5466" i="5"/>
  <c r="D5466" i="5"/>
  <c r="D4307" i="5"/>
  <c r="D4308" i="5" s="1"/>
  <c r="D4333" i="5"/>
  <c r="I51" i="13" s="1"/>
  <c r="K51" i="13" s="1"/>
  <c r="D2095" i="5"/>
  <c r="D3685" i="5"/>
  <c r="D3686" i="5" s="1"/>
  <c r="D3668" i="5"/>
  <c r="D3669" i="5" s="1"/>
  <c r="D3722" i="5"/>
  <c r="E3722" i="5"/>
  <c r="D3241" i="5"/>
  <c r="I121" i="13" s="1"/>
  <c r="K121" i="13" s="1"/>
  <c r="E1605" i="5"/>
  <c r="D1758" i="5"/>
  <c r="D2021" i="5"/>
  <c r="I96" i="13" s="1"/>
  <c r="K96" i="13" s="1"/>
  <c r="D2209" i="5"/>
  <c r="D3039" i="5"/>
  <c r="I144" i="13" s="1"/>
  <c r="K144" i="13" s="1"/>
  <c r="D3096" i="5"/>
  <c r="E3096" i="5"/>
  <c r="D3753" i="5"/>
  <c r="E3753" i="5"/>
  <c r="D3791" i="5"/>
  <c r="E3791" i="5"/>
  <c r="D4359" i="5"/>
  <c r="D4360" i="5" s="1"/>
  <c r="D4385" i="5"/>
  <c r="D4386" i="5" s="1"/>
  <c r="D4411" i="5"/>
  <c r="D4412" i="5" s="1"/>
  <c r="D4437" i="5"/>
  <c r="D4438" i="5" s="1"/>
  <c r="F4662" i="5"/>
  <c r="F3722" i="5"/>
  <c r="F3791" i="5"/>
  <c r="I51" i="4" s="1"/>
  <c r="K51" i="4" s="1"/>
  <c r="F3753" i="5"/>
  <c r="J161" i="4"/>
  <c r="P2" i="5" s="1"/>
  <c r="P4" i="5" s="1"/>
  <c r="I31" i="4"/>
  <c r="K31" i="4" s="1"/>
  <c r="I155" i="4"/>
  <c r="K155" i="4" s="1"/>
  <c r="I44" i="4"/>
  <c r="K44" i="4" s="1"/>
  <c r="I160" i="4"/>
  <c r="K160" i="4" s="1"/>
  <c r="I159" i="4"/>
  <c r="K159" i="4" s="1"/>
  <c r="I4" i="4"/>
  <c r="K4" i="4" s="1"/>
  <c r="I13" i="4"/>
  <c r="K13" i="4" s="1"/>
  <c r="I24" i="4"/>
  <c r="K24" i="4" s="1"/>
  <c r="K25" i="4"/>
  <c r="I39" i="4"/>
  <c r="K39" i="4" s="1"/>
  <c r="I41" i="4"/>
  <c r="K41" i="4" s="1"/>
  <c r="I68" i="4"/>
  <c r="K68" i="4" s="1"/>
  <c r="I52" i="4"/>
  <c r="K52" i="4" s="1"/>
  <c r="I54" i="4"/>
  <c r="K54" i="4" s="1"/>
  <c r="I58" i="4"/>
  <c r="K58" i="4" s="1"/>
  <c r="I75" i="4"/>
  <c r="K75" i="4" s="1"/>
  <c r="I86" i="4"/>
  <c r="K86" i="4" s="1"/>
  <c r="K87" i="4"/>
  <c r="I90" i="4"/>
  <c r="K90" i="4" s="1"/>
  <c r="I91" i="4"/>
  <c r="K91" i="4" s="1"/>
  <c r="I98" i="4"/>
  <c r="K98" i="4" s="1"/>
  <c r="I100" i="4"/>
  <c r="K100" i="4" s="1"/>
  <c r="I110" i="4"/>
  <c r="K110" i="4" s="1"/>
  <c r="K112" i="4"/>
  <c r="I113" i="4"/>
  <c r="K113" i="4" s="1"/>
  <c r="I116" i="4"/>
  <c r="K116" i="4" s="1"/>
  <c r="I117" i="4"/>
  <c r="K117" i="4" s="1"/>
  <c r="I119" i="4"/>
  <c r="K119" i="4" s="1"/>
  <c r="I133" i="4"/>
  <c r="K133" i="4" s="1"/>
  <c r="I137" i="4"/>
  <c r="K137" i="4" s="1"/>
  <c r="I148" i="4"/>
  <c r="K148" i="4" s="1"/>
  <c r="I154" i="4"/>
  <c r="K154" i="4" s="1"/>
  <c r="I126" i="4"/>
  <c r="K126" i="4" s="1"/>
  <c r="I23" i="4"/>
  <c r="K23" i="4" s="1"/>
  <c r="K99" i="4"/>
  <c r="D44" i="7"/>
  <c r="D43" i="7"/>
  <c r="J66" i="2"/>
  <c r="J49" i="2"/>
  <c r="D24" i="7"/>
  <c r="D19" i="7"/>
  <c r="D20" i="7"/>
  <c r="D21" i="7"/>
  <c r="J7" i="2"/>
  <c r="J13" i="2"/>
  <c r="J14" i="2"/>
  <c r="J16" i="2"/>
  <c r="J17" i="2"/>
  <c r="J18" i="2"/>
  <c r="J19" i="2"/>
  <c r="J25" i="2"/>
  <c r="J28" i="2"/>
  <c r="J29" i="2"/>
  <c r="J30" i="2"/>
  <c r="J31" i="2"/>
  <c r="J32" i="2"/>
  <c r="J33" i="2"/>
  <c r="J34" i="2"/>
  <c r="J38" i="2"/>
  <c r="J39" i="2"/>
  <c r="J42" i="2"/>
  <c r="J43" i="2"/>
  <c r="J44" i="2"/>
  <c r="J47" i="2"/>
  <c r="J48" i="2"/>
  <c r="J50" i="2"/>
  <c r="J51" i="2"/>
  <c r="J54" i="2"/>
  <c r="J55" i="2"/>
  <c r="J56" i="2"/>
  <c r="J57" i="2"/>
  <c r="J58" i="2"/>
  <c r="J59" i="2"/>
  <c r="J60" i="2"/>
  <c r="J61" i="2"/>
  <c r="J62" i="2"/>
  <c r="J63" i="2"/>
  <c r="J64" i="2"/>
  <c r="J65" i="2"/>
  <c r="J67" i="2"/>
  <c r="J70" i="2"/>
  <c r="J71" i="2"/>
  <c r="J72" i="2"/>
  <c r="J73" i="2"/>
  <c r="J74" i="2"/>
  <c r="J75" i="2"/>
  <c r="J76" i="2"/>
  <c r="J77" i="2"/>
  <c r="J80" i="2"/>
  <c r="J82" i="2"/>
  <c r="J83" i="2"/>
  <c r="J85" i="2"/>
  <c r="J86" i="2"/>
  <c r="J87" i="2"/>
  <c r="J88" i="2"/>
  <c r="J89" i="2"/>
  <c r="J90" i="2"/>
  <c r="J91" i="2"/>
  <c r="J93" i="2"/>
  <c r="J94" i="2"/>
  <c r="J95" i="2"/>
  <c r="J97" i="2"/>
  <c r="J98" i="2"/>
  <c r="J99" i="2"/>
  <c r="J100" i="2"/>
  <c r="J101" i="2"/>
  <c r="J102" i="2"/>
  <c r="J103" i="2"/>
  <c r="C188" i="7"/>
  <c r="C491" i="7"/>
  <c r="C493" i="7"/>
  <c r="C434" i="7"/>
  <c r="C511" i="7"/>
  <c r="C507" i="7"/>
  <c r="K90" i="3"/>
  <c r="Q90" i="3" s="1"/>
  <c r="C450" i="7"/>
  <c r="I810" i="3"/>
  <c r="F8" i="1"/>
  <c r="F9" i="1"/>
  <c r="F10" i="1"/>
  <c r="F11" i="1"/>
  <c r="F12" i="1"/>
  <c r="J12" i="2"/>
  <c r="J81" i="2"/>
  <c r="F3096" i="5"/>
  <c r="H4757" i="5"/>
  <c r="H4758" i="5" s="1"/>
  <c r="I316" i="3"/>
  <c r="C158" i="7" s="1"/>
  <c r="J15" i="2"/>
  <c r="J11" i="2"/>
  <c r="D34" i="7"/>
  <c r="F105" i="2"/>
  <c r="J37" i="2"/>
  <c r="H4252" i="5"/>
  <c r="D5730" i="5" l="1"/>
  <c r="F5616" i="5"/>
  <c r="E5806" i="5"/>
  <c r="I33" i="4"/>
  <c r="K33" i="4" s="1"/>
  <c r="D5503" i="5"/>
  <c r="F5730" i="5"/>
  <c r="Q506" i="3"/>
  <c r="D6008" i="5"/>
  <c r="H3600" i="5"/>
  <c r="I649" i="3"/>
  <c r="C327" i="7" s="1"/>
  <c r="I60" i="13"/>
  <c r="K60" i="13" s="1"/>
  <c r="I145" i="4"/>
  <c r="K145" i="4" s="1"/>
  <c r="E23" i="9"/>
  <c r="E29" i="9" s="1"/>
  <c r="I839" i="3"/>
  <c r="C371" i="7" s="1"/>
  <c r="E5541" i="5"/>
  <c r="I837" i="3"/>
  <c r="K837" i="3" s="1"/>
  <c r="Q837" i="3" s="1"/>
  <c r="H5541" i="5"/>
  <c r="I841" i="3"/>
  <c r="C372" i="7" s="1"/>
  <c r="F5541" i="5"/>
  <c r="I887" i="3"/>
  <c r="K887" i="3" s="1"/>
  <c r="Q887" i="3" s="1"/>
  <c r="E5881" i="5"/>
  <c r="I917" i="3"/>
  <c r="C406" i="7" s="1"/>
  <c r="F5881" i="5"/>
  <c r="I32" i="13"/>
  <c r="K32" i="13" s="1"/>
  <c r="I907" i="3"/>
  <c r="C402" i="7" s="1"/>
  <c r="D5541" i="5"/>
  <c r="D1573" i="5"/>
  <c r="I399" i="3"/>
  <c r="I29" i="4"/>
  <c r="K29" i="4" s="1"/>
  <c r="D107" i="5"/>
  <c r="I333" i="3" s="1"/>
  <c r="C78" i="7" s="1"/>
  <c r="I150" i="4"/>
  <c r="K150" i="4" s="1"/>
  <c r="D3641" i="5"/>
  <c r="F4253" i="5"/>
  <c r="I728" i="3"/>
  <c r="C468" i="7" s="1"/>
  <c r="D4253" i="5"/>
  <c r="I195" i="3"/>
  <c r="C465" i="7" s="1"/>
  <c r="D273" i="5"/>
  <c r="J1" i="5"/>
  <c r="K520" i="3"/>
  <c r="Q520" i="3" s="1"/>
  <c r="I939" i="3"/>
  <c r="K508" i="3"/>
  <c r="Q508" i="3" s="1"/>
  <c r="I936" i="3"/>
  <c r="I4" i="13"/>
  <c r="I829" i="3"/>
  <c r="K829" i="3" s="1"/>
  <c r="Q829" i="3" s="1"/>
  <c r="E5466" i="5"/>
  <c r="I65" i="13"/>
  <c r="K65" i="13" s="1"/>
  <c r="I55" i="3"/>
  <c r="K55" i="3" s="1"/>
  <c r="Q55" i="3" s="1"/>
  <c r="I64" i="4"/>
  <c r="K64" i="4" s="1"/>
  <c r="I153" i="4"/>
  <c r="K153" i="4" s="1"/>
  <c r="I147" i="4"/>
  <c r="K147" i="4" s="1"/>
  <c r="I136" i="4"/>
  <c r="K136" i="4" s="1"/>
  <c r="E5616" i="5"/>
  <c r="F5692" i="5"/>
  <c r="I112" i="13"/>
  <c r="K112" i="13" s="1"/>
  <c r="D5046" i="5"/>
  <c r="I410" i="3" s="1"/>
  <c r="C193" i="7" s="1"/>
  <c r="H4253" i="5"/>
  <c r="I43" i="13"/>
  <c r="K43" i="13" s="1"/>
  <c r="I132" i="3"/>
  <c r="K132" i="3" s="1"/>
  <c r="Q132" i="3" s="1"/>
  <c r="I87" i="13"/>
  <c r="K87" i="13" s="1"/>
  <c r="I120" i="4"/>
  <c r="K120" i="4" s="1"/>
  <c r="I17" i="13"/>
  <c r="K17" i="13" s="1"/>
  <c r="I591" i="3"/>
  <c r="C264" i="7" s="1"/>
  <c r="I56" i="13"/>
  <c r="K56" i="13" s="1"/>
  <c r="I55" i="4"/>
  <c r="K55" i="4" s="1"/>
  <c r="I90" i="13"/>
  <c r="K90" i="13" s="1"/>
  <c r="I548" i="3"/>
  <c r="C532" i="7" s="1"/>
  <c r="I77" i="13"/>
  <c r="K77" i="13" s="1"/>
  <c r="I544" i="3"/>
  <c r="K544" i="3" s="1"/>
  <c r="Q544" i="3" s="1"/>
  <c r="I76" i="13"/>
  <c r="K76" i="13" s="1"/>
  <c r="I438" i="3"/>
  <c r="C485" i="7" s="1"/>
  <c r="I64" i="13"/>
  <c r="K64" i="13" s="1"/>
  <c r="D4495" i="5"/>
  <c r="I432" i="3" s="1"/>
  <c r="C477" i="7" s="1"/>
  <c r="I67" i="13"/>
  <c r="K67" i="13" s="1"/>
  <c r="I152" i="3"/>
  <c r="K153" i="3" s="1"/>
  <c r="Q153" i="3" s="1"/>
  <c r="I104" i="13"/>
  <c r="K104" i="13" s="1"/>
  <c r="I144" i="3"/>
  <c r="K145" i="3" s="1"/>
  <c r="Q145" i="3" s="1"/>
  <c r="I133" i="13"/>
  <c r="K133" i="13" s="1"/>
  <c r="I139" i="3"/>
  <c r="C454" i="7" s="1"/>
  <c r="I149" i="13"/>
  <c r="K149" i="13" s="1"/>
  <c r="I134" i="3"/>
  <c r="I106" i="13"/>
  <c r="K106" i="13" s="1"/>
  <c r="I119" i="3"/>
  <c r="K119" i="3" s="1"/>
  <c r="Q119" i="3" s="1"/>
  <c r="I126" i="13"/>
  <c r="K126" i="13" s="1"/>
  <c r="I115" i="3"/>
  <c r="K115" i="3" s="1"/>
  <c r="Q115" i="3" s="1"/>
  <c r="I152" i="13"/>
  <c r="K152" i="13" s="1"/>
  <c r="I111" i="3"/>
  <c r="K111" i="3" s="1"/>
  <c r="Q111" i="3" s="1"/>
  <c r="I88" i="13"/>
  <c r="K88" i="13" s="1"/>
  <c r="I107" i="3"/>
  <c r="K107" i="3" s="1"/>
  <c r="Q107" i="3" s="1"/>
  <c r="I146" i="13"/>
  <c r="K146" i="13" s="1"/>
  <c r="I100" i="3"/>
  <c r="C431" i="7" s="1"/>
  <c r="I93" i="13"/>
  <c r="K93" i="13" s="1"/>
  <c r="I96" i="3"/>
  <c r="C428" i="7" s="1"/>
  <c r="K97" i="13"/>
  <c r="D3436" i="5"/>
  <c r="I722" i="3" s="1"/>
  <c r="C273" i="7" s="1"/>
  <c r="I59" i="13"/>
  <c r="K59" i="13" s="1"/>
  <c r="I84" i="3"/>
  <c r="C251" i="7" s="1"/>
  <c r="I138" i="13"/>
  <c r="K138" i="13" s="1"/>
  <c r="I78" i="3"/>
  <c r="K78" i="3" s="1"/>
  <c r="Q78" i="3" s="1"/>
  <c r="I122" i="13"/>
  <c r="K122" i="13" s="1"/>
  <c r="I72" i="3"/>
  <c r="K72" i="3" s="1"/>
  <c r="Q72" i="3" s="1"/>
  <c r="I137" i="13"/>
  <c r="K137" i="13" s="1"/>
  <c r="I68" i="3"/>
  <c r="K68" i="3" s="1"/>
  <c r="Q68" i="3" s="1"/>
  <c r="I130" i="13"/>
  <c r="K130" i="13" s="1"/>
  <c r="I61" i="3"/>
  <c r="C239" i="7" s="1"/>
  <c r="I136" i="13"/>
  <c r="K136" i="13" s="1"/>
  <c r="I53" i="3"/>
  <c r="C235" i="7" s="1"/>
  <c r="I143" i="13"/>
  <c r="K143" i="13" s="1"/>
  <c r="I49" i="3"/>
  <c r="K49" i="3" s="1"/>
  <c r="Q49" i="3" s="1"/>
  <c r="I132" i="13"/>
  <c r="K132" i="13" s="1"/>
  <c r="I45" i="3"/>
  <c r="K45" i="3" s="1"/>
  <c r="Q45" i="3" s="1"/>
  <c r="I91" i="13"/>
  <c r="K91" i="13" s="1"/>
  <c r="I27" i="3"/>
  <c r="K27" i="3" s="1"/>
  <c r="Q27" i="3" s="1"/>
  <c r="I114" i="13"/>
  <c r="K114" i="13" s="1"/>
  <c r="I20" i="3"/>
  <c r="K20" i="3" s="1"/>
  <c r="Q20" i="3" s="1"/>
  <c r="I140" i="13"/>
  <c r="K140" i="13" s="1"/>
  <c r="I41" i="3"/>
  <c r="C223" i="7" s="1"/>
  <c r="I125" i="13"/>
  <c r="K125" i="13" s="1"/>
  <c r="I172" i="3"/>
  <c r="K173" i="3" s="1"/>
  <c r="Q173" i="3" s="1"/>
  <c r="I31" i="13"/>
  <c r="K31" i="13" s="1"/>
  <c r="I428" i="3"/>
  <c r="C206" i="7" s="1"/>
  <c r="I28" i="13"/>
  <c r="K28" i="13" s="1"/>
  <c r="I424" i="3"/>
  <c r="K424" i="3" s="1"/>
  <c r="Q424" i="3" s="1"/>
  <c r="I15" i="13"/>
  <c r="K15" i="13" s="1"/>
  <c r="C189" i="7"/>
  <c r="I71" i="13"/>
  <c r="K71" i="13" s="1"/>
  <c r="D1458" i="5"/>
  <c r="I389" i="3" s="1"/>
  <c r="C181" i="7" s="1"/>
  <c r="I11" i="13"/>
  <c r="K11" i="13" s="1"/>
  <c r="I380" i="3"/>
  <c r="K380" i="3" s="1"/>
  <c r="Q380" i="3" s="1"/>
  <c r="I12" i="13"/>
  <c r="K12" i="13" s="1"/>
  <c r="I327" i="3"/>
  <c r="C74" i="7" s="1"/>
  <c r="I161" i="13"/>
  <c r="K161" i="13" s="1"/>
  <c r="I124" i="3"/>
  <c r="C305" i="7" s="1"/>
  <c r="I86" i="13"/>
  <c r="K86" i="13" s="1"/>
  <c r="I142" i="3"/>
  <c r="K142" i="3" s="1"/>
  <c r="Q142" i="3" s="1"/>
  <c r="I118" i="13"/>
  <c r="K118" i="13" s="1"/>
  <c r="I183" i="3"/>
  <c r="C311" i="7" s="1"/>
  <c r="I147" i="13"/>
  <c r="K147" i="13" s="1"/>
  <c r="I446" i="3"/>
  <c r="C314" i="7" s="1"/>
  <c r="I14" i="13"/>
  <c r="K14" i="13" s="1"/>
  <c r="I871" i="3"/>
  <c r="C387" i="7" s="1"/>
  <c r="I53" i="13"/>
  <c r="K53" i="13" s="1"/>
  <c r="I913" i="3"/>
  <c r="C404" i="7" s="1"/>
  <c r="I925" i="3"/>
  <c r="C410" i="7" s="1"/>
  <c r="I44" i="13"/>
  <c r="K44" i="13" s="1"/>
  <c r="I98" i="3"/>
  <c r="C429" i="7" s="1"/>
  <c r="I94" i="13"/>
  <c r="K94" i="13" s="1"/>
  <c r="I150" i="3"/>
  <c r="K150" i="3" s="1"/>
  <c r="Q150" i="3" s="1"/>
  <c r="I101" i="13"/>
  <c r="K101" i="13" s="1"/>
  <c r="I351" i="3"/>
  <c r="K351" i="3" s="1"/>
  <c r="Q351" i="3" s="1"/>
  <c r="I29" i="13"/>
  <c r="K29" i="13" s="1"/>
  <c r="I130" i="3"/>
  <c r="C448" i="7" s="1"/>
  <c r="I131" i="13"/>
  <c r="K131" i="13" s="1"/>
  <c r="I104" i="3"/>
  <c r="K105" i="3" s="1"/>
  <c r="Q105" i="3" s="1"/>
  <c r="I102" i="13"/>
  <c r="K102" i="13" s="1"/>
  <c r="D4867" i="5"/>
  <c r="I553" i="3" s="1"/>
  <c r="C535" i="7" s="1"/>
  <c r="I79" i="13"/>
  <c r="K79" i="13" s="1"/>
  <c r="I546" i="3"/>
  <c r="K546" i="3" s="1"/>
  <c r="Q546" i="3" s="1"/>
  <c r="I72" i="13"/>
  <c r="K72" i="13" s="1"/>
  <c r="I542" i="3"/>
  <c r="K542" i="3" s="1"/>
  <c r="Q542" i="3" s="1"/>
  <c r="I78" i="13"/>
  <c r="K78" i="13" s="1"/>
  <c r="D5076" i="5"/>
  <c r="I536" i="3" s="1"/>
  <c r="C525" i="7" s="1"/>
  <c r="I66" i="13"/>
  <c r="K66" i="13" s="1"/>
  <c r="I441" i="3"/>
  <c r="C487" i="7" s="1"/>
  <c r="I68" i="13"/>
  <c r="K68" i="13" s="1"/>
  <c r="D4591" i="5"/>
  <c r="I435" i="3" s="1"/>
  <c r="C483" i="7" s="1"/>
  <c r="I61" i="13"/>
  <c r="K61" i="13" s="1"/>
  <c r="D4281" i="5"/>
  <c r="I198" i="3" s="1"/>
  <c r="I42" i="13"/>
  <c r="K42" i="13" s="1"/>
  <c r="I147" i="3"/>
  <c r="C458" i="7" s="1"/>
  <c r="I134" i="13"/>
  <c r="K134" i="13" s="1"/>
  <c r="I135" i="3"/>
  <c r="I107" i="13"/>
  <c r="K107" i="13" s="1"/>
  <c r="E4130" i="5"/>
  <c r="I165" i="3" s="1"/>
  <c r="C451" i="7" s="1"/>
  <c r="I127" i="13"/>
  <c r="K127" i="13" s="1"/>
  <c r="I121" i="3"/>
  <c r="C442" i="7" s="1"/>
  <c r="I150" i="13"/>
  <c r="K150" i="13" s="1"/>
  <c r="I117" i="3"/>
  <c r="C440" i="7" s="1"/>
  <c r="I123" i="13"/>
  <c r="K123" i="13" s="1"/>
  <c r="I113" i="3"/>
  <c r="K113" i="3" s="1"/>
  <c r="Q113" i="3" s="1"/>
  <c r="I153" i="13"/>
  <c r="K153" i="13" s="1"/>
  <c r="I109" i="3"/>
  <c r="K109" i="3" s="1"/>
  <c r="Q109" i="3" s="1"/>
  <c r="I145" i="13"/>
  <c r="K145" i="13" s="1"/>
  <c r="I102" i="3"/>
  <c r="C432" i="7" s="1"/>
  <c r="I99" i="13"/>
  <c r="K99" i="13" s="1"/>
  <c r="I715" i="3"/>
  <c r="C430" i="7" s="1"/>
  <c r="I115" i="13"/>
  <c r="K115" i="13" s="1"/>
  <c r="I111" i="13"/>
  <c r="K111" i="13" s="1"/>
  <c r="I765" i="3"/>
  <c r="C343" i="7" s="1"/>
  <c r="I69" i="13"/>
  <c r="K69" i="13" s="1"/>
  <c r="I735" i="3"/>
  <c r="C275" i="7" s="1"/>
  <c r="I58" i="13"/>
  <c r="K58" i="13" s="1"/>
  <c r="D3391" i="5"/>
  <c r="I613" i="3" s="1"/>
  <c r="C252" i="7" s="1"/>
  <c r="I57" i="13"/>
  <c r="K57" i="13" s="1"/>
  <c r="I80" i="3"/>
  <c r="K80" i="3" s="1"/>
  <c r="I142" i="13"/>
  <c r="K142" i="13" s="1"/>
  <c r="I74" i="3"/>
  <c r="K74" i="3" s="1"/>
  <c r="Q74" i="3" s="1"/>
  <c r="I128" i="13"/>
  <c r="K128" i="13" s="1"/>
  <c r="I70" i="3"/>
  <c r="K70" i="3" s="1"/>
  <c r="Q70" i="3" s="1"/>
  <c r="I98" i="13"/>
  <c r="K98" i="13" s="1"/>
  <c r="I66" i="3"/>
  <c r="K66" i="3" s="1"/>
  <c r="I95" i="13"/>
  <c r="K95" i="13" s="1"/>
  <c r="I57" i="3"/>
  <c r="K57" i="3" s="1"/>
  <c r="Q57" i="3" s="1"/>
  <c r="I135" i="13"/>
  <c r="K135" i="13" s="1"/>
  <c r="I51" i="3"/>
  <c r="K51" i="3" s="1"/>
  <c r="Q51" i="3" s="1"/>
  <c r="I109" i="13"/>
  <c r="K109" i="13" s="1"/>
  <c r="I47" i="3"/>
  <c r="C232" i="7" s="1"/>
  <c r="I148" i="13"/>
  <c r="K148" i="13" s="1"/>
  <c r="I43" i="3"/>
  <c r="C230" i="7" s="1"/>
  <c r="I108" i="13"/>
  <c r="K108" i="13" s="1"/>
  <c r="I22" i="3"/>
  <c r="K23" i="3" s="1"/>
  <c r="Q23" i="3" s="1"/>
  <c r="I155" i="13"/>
  <c r="K155" i="13" s="1"/>
  <c r="I18" i="3"/>
  <c r="C224" i="7" s="1"/>
  <c r="I117" i="13"/>
  <c r="K117" i="13" s="1"/>
  <c r="I33" i="3"/>
  <c r="K33" i="3" s="1"/>
  <c r="Q33" i="3" s="1"/>
  <c r="I89" i="13"/>
  <c r="K89" i="13" s="1"/>
  <c r="I426" i="3"/>
  <c r="C205" i="7" s="1"/>
  <c r="I26" i="13"/>
  <c r="K26" i="13" s="1"/>
  <c r="I192" i="3"/>
  <c r="C197" i="7" s="1"/>
  <c r="I160" i="13"/>
  <c r="K160" i="13" s="1"/>
  <c r="D1539" i="5"/>
  <c r="I396" i="3" s="1"/>
  <c r="K397" i="3" s="1"/>
  <c r="Q397" i="3" s="1"/>
  <c r="I85" i="13"/>
  <c r="K85" i="13" s="1"/>
  <c r="I455" i="3"/>
  <c r="K455" i="3" s="1"/>
  <c r="I8" i="13"/>
  <c r="K8" i="13" s="1"/>
  <c r="I394" i="3"/>
  <c r="K394" i="3" s="1"/>
  <c r="Q394" i="3" s="1"/>
  <c r="I18" i="13"/>
  <c r="K18" i="13" s="1"/>
  <c r="I382" i="3"/>
  <c r="K382" i="3" s="1"/>
  <c r="Q382" i="3" s="1"/>
  <c r="I23" i="13"/>
  <c r="K23" i="13" s="1"/>
  <c r="I29" i="3"/>
  <c r="K29" i="3" s="1"/>
  <c r="Q29" i="3" s="1"/>
  <c r="I100" i="13"/>
  <c r="K100" i="13" s="1"/>
  <c r="I127" i="3"/>
  <c r="C307" i="7" s="1"/>
  <c r="I139" i="13"/>
  <c r="K139" i="13" s="1"/>
  <c r="I155" i="3"/>
  <c r="C310" i="7" s="1"/>
  <c r="I141" i="13"/>
  <c r="K141" i="13" s="1"/>
  <c r="I362" i="3"/>
  <c r="C312" i="7" s="1"/>
  <c r="I158" i="13"/>
  <c r="K158" i="13" s="1"/>
  <c r="I905" i="3"/>
  <c r="K905" i="3" s="1"/>
  <c r="Q905" i="3" s="1"/>
  <c r="I34" i="13"/>
  <c r="K34" i="13" s="1"/>
  <c r="I911" i="3"/>
  <c r="K911" i="3" s="1"/>
  <c r="Q911" i="3" s="1"/>
  <c r="I37" i="13"/>
  <c r="K37" i="13" s="1"/>
  <c r="I160" i="3"/>
  <c r="K160" i="3" s="1"/>
  <c r="Q160" i="3" s="1"/>
  <c r="I105" i="13"/>
  <c r="K105" i="13" s="1"/>
  <c r="I222" i="3"/>
  <c r="C162" i="7" s="1"/>
  <c r="I54" i="13"/>
  <c r="K54" i="13" s="1"/>
  <c r="I7" i="4"/>
  <c r="K7" i="4" s="1"/>
  <c r="I62" i="13"/>
  <c r="K62" i="13" s="1"/>
  <c r="I50" i="13"/>
  <c r="K50" i="13" s="1"/>
  <c r="I119" i="13"/>
  <c r="K119" i="13" s="1"/>
  <c r="I36" i="13"/>
  <c r="K36" i="13" s="1"/>
  <c r="I41" i="13"/>
  <c r="K41" i="13" s="1"/>
  <c r="I376" i="3"/>
  <c r="K376" i="3" s="1"/>
  <c r="Q376" i="3" s="1"/>
  <c r="I7" i="13"/>
  <c r="K7" i="13" s="1"/>
  <c r="I230" i="3"/>
  <c r="K230" i="3" s="1"/>
  <c r="Q230" i="3" s="1"/>
  <c r="I48" i="13"/>
  <c r="K48" i="13" s="1"/>
  <c r="D478" i="5"/>
  <c r="I232" i="3" s="1"/>
  <c r="C101" i="7" s="1"/>
  <c r="I46" i="13"/>
  <c r="K46" i="13" s="1"/>
  <c r="D401" i="5"/>
  <c r="I219" i="3" s="1"/>
  <c r="C96" i="7" s="1"/>
  <c r="I47" i="13"/>
  <c r="K47" i="13" s="1"/>
  <c r="I211" i="3"/>
  <c r="K211" i="3" s="1"/>
  <c r="Q211" i="3" s="1"/>
  <c r="I38" i="13"/>
  <c r="K38" i="13" s="1"/>
  <c r="D251" i="5"/>
  <c r="I45" i="13"/>
  <c r="K45" i="13" s="1"/>
  <c r="I339" i="3"/>
  <c r="C82" i="7" s="1"/>
  <c r="I20" i="13"/>
  <c r="K20" i="13" s="1"/>
  <c r="I83" i="13"/>
  <c r="K83" i="13" s="1"/>
  <c r="K4" i="13"/>
  <c r="D360" i="5"/>
  <c r="I216" i="3" s="1"/>
  <c r="C425" i="7" s="1"/>
  <c r="I30" i="13"/>
  <c r="K30" i="13" s="1"/>
  <c r="I374" i="3"/>
  <c r="K374" i="3" s="1"/>
  <c r="Q374" i="3" s="1"/>
  <c r="I13" i="13"/>
  <c r="K13" i="13" s="1"/>
  <c r="D1299" i="5"/>
  <c r="I365" i="3" s="1"/>
  <c r="C169" i="7" s="1"/>
  <c r="I52" i="13"/>
  <c r="K52" i="13" s="1"/>
  <c r="D1174" i="5"/>
  <c r="I227" i="3" s="1"/>
  <c r="C159" i="7" s="1"/>
  <c r="I49" i="13"/>
  <c r="K49" i="13" s="1"/>
  <c r="I278" i="3"/>
  <c r="C126" i="7" s="1"/>
  <c r="I35" i="13"/>
  <c r="K35" i="13" s="1"/>
  <c r="D436" i="5"/>
  <c r="I40" i="13"/>
  <c r="K40" i="13" s="1"/>
  <c r="I208" i="3"/>
  <c r="C91" i="7" s="1"/>
  <c r="I55" i="13"/>
  <c r="K55" i="13" s="1"/>
  <c r="D145" i="5"/>
  <c r="I336" i="3" s="1"/>
  <c r="C80" i="7" s="1"/>
  <c r="I9" i="13"/>
  <c r="K9" i="13" s="1"/>
  <c r="D77" i="5"/>
  <c r="I330" i="3" s="1"/>
  <c r="C76" i="7" s="1"/>
  <c r="I27" i="13"/>
  <c r="K27" i="13" s="1"/>
  <c r="I103" i="4"/>
  <c r="K103" i="4" s="1"/>
  <c r="C361" i="7"/>
  <c r="I1" i="3"/>
  <c r="D4520" i="5"/>
  <c r="I450" i="3" s="1"/>
  <c r="C479" i="7" s="1"/>
  <c r="D1332" i="5"/>
  <c r="I368" i="3" s="1"/>
  <c r="C171" i="7" s="1"/>
  <c r="I17" i="4"/>
  <c r="K17" i="4" s="1"/>
  <c r="I47" i="4"/>
  <c r="K47" i="4" s="1"/>
  <c r="I59" i="3"/>
  <c r="K59" i="3" s="1"/>
  <c r="Q59" i="3" s="1"/>
  <c r="I144" i="4"/>
  <c r="K144" i="4" s="1"/>
  <c r="I20" i="4"/>
  <c r="K20" i="4" s="1"/>
  <c r="I345" i="3"/>
  <c r="C294" i="7" s="1"/>
  <c r="I35" i="3"/>
  <c r="C220" i="7" s="1"/>
  <c r="I79" i="4"/>
  <c r="K79" i="4" s="1"/>
  <c r="I384" i="3"/>
  <c r="K384" i="3" s="1"/>
  <c r="Q384" i="3" s="1"/>
  <c r="I897" i="3"/>
  <c r="K897" i="3" s="1"/>
  <c r="Q897" i="3" s="1"/>
  <c r="K70" i="4"/>
  <c r="C213" i="7"/>
  <c r="I84" i="4"/>
  <c r="K84" i="4" s="1"/>
  <c r="I787" i="3"/>
  <c r="K787" i="3" s="1"/>
  <c r="Q787" i="3" s="1"/>
  <c r="I83" i="4"/>
  <c r="K83" i="4" s="1"/>
  <c r="I889" i="3"/>
  <c r="K889" i="3" s="1"/>
  <c r="Q889" i="3" s="1"/>
  <c r="I111" i="4"/>
  <c r="K111" i="4" s="1"/>
  <c r="I602" i="3"/>
  <c r="C422" i="7" s="1"/>
  <c r="I89" i="4"/>
  <c r="K89" i="4" s="1"/>
  <c r="I709" i="3"/>
  <c r="C416" i="7" s="1"/>
  <c r="I97" i="4"/>
  <c r="K97" i="4" s="1"/>
  <c r="D23" i="5"/>
  <c r="I320" i="3" s="1"/>
  <c r="K320" i="3" s="1"/>
  <c r="D5009" i="5"/>
  <c r="I76" i="3"/>
  <c r="C247" i="7" s="1"/>
  <c r="I107" i="4"/>
  <c r="K107" i="4" s="1"/>
  <c r="I37" i="3"/>
  <c r="K37" i="3" s="1"/>
  <c r="Q37" i="3" s="1"/>
  <c r="I67" i="4"/>
  <c r="K67" i="4" s="1"/>
  <c r="I205" i="3"/>
  <c r="C89" i="7" s="1"/>
  <c r="C315" i="7"/>
  <c r="K568" i="3"/>
  <c r="C259" i="7"/>
  <c r="I496" i="3"/>
  <c r="Q604" i="3"/>
  <c r="Q66" i="3"/>
  <c r="Q422" i="3"/>
  <c r="Q660" i="3"/>
  <c r="Q681" i="3"/>
  <c r="Q685" i="3"/>
  <c r="Q780" i="3"/>
  <c r="I82" i="4"/>
  <c r="K82" i="4" s="1"/>
  <c r="I151" i="4"/>
  <c r="K151" i="4" s="1"/>
  <c r="I186" i="3"/>
  <c r="C412" i="7" s="1"/>
  <c r="I94" i="4"/>
  <c r="K94" i="4" s="1"/>
  <c r="I50" i="4"/>
  <c r="K50" i="4" s="1"/>
  <c r="I16" i="4"/>
  <c r="K16" i="4" s="1"/>
  <c r="I63" i="4"/>
  <c r="K63" i="4" s="1"/>
  <c r="I74" i="4"/>
  <c r="K74" i="4" s="1"/>
  <c r="D5616" i="5"/>
  <c r="I65" i="4"/>
  <c r="K65" i="4" s="1"/>
  <c r="C513" i="7"/>
  <c r="I85" i="4"/>
  <c r="K85" i="4" s="1"/>
  <c r="I731" i="3"/>
  <c r="C342" i="7" s="1"/>
  <c r="I407" i="3"/>
  <c r="C191" i="7" s="1"/>
  <c r="I15" i="3"/>
  <c r="I78" i="4"/>
  <c r="K78" i="4" s="1"/>
  <c r="I26" i="4"/>
  <c r="K26" i="4" s="1"/>
  <c r="I95" i="4"/>
  <c r="K95" i="4" s="1"/>
  <c r="I71" i="4"/>
  <c r="K71" i="4" s="1"/>
  <c r="I149" i="4"/>
  <c r="K149" i="4" s="1"/>
  <c r="I143" i="4"/>
  <c r="K143" i="4" s="1"/>
  <c r="I141" i="4"/>
  <c r="K141" i="4" s="1"/>
  <c r="I132" i="4"/>
  <c r="K132" i="4" s="1"/>
  <c r="I128" i="4"/>
  <c r="K128" i="4" s="1"/>
  <c r="I121" i="4"/>
  <c r="K121" i="4" s="1"/>
  <c r="I115" i="4"/>
  <c r="K115" i="4" s="1"/>
  <c r="I104" i="4"/>
  <c r="K104" i="4" s="1"/>
  <c r="I96" i="4"/>
  <c r="K96" i="4" s="1"/>
  <c r="I93" i="4"/>
  <c r="K93" i="4" s="1"/>
  <c r="I73" i="4"/>
  <c r="K73" i="4" s="1"/>
  <c r="I69" i="4"/>
  <c r="K69" i="4" s="1"/>
  <c r="I62" i="4"/>
  <c r="K62" i="4" s="1"/>
  <c r="I57" i="4"/>
  <c r="K57" i="4" s="1"/>
  <c r="I12" i="4"/>
  <c r="K12" i="4" s="1"/>
  <c r="I5" i="4"/>
  <c r="K5" i="4" s="1"/>
  <c r="I76" i="4"/>
  <c r="K76" i="4" s="1"/>
  <c r="I108" i="4"/>
  <c r="K108" i="4" s="1"/>
  <c r="I32" i="4"/>
  <c r="K32" i="4" s="1"/>
  <c r="H5466" i="5"/>
  <c r="F3601" i="5"/>
  <c r="D5692" i="5"/>
  <c r="H5692" i="5"/>
  <c r="E5768" i="5"/>
  <c r="H5806" i="5"/>
  <c r="E5844" i="5"/>
  <c r="D5966" i="5"/>
  <c r="D6049" i="5"/>
  <c r="D5924" i="5"/>
  <c r="C420" i="7"/>
  <c r="I88" i="4"/>
  <c r="K88" i="4" s="1"/>
  <c r="I124" i="4"/>
  <c r="K124" i="4" s="1"/>
  <c r="I3" i="4"/>
  <c r="K3" i="4" s="1"/>
  <c r="I152" i="4"/>
  <c r="K152" i="4" s="1"/>
  <c r="I135" i="4"/>
  <c r="K135" i="4" s="1"/>
  <c r="I60" i="4"/>
  <c r="K60" i="4" s="1"/>
  <c r="I157" i="4"/>
  <c r="K157" i="4" s="1"/>
  <c r="I134" i="4"/>
  <c r="K134" i="4" s="1"/>
  <c r="C288" i="7"/>
  <c r="C175" i="7"/>
  <c r="I9" i="4"/>
  <c r="K9" i="4" s="1"/>
  <c r="I21" i="4"/>
  <c r="K21" i="4" s="1"/>
  <c r="I14" i="4"/>
  <c r="K14" i="4" s="1"/>
  <c r="K444" i="3"/>
  <c r="Q444" i="3" s="1"/>
  <c r="C331" i="7"/>
  <c r="I36" i="4"/>
  <c r="K36" i="4" s="1"/>
  <c r="I43" i="4"/>
  <c r="K43" i="4" s="1"/>
  <c r="I34" i="4"/>
  <c r="K34" i="4" s="1"/>
  <c r="Q512" i="3"/>
  <c r="I45" i="4"/>
  <c r="K45" i="4" s="1"/>
  <c r="I66" i="4"/>
  <c r="K66" i="4" s="1"/>
  <c r="I146" i="4"/>
  <c r="K146" i="4" s="1"/>
  <c r="I106" i="4"/>
  <c r="K106" i="4" s="1"/>
  <c r="I80" i="4"/>
  <c r="K80" i="4" s="1"/>
  <c r="I59" i="4"/>
  <c r="K59" i="4" s="1"/>
  <c r="I53" i="4"/>
  <c r="K53" i="4" s="1"/>
  <c r="I40" i="4"/>
  <c r="K40" i="4" s="1"/>
  <c r="K82" i="3"/>
  <c r="Q82" i="3" s="1"/>
  <c r="D4334" i="5"/>
  <c r="E3601" i="5"/>
  <c r="I621" i="3" s="1"/>
  <c r="K621" i="3" s="1"/>
  <c r="Q621" i="3" s="1"/>
  <c r="C321" i="7"/>
  <c r="K600" i="3"/>
  <c r="Q600" i="3" s="1"/>
  <c r="C179" i="7"/>
  <c r="C290" i="7"/>
  <c r="I6" i="4"/>
  <c r="K6" i="4" s="1"/>
  <c r="F4758" i="5"/>
  <c r="C293" i="7"/>
  <c r="C212" i="7"/>
  <c r="C523" i="7"/>
  <c r="I479" i="3"/>
  <c r="K480" i="3" s="1"/>
  <c r="Q480" i="3" s="1"/>
  <c r="C291" i="7"/>
  <c r="C186" i="7"/>
  <c r="C164" i="7"/>
  <c r="C328" i="7"/>
  <c r="C476" i="7"/>
  <c r="C308" i="7"/>
  <c r="C340" i="7"/>
  <c r="C298" i="7"/>
  <c r="C214" i="7"/>
  <c r="C313" i="7"/>
  <c r="C326" i="7"/>
  <c r="C346" i="7"/>
  <c r="C344" i="7"/>
  <c r="I22" i="4"/>
  <c r="K22" i="4" s="1"/>
  <c r="C303" i="7"/>
  <c r="K810" i="3"/>
  <c r="Q810" i="3" s="1"/>
  <c r="C447" i="7"/>
  <c r="C509" i="7"/>
  <c r="K491" i="3"/>
  <c r="Q491" i="3" s="1"/>
  <c r="K500" i="3"/>
  <c r="Q500" i="3" s="1"/>
  <c r="C514" i="7"/>
  <c r="C317" i="7"/>
  <c r="K518" i="3"/>
  <c r="Q518" i="3" s="1"/>
  <c r="I453" i="3"/>
  <c r="K453" i="3" s="1"/>
  <c r="Q453" i="3" s="1"/>
  <c r="Q522" i="3"/>
  <c r="Q516" i="3"/>
  <c r="Q460" i="3"/>
  <c r="Q482" i="3"/>
  <c r="K703" i="3"/>
  <c r="Q703" i="3" s="1"/>
  <c r="C250" i="7"/>
  <c r="C349" i="7"/>
  <c r="C519" i="7"/>
  <c r="C501" i="7"/>
  <c r="C316" i="7"/>
  <c r="C318" i="7"/>
  <c r="C322" i="7"/>
  <c r="K458" i="3"/>
  <c r="Q458" i="3" s="1"/>
  <c r="K514" i="3"/>
  <c r="Q859" i="3"/>
  <c r="Q713" i="3"/>
  <c r="Q679" i="3"/>
  <c r="Q80" i="3"/>
  <c r="I105" i="4"/>
  <c r="K105" i="4" s="1"/>
  <c r="D5112" i="5"/>
  <c r="I539" i="3" s="1"/>
  <c r="C277" i="7"/>
  <c r="C417" i="7"/>
  <c r="C497" i="7"/>
  <c r="I49" i="4"/>
  <c r="K49" i="4" s="1"/>
  <c r="I37" i="4"/>
  <c r="K37" i="4" s="1"/>
  <c r="I27" i="4"/>
  <c r="K27" i="4" s="1"/>
  <c r="L4" i="8"/>
  <c r="I131" i="4"/>
  <c r="K131" i="4" s="1"/>
  <c r="K881" i="3"/>
  <c r="Q881" i="3" s="1"/>
  <c r="C391" i="7"/>
  <c r="K879" i="3"/>
  <c r="Q879" i="3" s="1"/>
  <c r="C390" i="7"/>
  <c r="E5692" i="5"/>
  <c r="I122" i="4"/>
  <c r="K122" i="4" s="1"/>
  <c r="I18" i="4"/>
  <c r="K18" i="4" s="1"/>
  <c r="D4758" i="5"/>
  <c r="I528" i="3" s="1"/>
  <c r="C520" i="7" s="1"/>
  <c r="I10" i="4"/>
  <c r="K10" i="4" s="1"/>
  <c r="I238" i="3"/>
  <c r="C104" i="7" s="1"/>
  <c r="I8" i="4"/>
  <c r="K8" i="4" s="1"/>
  <c r="I125" i="4"/>
  <c r="K125" i="4" s="1"/>
  <c r="K392" i="3"/>
  <c r="Q392" i="3" s="1"/>
  <c r="C333" i="7"/>
  <c r="C384" i="7"/>
  <c r="I254" i="3"/>
  <c r="C113" i="7" s="1"/>
  <c r="C368" i="7"/>
  <c r="K833" i="3"/>
  <c r="Q833" i="3" s="1"/>
  <c r="K845" i="3"/>
  <c r="Q845" i="3" s="1"/>
  <c r="C374" i="7"/>
  <c r="K831" i="3"/>
  <c r="Q831" i="3" s="1"/>
  <c r="C367" i="7"/>
  <c r="K843" i="3"/>
  <c r="Q843" i="3" s="1"/>
  <c r="C373" i="7"/>
  <c r="K847" i="3"/>
  <c r="Q847" i="3" s="1"/>
  <c r="C375" i="7"/>
  <c r="I224" i="3"/>
  <c r="C98" i="7" s="1"/>
  <c r="Q473" i="3"/>
  <c r="C474" i="7"/>
  <c r="K630" i="3"/>
  <c r="Q630" i="3" s="1"/>
  <c r="C392" i="7"/>
  <c r="C423" i="7"/>
  <c r="C282" i="7"/>
  <c r="C381" i="7"/>
  <c r="C418" i="7"/>
  <c r="K357" i="3"/>
  <c r="Q357" i="3" s="1"/>
  <c r="K459" i="3"/>
  <c r="Q459" i="3" s="1"/>
  <c r="K662" i="3"/>
  <c r="Q662" i="3" s="1"/>
  <c r="C332" i="7"/>
  <c r="K778" i="3"/>
  <c r="Q778" i="3" s="1"/>
  <c r="C348" i="7"/>
  <c r="K915" i="3"/>
  <c r="Q915" i="3" s="1"/>
  <c r="C405" i="7"/>
  <c r="K871" i="3"/>
  <c r="Q871" i="3" s="1"/>
  <c r="C389" i="7"/>
  <c r="K877" i="3"/>
  <c r="Q877" i="3" s="1"/>
  <c r="K824" i="3"/>
  <c r="Q824" i="3" s="1"/>
  <c r="C365" i="7"/>
  <c r="K873" i="3"/>
  <c r="Q873" i="3" s="1"/>
  <c r="C388" i="7"/>
  <c r="K822" i="3"/>
  <c r="Q822" i="3" s="1"/>
  <c r="C364" i="7"/>
  <c r="K855" i="3"/>
  <c r="Q855" i="3" s="1"/>
  <c r="C379" i="7"/>
  <c r="K867" i="3"/>
  <c r="Q867" i="3" s="1"/>
  <c r="C385" i="7"/>
  <c r="K863" i="3"/>
  <c r="Q863" i="3" s="1"/>
  <c r="C383" i="7"/>
  <c r="K853" i="3"/>
  <c r="Q853" i="3" s="1"/>
  <c r="C378" i="7"/>
  <c r="K861" i="3"/>
  <c r="Q861" i="3" s="1"/>
  <c r="C382" i="7"/>
  <c r="K857" i="3"/>
  <c r="Q857" i="3" s="1"/>
  <c r="C380" i="7"/>
  <c r="K849" i="3"/>
  <c r="Q849" i="3" s="1"/>
  <c r="C376" i="7"/>
  <c r="K851" i="3"/>
  <c r="Q851" i="3" s="1"/>
  <c r="C377" i="7"/>
  <c r="K925" i="3"/>
  <c r="Q925" i="3" s="1"/>
  <c r="K841" i="3"/>
  <c r="Q841" i="3" s="1"/>
  <c r="K835" i="3"/>
  <c r="Q835" i="3" s="1"/>
  <c r="C369" i="7"/>
  <c r="K923" i="3"/>
  <c r="Q923" i="3" s="1"/>
  <c r="C409" i="7"/>
  <c r="D4952" i="5"/>
  <c r="D4921" i="5"/>
  <c r="I139" i="4"/>
  <c r="K139" i="4" s="1"/>
  <c r="K534" i="3"/>
  <c r="Q534" i="3" s="1"/>
  <c r="C524" i="7"/>
  <c r="K776" i="3"/>
  <c r="Q776" i="3" s="1"/>
  <c r="C347" i="7"/>
  <c r="C490" i="7"/>
  <c r="K658" i="3"/>
  <c r="Q658" i="3" s="1"/>
  <c r="K98" i="3"/>
  <c r="Q98" i="3" s="1"/>
  <c r="K94" i="3"/>
  <c r="Q94" i="3" s="1"/>
  <c r="C427" i="7"/>
  <c r="K697" i="3"/>
  <c r="Q697" i="3" s="1"/>
  <c r="C286" i="7"/>
  <c r="K689" i="3"/>
  <c r="Q689" i="3" s="1"/>
  <c r="C338" i="7"/>
  <c r="K672" i="3"/>
  <c r="Q672" i="3" s="1"/>
  <c r="C278" i="7"/>
  <c r="K726" i="3"/>
  <c r="Q726" i="3" s="1"/>
  <c r="K687" i="3"/>
  <c r="Q687" i="3" s="1"/>
  <c r="C337" i="7"/>
  <c r="K695" i="3"/>
  <c r="Q695" i="3" s="1"/>
  <c r="C285" i="7"/>
  <c r="K699" i="3"/>
  <c r="Q699" i="3" s="1"/>
  <c r="C287" i="7"/>
  <c r="C283" i="7"/>
  <c r="K691" i="3"/>
  <c r="Q691" i="3" s="1"/>
  <c r="K789" i="3"/>
  <c r="Q789" i="3" s="1"/>
  <c r="C352" i="7"/>
  <c r="K791" i="3"/>
  <c r="Q791" i="3" s="1"/>
  <c r="C353" i="7"/>
  <c r="I785" i="3"/>
  <c r="I140" i="4"/>
  <c r="K140" i="4" s="1"/>
  <c r="D1749" i="5"/>
  <c r="I42" i="4"/>
  <c r="K42" i="4" s="1"/>
  <c r="C182" i="7"/>
  <c r="C415" i="7"/>
  <c r="C336" i="7"/>
  <c r="C203" i="7"/>
  <c r="C424" i="7"/>
  <c r="C334" i="7"/>
  <c r="K532" i="3"/>
  <c r="Q532" i="3" s="1"/>
  <c r="K774" i="3"/>
  <c r="Q774" i="3" s="1"/>
  <c r="K418" i="3"/>
  <c r="Q418" i="3" s="1"/>
  <c r="C200" i="7"/>
  <c r="K457" i="3"/>
  <c r="Q457" i="3" s="1"/>
  <c r="Q510" i="3"/>
  <c r="Q477" i="3"/>
  <c r="H8" i="1"/>
  <c r="C166" i="7"/>
  <c r="I493" i="3"/>
  <c r="C475" i="7" s="1"/>
  <c r="C208" i="7"/>
  <c r="K11" i="3"/>
  <c r="Q11" i="3" s="1"/>
  <c r="K405" i="3"/>
  <c r="Q405" i="3" s="1"/>
  <c r="C180" i="7"/>
  <c r="C521" i="7"/>
  <c r="K771" i="3"/>
  <c r="Q771" i="3" s="1"/>
  <c r="C528" i="7"/>
  <c r="K740" i="3"/>
  <c r="Q740" i="3" s="1"/>
  <c r="C411" i="7"/>
  <c r="C478" i="7"/>
  <c r="C77" i="7"/>
  <c r="H3601" i="5"/>
  <c r="K163" i="3"/>
  <c r="Q163" i="3" s="1"/>
  <c r="C449" i="7"/>
  <c r="C271" i="7"/>
  <c r="K593" i="3"/>
  <c r="Q593" i="3" s="1"/>
  <c r="C269" i="7"/>
  <c r="K587" i="3"/>
  <c r="Q587" i="3" s="1"/>
  <c r="K583" i="3"/>
  <c r="Q583" i="3" s="1"/>
  <c r="C267" i="7"/>
  <c r="K579" i="3"/>
  <c r="Q579" i="3" s="1"/>
  <c r="C265" i="7"/>
  <c r="K575" i="3"/>
  <c r="Q575" i="3" s="1"/>
  <c r="C262" i="7"/>
  <c r="K566" i="3"/>
  <c r="Q566" i="3" s="1"/>
  <c r="C258" i="7"/>
  <c r="K562" i="3"/>
  <c r="Q562" i="3" s="1"/>
  <c r="C256" i="7"/>
  <c r="K560" i="3"/>
  <c r="Q560" i="3" s="1"/>
  <c r="C254" i="7"/>
  <c r="C222" i="7"/>
  <c r="K39" i="3"/>
  <c r="Q39" i="3" s="1"/>
  <c r="K426" i="3"/>
  <c r="C163" i="7"/>
  <c r="K354" i="3"/>
  <c r="Q354" i="3" s="1"/>
  <c r="K683" i="3"/>
  <c r="Q683" i="3" s="1"/>
  <c r="C335" i="7"/>
  <c r="C360" i="7"/>
  <c r="K806" i="3"/>
  <c r="Q806" i="3" s="1"/>
  <c r="K816" i="3"/>
  <c r="Q816" i="3" s="1"/>
  <c r="C363" i="7"/>
  <c r="K616" i="3"/>
  <c r="Q616" i="3" s="1"/>
  <c r="C419" i="7"/>
  <c r="C75" i="7"/>
  <c r="C469" i="7"/>
  <c r="K715" i="3"/>
  <c r="Q715" i="3" s="1"/>
  <c r="K595" i="3"/>
  <c r="Q595" i="3" s="1"/>
  <c r="C272" i="7"/>
  <c r="C270" i="7"/>
  <c r="K589" i="3"/>
  <c r="Q589" i="3" s="1"/>
  <c r="K585" i="3"/>
  <c r="Q585" i="3" s="1"/>
  <c r="C268" i="7"/>
  <c r="C266" i="7"/>
  <c r="K581" i="3"/>
  <c r="Q581" i="3" s="1"/>
  <c r="K577" i="3"/>
  <c r="Q577" i="3" s="1"/>
  <c r="C263" i="7"/>
  <c r="K570" i="3"/>
  <c r="Q570" i="3" s="1"/>
  <c r="C260" i="7"/>
  <c r="K564" i="3"/>
  <c r="Q564" i="3" s="1"/>
  <c r="C257" i="7"/>
  <c r="K762" i="3"/>
  <c r="Q762" i="3" s="1"/>
  <c r="C127" i="7"/>
  <c r="C103" i="7"/>
  <c r="K646" i="3"/>
  <c r="Q646" i="3" s="1"/>
  <c r="C386" i="7"/>
  <c r="K869" i="3"/>
  <c r="Q869" i="3" s="1"/>
  <c r="C362" i="7"/>
  <c r="K814" i="3"/>
  <c r="Q814" i="3" s="1"/>
  <c r="K693" i="3"/>
  <c r="Q693" i="3" s="1"/>
  <c r="C284" i="7"/>
  <c r="I118" i="4"/>
  <c r="K118" i="4" s="1"/>
  <c r="I157" i="3"/>
  <c r="K158" i="3" s="1"/>
  <c r="Q158" i="3" s="1"/>
  <c r="I38" i="4"/>
  <c r="K38" i="4" s="1"/>
  <c r="H12" i="1"/>
  <c r="H11" i="1"/>
  <c r="H9" i="1"/>
  <c r="O929" i="3"/>
  <c r="Q524" i="3"/>
  <c r="K626" i="3"/>
  <c r="Q626" i="3" s="1"/>
  <c r="C324" i="7"/>
  <c r="K372" i="3"/>
  <c r="Q372" i="3" s="1"/>
  <c r="C482" i="7"/>
  <c r="C526" i="7"/>
  <c r="K537" i="3"/>
  <c r="C413" i="7"/>
  <c r="K738" i="3"/>
  <c r="Q738" i="3" s="1"/>
  <c r="J105" i="2"/>
  <c r="C236" i="7"/>
  <c r="C215" i="7"/>
  <c r="D537" i="7"/>
  <c r="H10" i="1"/>
  <c r="Q320" i="3" l="1"/>
  <c r="C219" i="7"/>
  <c r="F22" i="1"/>
  <c r="H22" i="1" s="1"/>
  <c r="C161" i="7"/>
  <c r="K84" i="3"/>
  <c r="Q84" i="3" s="1"/>
  <c r="C462" i="7"/>
  <c r="K43" i="3"/>
  <c r="Q43" i="3" s="1"/>
  <c r="K222" i="3"/>
  <c r="Q222" i="3" s="1"/>
  <c r="C211" i="7"/>
  <c r="K100" i="3"/>
  <c r="Q100" i="3" s="1"/>
  <c r="C246" i="7"/>
  <c r="K591" i="3"/>
  <c r="Q591" i="3" s="1"/>
  <c r="K102" i="3"/>
  <c r="Q102" i="3" s="1"/>
  <c r="C531" i="7"/>
  <c r="K907" i="3"/>
  <c r="Q907" i="3" s="1"/>
  <c r="C460" i="7"/>
  <c r="C296" i="7"/>
  <c r="K117" i="3"/>
  <c r="Q117" i="3" s="1"/>
  <c r="C438" i="7"/>
  <c r="K428" i="3"/>
  <c r="Q428" i="3" s="1"/>
  <c r="K41" i="3"/>
  <c r="Q41" i="3" s="1"/>
  <c r="C245" i="7"/>
  <c r="K96" i="3"/>
  <c r="Q96" i="3" s="1"/>
  <c r="K433" i="3"/>
  <c r="C248" i="7"/>
  <c r="K47" i="3"/>
  <c r="Q47" i="3" s="1"/>
  <c r="K766" i="3"/>
  <c r="Q766" i="3" s="1"/>
  <c r="C229" i="7"/>
  <c r="C370" i="7"/>
  <c r="K839" i="3"/>
  <c r="Q839" i="3" s="1"/>
  <c r="C403" i="7"/>
  <c r="K917" i="3"/>
  <c r="Q917" i="3" s="1"/>
  <c r="C461" i="7"/>
  <c r="C530" i="7"/>
  <c r="K340" i="3"/>
  <c r="Q340" i="3" s="1"/>
  <c r="K220" i="3"/>
  <c r="Q220" i="3" s="1"/>
  <c r="C204" i="7"/>
  <c r="C184" i="7"/>
  <c r="C244" i="7"/>
  <c r="K328" i="3"/>
  <c r="Q328" i="3" s="1"/>
  <c r="C93" i="7"/>
  <c r="C187" i="7"/>
  <c r="K18" i="3"/>
  <c r="Q18" i="3" s="1"/>
  <c r="C243" i="7"/>
  <c r="C226" i="7"/>
  <c r="K53" i="3"/>
  <c r="Q53" i="3" s="1"/>
  <c r="C237" i="7"/>
  <c r="C401" i="7"/>
  <c r="K913" i="3"/>
  <c r="Q913" i="3" s="1"/>
  <c r="C393" i="7"/>
  <c r="C366" i="7"/>
  <c r="C231" i="7"/>
  <c r="K650" i="3"/>
  <c r="Q650" i="3" s="1"/>
  <c r="C439" i="7"/>
  <c r="K135" i="3"/>
  <c r="Q135" i="3" s="1"/>
  <c r="K166" i="3"/>
  <c r="Q166" i="3" s="1"/>
  <c r="C529" i="7"/>
  <c r="C436" i="7"/>
  <c r="C433" i="7"/>
  <c r="K554" i="3"/>
  <c r="Q554" i="3" s="1"/>
  <c r="C508" i="7"/>
  <c r="C400" i="7"/>
  <c r="C174" i="7"/>
  <c r="K155" i="3"/>
  <c r="Q155" i="3" s="1"/>
  <c r="C292" i="7"/>
  <c r="K446" i="3"/>
  <c r="Q446" i="3" s="1"/>
  <c r="K128" i="3"/>
  <c r="Q128" i="3" s="1"/>
  <c r="C249" i="7"/>
  <c r="K389" i="3"/>
  <c r="Q389" i="3" s="1"/>
  <c r="C452" i="7"/>
  <c r="C176" i="7"/>
  <c r="C234" i="7"/>
  <c r="C242" i="7"/>
  <c r="K363" i="3"/>
  <c r="Q363" i="3" s="1"/>
  <c r="C177" i="7"/>
  <c r="C437" i="7"/>
  <c r="C441" i="7"/>
  <c r="C304" i="7"/>
  <c r="C456" i="7"/>
  <c r="C183" i="7"/>
  <c r="C453" i="7"/>
  <c r="K331" i="3"/>
  <c r="Q331" i="3" s="1"/>
  <c r="K130" i="3"/>
  <c r="Q130" i="3" s="1"/>
  <c r="C233" i="7"/>
  <c r="C309" i="7"/>
  <c r="C173" i="7"/>
  <c r="K148" i="3"/>
  <c r="Q148" i="3" s="1"/>
  <c r="C225" i="7"/>
  <c r="K548" i="3"/>
  <c r="Q548" i="3" s="1"/>
  <c r="C435" i="7"/>
  <c r="K709" i="3"/>
  <c r="Q709" i="3" s="1"/>
  <c r="C351" i="7"/>
  <c r="C394" i="7"/>
  <c r="K602" i="3"/>
  <c r="Q602" i="3" s="1"/>
  <c r="C70" i="7"/>
  <c r="C221" i="7"/>
  <c r="K731" i="3"/>
  <c r="Q731" i="3" s="1"/>
  <c r="K35" i="3"/>
  <c r="Q35" i="3" s="1"/>
  <c r="I35" i="4"/>
  <c r="K35" i="4" s="1"/>
  <c r="I70" i="13"/>
  <c r="K70" i="13" s="1"/>
  <c r="C178" i="7"/>
  <c r="C238" i="7"/>
  <c r="K16" i="3"/>
  <c r="Q16" i="3" s="1"/>
  <c r="K187" i="3"/>
  <c r="Q187" i="3" s="1"/>
  <c r="K76" i="3"/>
  <c r="Q76" i="3" s="1"/>
  <c r="K497" i="3"/>
  <c r="Q497" i="3" s="1"/>
  <c r="K317" i="3"/>
  <c r="Q317" i="3" s="1"/>
  <c r="K529" i="3"/>
  <c r="I14" i="8"/>
  <c r="L14" i="8" s="1"/>
  <c r="C473" i="7"/>
  <c r="C301" i="7"/>
  <c r="Q514" i="3"/>
  <c r="C160" i="7"/>
  <c r="C505" i="7"/>
  <c r="C323" i="7"/>
  <c r="I468" i="3"/>
  <c r="C471" i="7" s="1"/>
  <c r="C426" i="7"/>
  <c r="C503" i="7"/>
  <c r="C306" i="7"/>
  <c r="C339" i="7"/>
  <c r="C83" i="7"/>
  <c r="K736" i="3"/>
  <c r="Q736" i="3" s="1"/>
  <c r="K190" i="3"/>
  <c r="Q190" i="3" s="1"/>
  <c r="C192" i="7"/>
  <c r="C195" i="7"/>
  <c r="C470" i="7"/>
  <c r="C190" i="7"/>
  <c r="K723" i="3"/>
  <c r="Q723" i="3" s="1"/>
  <c r="K346" i="3"/>
  <c r="Q346" i="3" s="1"/>
  <c r="C300" i="7"/>
  <c r="K628" i="3"/>
  <c r="Q628" i="3" s="1"/>
  <c r="C172" i="7"/>
  <c r="I502" i="3"/>
  <c r="C319" i="7" s="1"/>
  <c r="C100" i="7"/>
  <c r="C97" i="7"/>
  <c r="C253" i="7"/>
  <c r="K614" i="3"/>
  <c r="K718" i="3"/>
  <c r="Q718" i="3" s="1"/>
  <c r="C341" i="7"/>
  <c r="I487" i="3"/>
  <c r="K369" i="3"/>
  <c r="Q369" i="3" s="1"/>
  <c r="K233" i="3"/>
  <c r="Q233" i="3" s="1"/>
  <c r="C320" i="7"/>
  <c r="C464" i="7"/>
  <c r="K408" i="3"/>
  <c r="Q408" i="3" s="1"/>
  <c r="C276" i="7"/>
  <c r="K414" i="3"/>
  <c r="Q414" i="3" s="1"/>
  <c r="K217" i="3"/>
  <c r="Q217" i="3" s="1"/>
  <c r="C90" i="7"/>
  <c r="K619" i="3"/>
  <c r="Q619" i="3" s="1"/>
  <c r="K729" i="3"/>
  <c r="Q729" i="3" s="1"/>
  <c r="K125" i="3"/>
  <c r="Q125" i="3" s="1"/>
  <c r="C325" i="7"/>
  <c r="K202" i="3"/>
  <c r="Q202" i="3" s="1"/>
  <c r="K494" i="3"/>
  <c r="Q494" i="3" s="1"/>
  <c r="I484" i="3"/>
  <c r="C502" i="7" s="1"/>
  <c r="C472" i="7"/>
  <c r="C527" i="7"/>
  <c r="K540" i="3"/>
  <c r="Q540" i="3" s="1"/>
  <c r="C459" i="7"/>
  <c r="I17" i="8"/>
  <c r="I19" i="8" s="1"/>
  <c r="G29" i="1"/>
  <c r="K785" i="3"/>
  <c r="Q785" i="3" s="1"/>
  <c r="C350" i="7"/>
  <c r="K184" i="3"/>
  <c r="Q184" i="3" s="1"/>
  <c r="C295" i="7"/>
  <c r="K400" i="3"/>
  <c r="Q400" i="3" s="1"/>
  <c r="C274" i="7"/>
  <c r="K199" i="3"/>
  <c r="Q199" i="3" s="1"/>
  <c r="C443" i="7"/>
  <c r="K122" i="3"/>
  <c r="Q122" i="3" s="1"/>
  <c r="K196" i="3"/>
  <c r="Q196" i="3" s="1"/>
  <c r="C466" i="7"/>
  <c r="Q426" i="3"/>
  <c r="H6" i="1"/>
  <c r="H13" i="1" s="1"/>
  <c r="F13" i="1"/>
  <c r="K323" i="3"/>
  <c r="Q323" i="3" s="1"/>
  <c r="C72" i="7"/>
  <c r="K366" i="3"/>
  <c r="Q366" i="3" s="1"/>
  <c r="C170" i="7"/>
  <c r="K225" i="3"/>
  <c r="Q225" i="3" s="1"/>
  <c r="C99" i="7"/>
  <c r="K228" i="3"/>
  <c r="Q228" i="3" s="1"/>
  <c r="C488" i="7"/>
  <c r="K442" i="3"/>
  <c r="Q442" i="3" s="1"/>
  <c r="K140" i="3"/>
  <c r="Q140" i="3" s="1"/>
  <c r="C455" i="7"/>
  <c r="K609" i="3"/>
  <c r="Q609" i="3" s="1"/>
  <c r="C445" i="7"/>
  <c r="C484" i="7"/>
  <c r="K436" i="3"/>
  <c r="K334" i="3"/>
  <c r="C79" i="7"/>
  <c r="C240" i="7"/>
  <c r="K62" i="3"/>
  <c r="Q62" i="3" s="1"/>
  <c r="K655" i="3"/>
  <c r="C330" i="7"/>
  <c r="C302" i="7"/>
  <c r="K88" i="3"/>
  <c r="K9" i="3"/>
  <c r="C207" i="7"/>
  <c r="Q537" i="3"/>
  <c r="K451" i="3"/>
  <c r="F20" i="1" s="1"/>
  <c r="C480" i="7"/>
  <c r="C81" i="7"/>
  <c r="K337" i="3"/>
  <c r="Q337" i="3" s="1"/>
  <c r="Q455" i="3"/>
  <c r="F15" i="1" l="1"/>
  <c r="Q433" i="3"/>
  <c r="G12" i="8"/>
  <c r="L12" i="8" s="1"/>
  <c r="J16" i="8"/>
  <c r="J17" i="8" s="1"/>
  <c r="J19" i="8" s="1"/>
  <c r="Q451" i="3"/>
  <c r="Q529" i="3"/>
  <c r="Q614" i="3"/>
  <c r="I940" i="3"/>
  <c r="I161" i="4"/>
  <c r="I163" i="4" s="1"/>
  <c r="K1" i="3"/>
  <c r="K488" i="3"/>
  <c r="Q488" i="3" s="1"/>
  <c r="I162" i="13"/>
  <c r="Q88" i="3"/>
  <c r="K469" i="3"/>
  <c r="C504" i="7"/>
  <c r="K503" i="3"/>
  <c r="Q503" i="3" s="1"/>
  <c r="K206" i="3"/>
  <c r="C534" i="7"/>
  <c r="D9" i="8"/>
  <c r="L9" i="8" s="1"/>
  <c r="K485" i="3"/>
  <c r="Q485" i="3" s="1"/>
  <c r="K551" i="3"/>
  <c r="K15" i="8" s="1"/>
  <c r="G26" i="1"/>
  <c r="E9" i="1"/>
  <c r="E11" i="1"/>
  <c r="E8" i="1"/>
  <c r="E12" i="1"/>
  <c r="E6" i="1"/>
  <c r="E7" i="1"/>
  <c r="E10" i="1"/>
  <c r="I929" i="3"/>
  <c r="I933" i="3" s="1"/>
  <c r="Q9" i="3"/>
  <c r="F11" i="8"/>
  <c r="Q655" i="3"/>
  <c r="D8" i="8"/>
  <c r="K214" i="3"/>
  <c r="Q214" i="3" s="1"/>
  <c r="C95" i="7"/>
  <c r="K181" i="3"/>
  <c r="Q181" i="3" s="1"/>
  <c r="C218" i="7"/>
  <c r="K193" i="3"/>
  <c r="Q193" i="3" s="1"/>
  <c r="C198" i="7"/>
  <c r="Q436" i="3"/>
  <c r="C216" i="7"/>
  <c r="K178" i="3"/>
  <c r="Q178" i="3" s="1"/>
  <c r="Q334" i="3"/>
  <c r="C85" i="7"/>
  <c r="K343" i="3"/>
  <c r="Q343" i="3" s="1"/>
  <c r="C194" i="7"/>
  <c r="K411" i="3"/>
  <c r="Q411" i="3" s="1"/>
  <c r="K439" i="3"/>
  <c r="Q439" i="3" s="1"/>
  <c r="C486" i="7"/>
  <c r="K170" i="3"/>
  <c r="C210" i="7"/>
  <c r="G17" i="8" l="1"/>
  <c r="G19" i="8" s="1"/>
  <c r="J23" i="8" s="1"/>
  <c r="J25" i="8" s="1"/>
  <c r="Q206" i="3"/>
  <c r="F17" i="1"/>
  <c r="F16" i="1"/>
  <c r="F23" i="1"/>
  <c r="F19" i="1"/>
  <c r="F18" i="1"/>
  <c r="F21" i="1"/>
  <c r="L16" i="8"/>
  <c r="Q469" i="3"/>
  <c r="I164" i="13"/>
  <c r="I938" i="3"/>
  <c r="I943" i="3" s="1"/>
  <c r="I944" i="3" s="1"/>
  <c r="Q551" i="3"/>
  <c r="H13" i="8"/>
  <c r="L13" i="8" s="1"/>
  <c r="K17" i="8"/>
  <c r="K19" i="8" s="1"/>
  <c r="L15" i="8"/>
  <c r="H21" i="1"/>
  <c r="H20" i="1"/>
  <c r="H23" i="8"/>
  <c r="D23" i="8"/>
  <c r="G25" i="8"/>
  <c r="K23" i="8"/>
  <c r="I23" i="8"/>
  <c r="I25" i="8" s="1"/>
  <c r="Q170" i="3"/>
  <c r="H15" i="1"/>
  <c r="L8" i="8"/>
  <c r="D17" i="8"/>
  <c r="D19" i="8" s="1"/>
  <c r="L11" i="8"/>
  <c r="F17" i="8"/>
  <c r="F19" i="8" s="1"/>
  <c r="K209" i="3"/>
  <c r="C92" i="7"/>
  <c r="C537" i="7" s="1"/>
  <c r="E7" i="8"/>
  <c r="C23" i="8" l="1"/>
  <c r="E23" i="8"/>
  <c r="F23" i="8"/>
  <c r="H17" i="8"/>
  <c r="H19" i="8" s="1"/>
  <c r="H25" i="8" s="1"/>
  <c r="H23" i="1"/>
  <c r="K25" i="8"/>
  <c r="F25" i="8"/>
  <c r="D25" i="8"/>
  <c r="L23" i="8"/>
  <c r="L7" i="8"/>
  <c r="E17" i="8"/>
  <c r="E19" i="8" s="1"/>
  <c r="E25" i="8" s="1"/>
  <c r="Q209" i="3"/>
  <c r="Q929" i="3" s="1"/>
  <c r="F24" i="1"/>
  <c r="H16" i="1"/>
  <c r="H18" i="1"/>
  <c r="H19" i="1"/>
  <c r="K929" i="3"/>
  <c r="C10" i="8"/>
  <c r="E16" i="1" l="1"/>
  <c r="F26" i="1"/>
  <c r="F29" i="1"/>
  <c r="E18" i="1"/>
  <c r="E20" i="1"/>
  <c r="E23" i="1"/>
  <c r="E21" i="1"/>
  <c r="E22" i="1"/>
  <c r="E15" i="1"/>
  <c r="C17" i="8"/>
  <c r="C19" i="8" s="1"/>
  <c r="C25" i="8" s="1"/>
  <c r="L10" i="8"/>
  <c r="L17" i="8" s="1"/>
  <c r="L19" i="8" s="1"/>
  <c r="L25" i="8" s="1"/>
  <c r="H17" i="1"/>
  <c r="H24" i="1" s="1"/>
  <c r="H26" i="1" s="1"/>
  <c r="E17" i="1"/>
  <c r="E19" i="1"/>
  <c r="E29" i="1" l="1"/>
</calcChain>
</file>

<file path=xl/comments1.xml><?xml version="1.0" encoding="utf-8"?>
<comments xmlns="http://schemas.openxmlformats.org/spreadsheetml/2006/main">
  <authors>
    <author>Anne H. Tarski</author>
    <author>Lisa Ermis</author>
  </authors>
  <commentList>
    <comment ref="I468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This amount is not from Op Detail.All amounts in purple are not from Op Datail</t>
        </r>
      </text>
    </comment>
    <comment ref="I484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All amounts in purple are not from Op Datail</t>
        </r>
      </text>
    </comment>
    <comment ref="I487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This amount is not from Op Detail</t>
        </r>
      </text>
    </comment>
    <comment ref="I496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This amount is not from Op Detail</t>
        </r>
      </text>
    </comment>
    <comment ref="I506" authorId="1" shapeId="0">
      <text>
        <r>
          <rPr>
            <b/>
            <sz val="8"/>
            <color indexed="81"/>
            <rFont val="Tahoma"/>
            <family val="2"/>
          </rPr>
          <t>This amt. is input.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08" authorId="1" shapeId="0">
      <text>
        <r>
          <rPr>
            <b/>
            <sz val="8"/>
            <color indexed="81"/>
            <rFont val="Tahoma"/>
            <family val="2"/>
          </rPr>
          <t>Not from Salaries tab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10" authorId="1" shapeId="0">
      <text>
        <r>
          <rPr>
            <b/>
            <sz val="8"/>
            <color indexed="81"/>
            <rFont val="Tahoma"/>
            <family val="2"/>
          </rPr>
          <t>Not from Salaries tab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16" authorId="1" shapeId="0">
      <text>
        <r>
          <rPr>
            <b/>
            <sz val="8"/>
            <color indexed="81"/>
            <rFont val="Tahoma"/>
            <family val="2"/>
          </rPr>
          <t>This amt. is input.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20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This amount is not from Op Detail</t>
        </r>
      </text>
    </comment>
  </commentList>
</comments>
</file>

<file path=xl/comments2.xml><?xml version="1.0" encoding="utf-8"?>
<comments xmlns="http://schemas.openxmlformats.org/spreadsheetml/2006/main">
  <authors>
    <author>Anne H. Tarski</author>
  </authors>
  <commentList>
    <comment ref="H71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Also Pages 209 and 210
</t>
        </r>
      </text>
    </comment>
    <comment ref="H83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Also Pages 209 and 210
</t>
        </r>
      </text>
    </comment>
  </commentList>
</comments>
</file>

<file path=xl/comments3.xml><?xml version="1.0" encoding="utf-8"?>
<comments xmlns="http://schemas.openxmlformats.org/spreadsheetml/2006/main">
  <authors>
    <author>Anne H. Tarski</author>
  </authors>
  <commentList>
    <comment ref="H34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Also Pages 209 and 210
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Also Pages 209 and 210
</t>
        </r>
      </text>
    </comment>
  </commentList>
</comments>
</file>

<file path=xl/comments4.xml><?xml version="1.0" encoding="utf-8"?>
<comments xmlns="http://schemas.openxmlformats.org/spreadsheetml/2006/main">
  <authors>
    <author>Anne H. Tarski</author>
  </authors>
  <commentList>
    <comment ref="D6138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Included $25000 for Hondo
</t>
        </r>
      </text>
    </comment>
  </commentList>
</comments>
</file>

<file path=xl/comments5.xml><?xml version="1.0" encoding="utf-8"?>
<comments xmlns="http://schemas.openxmlformats.org/spreadsheetml/2006/main">
  <authors>
    <author>Anne H. Tarski</author>
    <author>Lisa Ermis</author>
  </authors>
  <commentList>
    <comment ref="G121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was $53,576.76</t>
        </r>
      </text>
    </comment>
    <comment ref="G170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was $41,080.68</t>
        </r>
      </text>
    </comment>
    <comment ref="E193" authorId="1" shapeId="0">
      <text>
        <r>
          <rPr>
            <b/>
            <sz val="8"/>
            <color indexed="81"/>
            <rFont val="Tahoma"/>
            <family val="2"/>
          </rPr>
          <t>Lisa Ermis:</t>
        </r>
        <r>
          <rPr>
            <sz val="8"/>
            <color indexed="81"/>
            <rFont val="Tahoma"/>
            <family val="2"/>
          </rPr>
          <t xml:space="preserve">
Manny was inadvertently left off 2014 budget.</t>
        </r>
      </text>
    </comment>
  </commentList>
</comments>
</file>

<file path=xl/comments6.xml><?xml version="1.0" encoding="utf-8"?>
<comments xmlns="http://schemas.openxmlformats.org/spreadsheetml/2006/main">
  <authors>
    <author>Anne H. Tarski</author>
  </authors>
  <commentList>
    <comment ref="E45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was $53,576.76</t>
        </r>
      </text>
    </comment>
    <comment ref="E220" authorId="0" shape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was $41,080.68</t>
        </r>
      </text>
    </comment>
  </commentList>
</comments>
</file>

<file path=xl/sharedStrings.xml><?xml version="1.0" encoding="utf-8"?>
<sst xmlns="http://schemas.openxmlformats.org/spreadsheetml/2006/main" count="28758" uniqueCount="3727">
  <si>
    <t>ID WORD PROCESSING</t>
  </si>
  <si>
    <t>CHRGS TO USING DEPT</t>
  </si>
  <si>
    <t>TAX COLLECTION FEES</t>
  </si>
  <si>
    <t>REPAIR/MAINT-OFFICE</t>
  </si>
  <si>
    <t>Trish Driskill</t>
  </si>
  <si>
    <t>Connie Buchanan</t>
  </si>
  <si>
    <t>Richard Davis</t>
  </si>
  <si>
    <t>George Ellis</t>
  </si>
  <si>
    <t>Marsha Heaton</t>
  </si>
  <si>
    <t>ONLINE DATABASES</t>
  </si>
  <si>
    <t>TECH/PARA</t>
  </si>
  <si>
    <t>INDIRECT COSTS</t>
  </si>
  <si>
    <t>VOCATIONAL NURSING</t>
  </si>
  <si>
    <t>DEVELOP. ENGLISH</t>
  </si>
  <si>
    <t xml:space="preserve"> 12-100610-5000-01</t>
  </si>
  <si>
    <t>TEACHER PREPARATION (AA)</t>
  </si>
  <si>
    <t>TEACHER AID (AAS)</t>
  </si>
  <si>
    <t xml:space="preserve"> 12-110105-5000-01</t>
  </si>
  <si>
    <t>TEACHER PREPARATION</t>
  </si>
  <si>
    <t>TEACHER AID</t>
  </si>
  <si>
    <t>300010-01</t>
  </si>
  <si>
    <t>ACADEMIC FAC. PRT-TIME</t>
  </si>
  <si>
    <t>REPAIR &amp; MAINT.-BLDG</t>
  </si>
  <si>
    <t>ALEJANDRO</t>
  </si>
  <si>
    <t>LIBRARY BKS</t>
  </si>
  <si>
    <t>CISCO EXAM CERT</t>
  </si>
  <si>
    <t>ACA FAC-12 MO</t>
  </si>
  <si>
    <t>SEC/CLERICAL</t>
  </si>
  <si>
    <t>GRP HEALTH INS</t>
  </si>
  <si>
    <t>MDSE RESALE</t>
  </si>
  <si>
    <t>BKS RESALE</t>
  </si>
  <si>
    <t>UTILITIES-WATER</t>
  </si>
  <si>
    <t>UTILITIES-LANDFILL</t>
  </si>
  <si>
    <t>UTILITIES-ELECTRICITY</t>
  </si>
  <si>
    <t>ID WAREHOUSE</t>
  </si>
  <si>
    <t>SERVICE CONTRACTS</t>
  </si>
  <si>
    <t>Alfredo Hernandez</t>
  </si>
  <si>
    <t>Reagan King</t>
  </si>
  <si>
    <t>Day Care</t>
  </si>
  <si>
    <t>MAINT. MATERIALS</t>
  </si>
  <si>
    <t>CONSULTING FEES</t>
  </si>
  <si>
    <t>MAINT. CONTRACTS-EQUIP</t>
  </si>
  <si>
    <t>76-STAFF BENEFITS</t>
  </si>
  <si>
    <t>12-STAFF BENEFITS</t>
  </si>
  <si>
    <t>Dora Padilla</t>
  </si>
  <si>
    <t>Institutional Research</t>
  </si>
  <si>
    <t>HUMANITIES</t>
  </si>
  <si>
    <t>STATE RETIRE. MATCH</t>
  </si>
  <si>
    <t>DRUG TEST</t>
  </si>
  <si>
    <t>TESTING FEES</t>
  </si>
  <si>
    <t>INSP EXPENSE</t>
  </si>
  <si>
    <t>CREAT. ART</t>
  </si>
  <si>
    <t>61-820006</t>
  </si>
  <si>
    <t>CDEC</t>
  </si>
  <si>
    <t>PSYCH</t>
  </si>
  <si>
    <t>55-9</t>
  </si>
  <si>
    <t>65-9</t>
  </si>
  <si>
    <t>D  P  O</t>
  </si>
  <si>
    <t>61-820008</t>
  </si>
  <si>
    <t>65-10</t>
  </si>
  <si>
    <t>65-11</t>
  </si>
  <si>
    <t>CATHOLIC</t>
  </si>
  <si>
    <t>61-820012</t>
  </si>
  <si>
    <t>65-12</t>
  </si>
  <si>
    <t>PHILOSO.</t>
  </si>
  <si>
    <t>61-820013</t>
  </si>
  <si>
    <t>ECO.</t>
  </si>
  <si>
    <t>65-13</t>
  </si>
  <si>
    <t>61-820014</t>
  </si>
  <si>
    <t>PSYCH.</t>
  </si>
  <si>
    <t>ADMIN / TV</t>
  </si>
  <si>
    <t>ADA TRAVEL</t>
  </si>
  <si>
    <t>TIRES &amp; TUBES</t>
  </si>
  <si>
    <t>Amada Garcia*</t>
  </si>
  <si>
    <t>Beatrice Garcia*</t>
  </si>
  <si>
    <t>Geraldine Goosen*</t>
  </si>
  <si>
    <t>Amanda Hadley*</t>
  </si>
  <si>
    <t>Harry Lawrence*</t>
  </si>
  <si>
    <t>Donald Merritt*</t>
  </si>
  <si>
    <t>Rosalinda Ortiz*</t>
  </si>
  <si>
    <t>Cheryl Sanchez*</t>
  </si>
  <si>
    <t>Derrick Sandoval*</t>
  </si>
  <si>
    <t>Mark Underwood*</t>
  </si>
  <si>
    <t>Richard Whipple*</t>
  </si>
  <si>
    <t>*indicates supplemental contract</t>
  </si>
  <si>
    <t>Adjunct Faculty</t>
  </si>
  <si>
    <t>Total Budgeted Salaries</t>
  </si>
  <si>
    <t xml:space="preserve"> 11-610020-7000-02</t>
  </si>
  <si>
    <t xml:space="preserve"> 11-610020-5000-03</t>
  </si>
  <si>
    <t xml:space="preserve"> 11-610020-7000-03</t>
  </si>
  <si>
    <t>CJ</t>
  </si>
  <si>
    <t>5123</t>
  </si>
  <si>
    <t>UTILITIES - CABLE</t>
  </si>
  <si>
    <t xml:space="preserve">   Interest</t>
  </si>
  <si>
    <t xml:space="preserve">   Indirect Cost Recovery</t>
  </si>
  <si>
    <t xml:space="preserve">   Library</t>
  </si>
  <si>
    <t xml:space="preserve">   Miscellaneous</t>
  </si>
  <si>
    <t xml:space="preserve">   Pell Grants</t>
  </si>
  <si>
    <t>Maria Servantes</t>
  </si>
  <si>
    <t>Jaime Sierra</t>
  </si>
  <si>
    <t>David Sprott</t>
  </si>
  <si>
    <t>Cesar Talamantes</t>
  </si>
  <si>
    <t>STUD. ACT.</t>
  </si>
  <si>
    <t>STUD. SEN.</t>
  </si>
  <si>
    <t>61-820001</t>
  </si>
  <si>
    <t>BUS. ADMIN</t>
  </si>
  <si>
    <t>COUNSEL</t>
  </si>
  <si>
    <t>72-1</t>
  </si>
  <si>
    <t>ESTRADA</t>
  </si>
  <si>
    <t>BOX</t>
  </si>
  <si>
    <t>PTK-UVALDE</t>
  </si>
  <si>
    <t>61-820011</t>
  </si>
  <si>
    <t>49-2</t>
  </si>
  <si>
    <t>'SUPPLIES</t>
  </si>
  <si>
    <t>HISP PRO ENG</t>
  </si>
  <si>
    <t>61-820038</t>
  </si>
  <si>
    <t>HISPANIC PRO ENGINEERS</t>
  </si>
  <si>
    <t>61-820038-5000-03</t>
  </si>
  <si>
    <t>61-820030</t>
  </si>
  <si>
    <t>P.E.</t>
  </si>
  <si>
    <t xml:space="preserve">EP </t>
  </si>
  <si>
    <t>HASHE</t>
  </si>
  <si>
    <t>61-820003</t>
  </si>
  <si>
    <t>SOCI.</t>
  </si>
  <si>
    <t>61-820004</t>
  </si>
  <si>
    <t>63-5</t>
  </si>
  <si>
    <t>61-820005</t>
  </si>
  <si>
    <t>63-6</t>
  </si>
  <si>
    <t>65-14</t>
  </si>
  <si>
    <t>65-16</t>
  </si>
  <si>
    <t>65-17</t>
  </si>
  <si>
    <t>65-18</t>
  </si>
  <si>
    <t>64-16</t>
  </si>
  <si>
    <t>64-17</t>
  </si>
  <si>
    <t>64-18</t>
  </si>
  <si>
    <t>64-19</t>
  </si>
  <si>
    <t>64-20</t>
  </si>
  <si>
    <t>131-1</t>
  </si>
  <si>
    <t>131-2</t>
  </si>
  <si>
    <t>INSTITUTIONAL DEVELOPMENT</t>
  </si>
  <si>
    <t>INSTITUTIONAL RESEARCH</t>
  </si>
  <si>
    <t>PC &amp; SOFTWARE SUPPORT</t>
  </si>
  <si>
    <t>STUDENT SENATE-UVALDE</t>
  </si>
  <si>
    <t>MATH - UVALDE</t>
  </si>
  <si>
    <t>SIGMA TAU</t>
  </si>
  <si>
    <t>EDUCATION - UVALDE</t>
  </si>
  <si>
    <t>LVN - UVALDE</t>
  </si>
  <si>
    <t>LVN - DEL RIO</t>
  </si>
  <si>
    <t>INTERNET CLUB - UVALDE</t>
  </si>
  <si>
    <t>CAMP LIGHT</t>
  </si>
  <si>
    <t>61-820015</t>
  </si>
  <si>
    <t>BUS  ADMIN</t>
  </si>
  <si>
    <t>61-820016</t>
  </si>
  <si>
    <t>MATH-UVALDE</t>
  </si>
  <si>
    <t>61-820017</t>
  </si>
  <si>
    <t>MID-MNGMT</t>
  </si>
  <si>
    <t>MNGMT</t>
  </si>
  <si>
    <t>61-820018</t>
  </si>
  <si>
    <t>EDU - UVALDE</t>
  </si>
  <si>
    <t>61-820019</t>
  </si>
  <si>
    <t>CHILD DEV</t>
  </si>
  <si>
    <t>LVN</t>
  </si>
  <si>
    <t>61-820021</t>
  </si>
  <si>
    <t>LVN - DR</t>
  </si>
  <si>
    <t>61-820022</t>
  </si>
  <si>
    <t>CRIM. JUST</t>
  </si>
  <si>
    <t>61-820024</t>
  </si>
  <si>
    <t>ZEC</t>
  </si>
  <si>
    <t>61-820025</t>
  </si>
  <si>
    <t>PE CLUB</t>
  </si>
  <si>
    <t>61-820026</t>
  </si>
  <si>
    <t>NATURAL GAS</t>
  </si>
  <si>
    <t>MONITOR FEE</t>
  </si>
  <si>
    <t>LIVESTOCK</t>
  </si>
  <si>
    <t>FRINGE BENEFITS</t>
  </si>
  <si>
    <t>AB</t>
  </si>
  <si>
    <t>Opening Budget Entry</t>
  </si>
  <si>
    <t>GLIM</t>
  </si>
  <si>
    <t>Mitchell Burchfield*</t>
  </si>
  <si>
    <t>Karen Baen*</t>
  </si>
  <si>
    <t>Transportation</t>
  </si>
  <si>
    <t>AMOUNT</t>
  </si>
  <si>
    <t xml:space="preserve">   State Appropriations (Academic)</t>
  </si>
  <si>
    <t xml:space="preserve">   State Appropriations(Tech-Voc)</t>
  </si>
  <si>
    <t xml:space="preserve">   State Health Insurance</t>
  </si>
  <si>
    <t>Auto Body</t>
  </si>
  <si>
    <t xml:space="preserve">   Student Support Services</t>
  </si>
  <si>
    <t>Local Funds</t>
  </si>
  <si>
    <t xml:space="preserve">   Tuition</t>
  </si>
  <si>
    <t xml:space="preserve">   Sul Ross Space Rental</t>
  </si>
  <si>
    <t xml:space="preserve">   Sul Ross Library Service</t>
  </si>
  <si>
    <t>PHONE EXPENSE - OTHER</t>
  </si>
  <si>
    <t xml:space="preserve"> 11-610020-5000-02</t>
  </si>
  <si>
    <t>CE INSTRUCTION</t>
  </si>
  <si>
    <t>I/D TELEPHONE AND FAX</t>
  </si>
  <si>
    <t>SWTNET 135</t>
  </si>
  <si>
    <t>MENS BBALL</t>
  </si>
  <si>
    <t>61-820036</t>
  </si>
  <si>
    <t>EP VET</t>
  </si>
  <si>
    <t xml:space="preserve">   ABE - Civics</t>
  </si>
  <si>
    <t>ROTORACT CLUB</t>
  </si>
  <si>
    <t>VETERANS CLUB - EAGLE PASS</t>
  </si>
  <si>
    <t>Veronica Valerio</t>
  </si>
  <si>
    <t>Elia Zamarripa</t>
  </si>
  <si>
    <t>Michele Crawford</t>
  </si>
  <si>
    <t xml:space="preserve">   Daycare</t>
  </si>
  <si>
    <t>TOTAL INCOME</t>
  </si>
  <si>
    <t>ACTUAL</t>
  </si>
  <si>
    <t>Account #</t>
  </si>
  <si>
    <t>310010</t>
  </si>
  <si>
    <t>UV</t>
  </si>
  <si>
    <t>100603</t>
  </si>
  <si>
    <t>Phys Ed</t>
  </si>
  <si>
    <t>101302</t>
  </si>
  <si>
    <t>109000</t>
  </si>
  <si>
    <t>Inst. Tech</t>
  </si>
  <si>
    <t>WELDING TECHNOLOGY</t>
  </si>
  <si>
    <t>Ac. Couns</t>
  </si>
  <si>
    <t>310031</t>
  </si>
  <si>
    <t>T-V Couns</t>
  </si>
  <si>
    <t>310021</t>
  </si>
  <si>
    <t>310022</t>
  </si>
  <si>
    <t>T-V WFD Ad</t>
  </si>
  <si>
    <t>110302</t>
  </si>
  <si>
    <t>4213</t>
  </si>
  <si>
    <t>SWTNET</t>
  </si>
  <si>
    <t>Inst Media</t>
  </si>
  <si>
    <t>Roy Angermiller</t>
  </si>
  <si>
    <t>GOVT.</t>
  </si>
  <si>
    <t>72-2</t>
  </si>
  <si>
    <t>75-2</t>
  </si>
  <si>
    <t>84-2</t>
  </si>
  <si>
    <t>109000-02</t>
  </si>
  <si>
    <t>300010-02</t>
  </si>
  <si>
    <t>11-640050</t>
  </si>
  <si>
    <t>40-900011</t>
  </si>
  <si>
    <t>PTK-DEL RIO</t>
  </si>
  <si>
    <t>61-820002</t>
  </si>
  <si>
    <t>DR</t>
  </si>
  <si>
    <t>109000-03</t>
  </si>
  <si>
    <t>300010-03</t>
  </si>
  <si>
    <t>PTK-E.P.</t>
  </si>
  <si>
    <t>Automotive Technology</t>
  </si>
  <si>
    <t>BALLET FOLKLORICO</t>
  </si>
  <si>
    <t xml:space="preserve"> 61-820042-5000-01</t>
  </si>
  <si>
    <t>BALLET FOLK</t>
  </si>
  <si>
    <t>61-820042</t>
  </si>
  <si>
    <t>CRE ART DR</t>
  </si>
  <si>
    <t>61-820043</t>
  </si>
  <si>
    <t>CREATIVE ARTS DR</t>
  </si>
  <si>
    <t xml:space="preserve"> 61-820043-5000-01</t>
  </si>
  <si>
    <t>MARIACHI</t>
  </si>
  <si>
    <t xml:space="preserve"> 61-820044-5000-01</t>
  </si>
  <si>
    <t>62-820044</t>
  </si>
  <si>
    <t>COLL FFA</t>
  </si>
  <si>
    <t>61-820039</t>
  </si>
  <si>
    <t>COLLEGIATE FFA EP</t>
  </si>
  <si>
    <t>61-820039-5000-01</t>
  </si>
  <si>
    <t xml:space="preserve"> 76-127021-5000-01</t>
  </si>
  <si>
    <t xml:space="preserve"> 76-127021-7000-01</t>
  </si>
  <si>
    <t>520010</t>
  </si>
  <si>
    <t>Police</t>
  </si>
  <si>
    <t>610020</t>
  </si>
  <si>
    <t>Bldg Main</t>
  </si>
  <si>
    <t>620030</t>
  </si>
  <si>
    <t>64-22</t>
  </si>
  <si>
    <t>64-7</t>
  </si>
  <si>
    <t>64-15</t>
  </si>
  <si>
    <t>64-6</t>
  </si>
  <si>
    <t>64-5</t>
  </si>
  <si>
    <t>64-8</t>
  </si>
  <si>
    <t>64-9</t>
  </si>
  <si>
    <t>64-13</t>
  </si>
  <si>
    <t>64-14</t>
  </si>
  <si>
    <t>64-10</t>
  </si>
  <si>
    <t>64-11</t>
  </si>
  <si>
    <t>64-12</t>
  </si>
  <si>
    <t>65-1</t>
  </si>
  <si>
    <t>65-3</t>
  </si>
  <si>
    <t>65-15</t>
  </si>
  <si>
    <t>65-2</t>
  </si>
  <si>
    <t>65-4</t>
  </si>
  <si>
    <t>65-5</t>
  </si>
  <si>
    <t>65-20</t>
  </si>
  <si>
    <t>65-8</t>
  </si>
  <si>
    <t>65-6</t>
  </si>
  <si>
    <t>65-7</t>
  </si>
  <si>
    <t>92-2</t>
  </si>
  <si>
    <t>92-3</t>
  </si>
  <si>
    <t>CASTROVILLE CENTER ADMINISTRATION</t>
  </si>
  <si>
    <t>FACILITIES RENTAL</t>
  </si>
  <si>
    <t>Castroville Center</t>
  </si>
  <si>
    <t>CASTROVILLE CENTER</t>
  </si>
  <si>
    <t>310011</t>
  </si>
  <si>
    <t>OUTREACH</t>
  </si>
  <si>
    <t>101301</t>
  </si>
  <si>
    <t>101201</t>
  </si>
  <si>
    <t>101603</t>
  </si>
  <si>
    <t>GOVT</t>
  </si>
  <si>
    <t>FACILITY</t>
  </si>
  <si>
    <t>CASTROVILLE CENTER CONT'D</t>
  </si>
  <si>
    <t>101501</t>
  </si>
  <si>
    <t>11-510090</t>
  </si>
  <si>
    <t>PEARSALL CENTER ADMINISTRATION</t>
  </si>
  <si>
    <t>STUDENT SENATE - EP</t>
  </si>
  <si>
    <t>EDUCATION - DEL RIO</t>
  </si>
  <si>
    <t>MATH - DR</t>
  </si>
  <si>
    <t>I/D PRINTING CENTER</t>
  </si>
  <si>
    <t xml:space="preserve">   Educational Opportunity Center</t>
  </si>
  <si>
    <t>Education</t>
  </si>
  <si>
    <t>I/D PRINT SHOP SERVICES</t>
  </si>
  <si>
    <t>Staff Scholarships</t>
  </si>
  <si>
    <t>Miguel Maldonado</t>
  </si>
  <si>
    <t>Velma Roman</t>
  </si>
  <si>
    <t>MAINTENANCE, FOOD SERVICE AND  CHILD CARE</t>
  </si>
  <si>
    <t>CLERICAL &amp; SECURITY</t>
  </si>
  <si>
    <t>EDUCATIONAL OPPORTUNITY CENTER</t>
  </si>
  <si>
    <t>COSMO</t>
  </si>
  <si>
    <t>61-820027</t>
  </si>
  <si>
    <t>CREAT/WRI</t>
  </si>
  <si>
    <t>61-820031</t>
  </si>
  <si>
    <t>INTERNET-UVALDE</t>
  </si>
  <si>
    <t>61-820032</t>
  </si>
  <si>
    <t>61-820034</t>
  </si>
  <si>
    <t>LVN - EP</t>
  </si>
  <si>
    <t>61-820046</t>
  </si>
  <si>
    <t>EDU - DR</t>
  </si>
  <si>
    <t>61-820047</t>
  </si>
  <si>
    <t>61-820048</t>
  </si>
  <si>
    <t>STU SEN EP</t>
  </si>
  <si>
    <t>61-820033</t>
  </si>
  <si>
    <t>INTERNET EP</t>
  </si>
  <si>
    <t>61-820045</t>
  </si>
  <si>
    <t>61-820054</t>
  </si>
  <si>
    <t>61-820053</t>
  </si>
  <si>
    <t>61-820010</t>
  </si>
  <si>
    <t>61-820050</t>
  </si>
  <si>
    <t>61-820051</t>
  </si>
  <si>
    <t>STU SEN DR</t>
  </si>
  <si>
    <t>62-820055</t>
  </si>
  <si>
    <t>12-310011-7000-01</t>
  </si>
  <si>
    <t xml:space="preserve"> 12-110592-5000-01</t>
  </si>
  <si>
    <t xml:space="preserve"> </t>
  </si>
  <si>
    <t>TOTAL</t>
  </si>
  <si>
    <t>Miscellaneous Income</t>
  </si>
  <si>
    <t>Student Aid Income</t>
  </si>
  <si>
    <t>Auxiliary Enterprises Income</t>
  </si>
  <si>
    <t>Cecily Bennett</t>
  </si>
  <si>
    <t>Stud Activities</t>
  </si>
  <si>
    <t>Blanca Chavarria</t>
  </si>
  <si>
    <t>Staff Benefits</t>
  </si>
  <si>
    <t>Library</t>
  </si>
  <si>
    <t>Silvia Gomez</t>
  </si>
  <si>
    <t>Andrew Humphrey</t>
  </si>
  <si>
    <t>Carol Larue</t>
  </si>
  <si>
    <t xml:space="preserve"> 12-510060-7000-01</t>
  </si>
  <si>
    <t>MANAGEMENT</t>
  </si>
  <si>
    <t>OFFICE SYSTEMS</t>
  </si>
  <si>
    <t xml:space="preserve"> 12-110403-5000-02</t>
  </si>
  <si>
    <t xml:space="preserve"> 12-110101-5000-02</t>
  </si>
  <si>
    <t xml:space="preserve"> 12-110303-5000-02</t>
  </si>
  <si>
    <t>ACADEMIC PROGRAMS/DIVISIONAL OPERATING</t>
  </si>
  <si>
    <t>111-1</t>
  </si>
  <si>
    <t>111-2</t>
  </si>
  <si>
    <t>111-3</t>
  </si>
  <si>
    <t xml:space="preserve">  </t>
  </si>
  <si>
    <t>FAC. TRAVEL AND DEV.</t>
  </si>
  <si>
    <t>PRINTING (OFF-CAMPUS)</t>
  </si>
  <si>
    <t>BUS ADM</t>
  </si>
  <si>
    <t>100703</t>
  </si>
  <si>
    <t>101203</t>
  </si>
  <si>
    <t>100606</t>
  </si>
  <si>
    <t>DEV. ENG.</t>
  </si>
  <si>
    <t>TORRES UNIT</t>
  </si>
  <si>
    <t>TORRES UNIT CONT'D</t>
  </si>
  <si>
    <t>DEV. ENGL.</t>
  </si>
  <si>
    <t>Hondo Center</t>
  </si>
  <si>
    <t>HONDO CENTER</t>
  </si>
  <si>
    <t>HONDO CENTER ADMINISTRATION</t>
  </si>
  <si>
    <t>HONDO ENGLISH</t>
  </si>
  <si>
    <t>HONDO MATH</t>
  </si>
  <si>
    <t xml:space="preserve"> 12-101201-5000-08</t>
  </si>
  <si>
    <t xml:space="preserve"> 12-101301-5000-08</t>
  </si>
  <si>
    <t xml:space="preserve"> 61-820036-5000-03</t>
  </si>
  <si>
    <t>DEL RIO SAB</t>
  </si>
  <si>
    <t>EP SAB</t>
  </si>
  <si>
    <t xml:space="preserve"> 61-820063-5000-03</t>
  </si>
  <si>
    <t xml:space="preserve"> 61-820062-5000-02</t>
  </si>
  <si>
    <t>BA EAGLE PASS</t>
  </si>
  <si>
    <t xml:space="preserve"> 61-820056-5000-03</t>
  </si>
  <si>
    <t>STUDENT AMB</t>
  </si>
  <si>
    <t xml:space="preserve"> 61-820057-5000-01</t>
  </si>
  <si>
    <t xml:space="preserve"> 61-820065-5000-01</t>
  </si>
  <si>
    <t xml:space="preserve"> 61-820037-5000-01</t>
  </si>
  <si>
    <t>VICA COSMETOLOGY</t>
  </si>
  <si>
    <t xml:space="preserve"> 61-820059-5000-01</t>
  </si>
  <si>
    <t>VICA AUTOMOTIVE</t>
  </si>
  <si>
    <t xml:space="preserve"> 61-820058-5000-01</t>
  </si>
  <si>
    <t>WOMEN'S BASKETBALL</t>
  </si>
  <si>
    <t xml:space="preserve"> 61-820041-5000-01</t>
  </si>
  <si>
    <t>124000</t>
  </si>
  <si>
    <t>ABE</t>
  </si>
  <si>
    <t>125140</t>
  </si>
  <si>
    <t>C. PERKINS</t>
  </si>
  <si>
    <t>126020</t>
  </si>
  <si>
    <t>Tech Prep</t>
  </si>
  <si>
    <t>127000</t>
  </si>
  <si>
    <t>Student Support</t>
  </si>
  <si>
    <t>127005</t>
  </si>
  <si>
    <t>Educ. Opp. Center</t>
  </si>
  <si>
    <t>CC</t>
  </si>
  <si>
    <t>PC &amp; SOFTWARE SERVICE</t>
  </si>
  <si>
    <t>5057</t>
  </si>
  <si>
    <t>110494</t>
  </si>
  <si>
    <t>Law Enforc</t>
  </si>
  <si>
    <t>110496</t>
  </si>
  <si>
    <t>Law Enforc CE</t>
  </si>
  <si>
    <t>600010</t>
  </si>
  <si>
    <t>Gen Svcs</t>
  </si>
  <si>
    <t>510085</t>
  </si>
  <si>
    <t>Trans</t>
  </si>
  <si>
    <t>Wade Carpenter</t>
  </si>
  <si>
    <t>Acad Fac</t>
  </si>
  <si>
    <t>DOL CBJTG</t>
  </si>
  <si>
    <t>Psl LVN</t>
  </si>
  <si>
    <t>DOL Community Based JTG</t>
  </si>
  <si>
    <t xml:space="preserve"> 12-110501-7000-01</t>
  </si>
  <si>
    <t>Subburaj Kannan</t>
  </si>
  <si>
    <t>Jesse Lopez</t>
  </si>
  <si>
    <t>Derek Veazey</t>
  </si>
  <si>
    <t xml:space="preserve"> 12-510011-7000-01</t>
  </si>
  <si>
    <t>sss State</t>
  </si>
  <si>
    <t xml:space="preserve"> 76-075000-4282-01</t>
  </si>
  <si>
    <t xml:space="preserve">   Lumina</t>
  </si>
  <si>
    <t xml:space="preserve"> 76-079000-4578-01</t>
  </si>
  <si>
    <t>Lumina Foundation</t>
  </si>
  <si>
    <t/>
  </si>
  <si>
    <t xml:space="preserve">   Dormitory Rentals - WFTD</t>
  </si>
  <si>
    <t>Registration</t>
  </si>
  <si>
    <t>Lab and other</t>
  </si>
  <si>
    <t>Drop and add</t>
  </si>
  <si>
    <t>OTHER OUTREACH</t>
  </si>
  <si>
    <t>CASTROVILLE MATH</t>
  </si>
  <si>
    <t>CASTROVILLE ENGLISH</t>
  </si>
  <si>
    <t>CASTROVILLE GOVERNMENT</t>
  </si>
  <si>
    <t>CASTROVILLE PSYCHOLOGY</t>
  </si>
  <si>
    <t>ABE - FEDERAL</t>
  </si>
  <si>
    <t xml:space="preserve"> 76-120000-5000-01</t>
  </si>
  <si>
    <t>TANF - STATE</t>
  </si>
  <si>
    <t>TANF - FEDERAL</t>
  </si>
  <si>
    <t xml:space="preserve"> 76-120010-5000-01</t>
  </si>
  <si>
    <t xml:space="preserve"> 76-124010-5000-01</t>
  </si>
  <si>
    <t>EL - CIVICS</t>
  </si>
  <si>
    <t xml:space="preserve"> 76-124050-5000-01</t>
  </si>
  <si>
    <t>COLLEGE WORK STUDY - STATE</t>
  </si>
  <si>
    <t>COLLEGE WORK STUDY - FEDERAL</t>
  </si>
  <si>
    <t xml:space="preserve"> 73-720004-7000-01</t>
  </si>
  <si>
    <t>TEXAS EDUCATION OPPORTUNITY GRANT</t>
  </si>
  <si>
    <t xml:space="preserve"> 12-310011-5000-07</t>
  </si>
  <si>
    <t>FACILITIES RENTAL-CASTROVILLE</t>
  </si>
  <si>
    <t>FACILITIES RENTAL-PEARSALL</t>
  </si>
  <si>
    <t xml:space="preserve"> 11-510090-5000-07</t>
  </si>
  <si>
    <t xml:space="preserve"> 11-510090-5000-03</t>
  </si>
  <si>
    <t>Pearsall Center</t>
  </si>
  <si>
    <t>Dominguez Unit</t>
  </si>
  <si>
    <t>Torres Unit</t>
  </si>
  <si>
    <t>Briscoe Unit</t>
  </si>
  <si>
    <t>PEARSALL CENTER</t>
  </si>
  <si>
    <t>100201</t>
  </si>
  <si>
    <t>PEARSALL CENTER CONT'D</t>
  </si>
  <si>
    <t>PEARSALL BIOLOGY</t>
  </si>
  <si>
    <t>PEARSALL MATH</t>
  </si>
  <si>
    <t>PEARSALL ENGLISH</t>
  </si>
  <si>
    <t xml:space="preserve"> 12-101201-5000-07</t>
  </si>
  <si>
    <t>DOMINGUEZ UNIT</t>
  </si>
  <si>
    <t>DOMINGUEZ UNIT CONT'D</t>
  </si>
  <si>
    <t>101604</t>
  </si>
  <si>
    <t>101605</t>
  </si>
  <si>
    <t>DOMINGUEZ ENGLISH</t>
  </si>
  <si>
    <t xml:space="preserve"> 61-820046-5000-03</t>
  </si>
  <si>
    <t>61-820033-5000-03</t>
  </si>
  <si>
    <t>12-110408-5000-01</t>
  </si>
  <si>
    <t xml:space="preserve"> 12-100600-5000-01</t>
  </si>
  <si>
    <t xml:space="preserve"> 12-100607-5000-01</t>
  </si>
  <si>
    <t xml:space="preserve"> 12-101401-5000-02</t>
  </si>
  <si>
    <t xml:space="preserve"> 12-101605-5000-02</t>
  </si>
  <si>
    <t>DEL RIO/SAB</t>
  </si>
  <si>
    <t>61-820062</t>
  </si>
  <si>
    <t>EP/SAB</t>
  </si>
  <si>
    <t>Norma Diaz</t>
  </si>
  <si>
    <t>Jimmy Zapata</t>
  </si>
  <si>
    <t>DEL RIO CENTER</t>
  </si>
  <si>
    <t xml:space="preserve"> 12-400015-7000-02</t>
  </si>
  <si>
    <t xml:space="preserve"> 12-400020-7000-02</t>
  </si>
  <si>
    <t xml:space="preserve"> 12-400030-7000-02</t>
  </si>
  <si>
    <t xml:space="preserve"> 12-500083-7000-02</t>
  </si>
  <si>
    <t>LIBRARY</t>
  </si>
  <si>
    <t>CUSTODIAL</t>
  </si>
  <si>
    <t>EAGLE PASS CENTER</t>
  </si>
  <si>
    <t xml:space="preserve"> 12-400030-7000-03</t>
  </si>
  <si>
    <t xml:space="preserve"> 12-400020-7000-03</t>
  </si>
  <si>
    <t xml:space="preserve"> 12-500083-7000-03</t>
  </si>
  <si>
    <t xml:space="preserve"> 11-620030-7000-03</t>
  </si>
  <si>
    <t xml:space="preserve"> 11-620030-7000-02</t>
  </si>
  <si>
    <t>CRYSTAL CITY CENTER</t>
  </si>
  <si>
    <t xml:space="preserve"> 12-500083-7000-04</t>
  </si>
  <si>
    <t>INSTITUTIONAL EFFECTIVENESS</t>
  </si>
  <si>
    <t xml:space="preserve"> 12-510015-5000-01</t>
  </si>
  <si>
    <t xml:space="preserve"> 12-510015-7000-01</t>
  </si>
  <si>
    <t>TORRES SPEECH</t>
  </si>
  <si>
    <t>TORRES MATH</t>
  </si>
  <si>
    <t>TORRES PSYCHOLOGY</t>
  </si>
  <si>
    <t>TORRES HISTORY</t>
  </si>
  <si>
    <t xml:space="preserve"> 12-100201-5000-20</t>
  </si>
  <si>
    <t xml:space="preserve"> 12-100703-5000-20</t>
  </si>
  <si>
    <t xml:space="preserve"> 12-101203-5000-20</t>
  </si>
  <si>
    <t xml:space="preserve"> 12-101301-5000-20</t>
  </si>
  <si>
    <t xml:space="preserve"> 12-101501-5000-20</t>
  </si>
  <si>
    <t xml:space="preserve"> 12-101604-5000-20</t>
  </si>
  <si>
    <t xml:space="preserve"> 12-100201-5000-23</t>
  </si>
  <si>
    <t xml:space="preserve"> 12-100703-5000-23</t>
  </si>
  <si>
    <t xml:space="preserve"> 12-101201-5000-23</t>
  </si>
  <si>
    <t xml:space="preserve"> 12-101203-5000-23</t>
  </si>
  <si>
    <t xml:space="preserve"> 12-101301-5000-23</t>
  </si>
  <si>
    <t xml:space="preserve"> 12-101603-5000-23</t>
  </si>
  <si>
    <t xml:space="preserve"> 12-101604-5000-23</t>
  </si>
  <si>
    <t>BRISCOE UNIT</t>
  </si>
  <si>
    <t>BRISCOE UNIT CONT'D</t>
  </si>
  <si>
    <t>100301</t>
  </si>
  <si>
    <t>61-820041</t>
  </si>
  <si>
    <t>FLORES</t>
  </si>
  <si>
    <t>Norma Anderson</t>
  </si>
  <si>
    <t>Juan Aviles</t>
  </si>
  <si>
    <t>Delia Esquivel</t>
  </si>
  <si>
    <t>REGISTRAR</t>
  </si>
  <si>
    <t>STUDENT SERVICES</t>
  </si>
  <si>
    <t>COUNSELING</t>
  </si>
  <si>
    <t>FINANCIAL AID</t>
  </si>
  <si>
    <t>HEALTH CLINIC</t>
  </si>
  <si>
    <t>STUDENT ACTIVITIES</t>
  </si>
  <si>
    <t>CRYSTAL CITY CENTER CONT'D</t>
  </si>
  <si>
    <t>Crystal City Center</t>
  </si>
  <si>
    <t xml:space="preserve"> 12-100201-5000-04</t>
  </si>
  <si>
    <t xml:space="preserve"> 12-101201-5000-04</t>
  </si>
  <si>
    <t xml:space="preserve"> 12-101301-5000-04</t>
  </si>
  <si>
    <t xml:space="preserve"> 12-101501-5000-04</t>
  </si>
  <si>
    <t xml:space="preserve"> 11-610020-5000-04</t>
  </si>
  <si>
    <t xml:space="preserve"> 11-640050-5000-04</t>
  </si>
  <si>
    <t>11-610020</t>
  </si>
  <si>
    <t>MAINT.</t>
  </si>
  <si>
    <t>Carrizo</t>
  </si>
  <si>
    <t xml:space="preserve">CARRIZO </t>
  </si>
  <si>
    <t>CARRIZO ENGLISH</t>
  </si>
  <si>
    <t xml:space="preserve"> 12-101201-5000-05</t>
  </si>
  <si>
    <t>T-V DIRECT</t>
  </si>
  <si>
    <t>ADMIN</t>
  </si>
  <si>
    <t>TECHNICAL INSTRUCTIONAL SUPPORT</t>
  </si>
  <si>
    <t>RADIOLOGIC TECHNOLOGY</t>
  </si>
  <si>
    <t xml:space="preserve">   State Retirement Matching</t>
  </si>
  <si>
    <t xml:space="preserve">   ABE - State </t>
  </si>
  <si>
    <t xml:space="preserve">   ABE -TANF - State</t>
  </si>
  <si>
    <t>Rebecca Andrews</t>
  </si>
  <si>
    <t>Barbara Reed</t>
  </si>
  <si>
    <t xml:space="preserve">   TDJC - Hondo</t>
  </si>
  <si>
    <t xml:space="preserve">   ABE - TANF - Federal</t>
  </si>
  <si>
    <t xml:space="preserve">   ABE - Federal</t>
  </si>
  <si>
    <t xml:space="preserve">   Carl Perkins - Basic</t>
  </si>
  <si>
    <t xml:space="preserve">   Fees:</t>
  </si>
  <si>
    <t xml:space="preserve">  Tuition &amp; Fees Discount</t>
  </si>
  <si>
    <t xml:space="preserve">   Taxes:</t>
  </si>
  <si>
    <t xml:space="preserve">   Delinquent and P &amp; I:</t>
  </si>
  <si>
    <t xml:space="preserve">   Workforce Education:</t>
  </si>
  <si>
    <t>EQUIPMENT &gt; $1,000</t>
  </si>
  <si>
    <t xml:space="preserve">   Administrative </t>
  </si>
  <si>
    <t xml:space="preserve">   Transcripts</t>
  </si>
  <si>
    <t xml:space="preserve">   Exams</t>
  </si>
  <si>
    <t xml:space="preserve">   Out of District Bus</t>
  </si>
  <si>
    <t xml:space="preserve">   College Work Study - Federal</t>
  </si>
  <si>
    <t xml:space="preserve">   College Work Study - State</t>
  </si>
  <si>
    <t xml:space="preserve">   Supplemental Ed. Op. Grant</t>
  </si>
  <si>
    <t xml:space="preserve">   SIG/LEAP - State</t>
  </si>
  <si>
    <t xml:space="preserve">   SIG/LEAP - Federal</t>
  </si>
  <si>
    <t xml:space="preserve">   Texas Grant Program</t>
  </si>
  <si>
    <t xml:space="preserve"> 76-075000-4200-01</t>
  </si>
  <si>
    <t xml:space="preserve"> 76-075000-4214-01</t>
  </si>
  <si>
    <t xml:space="preserve"> 76-075000-4217-01</t>
  </si>
  <si>
    <t xml:space="preserve"> 76-075000-4228-01</t>
  </si>
  <si>
    <t xml:space="preserve"> 76-075000-4229-01</t>
  </si>
  <si>
    <t xml:space="preserve"> 76-075000-4242-01</t>
  </si>
  <si>
    <t xml:space="preserve"> 11-052000-4300-01</t>
  </si>
  <si>
    <t xml:space="preserve"> 11-052000-4380-01</t>
  </si>
  <si>
    <t xml:space="preserve"> 11-052000-4330-01</t>
  </si>
  <si>
    <t xml:space="preserve"> 11-052000-4335-01</t>
  </si>
  <si>
    <t xml:space="preserve"> 11-052000-4345-01</t>
  </si>
  <si>
    <t xml:space="preserve"> 11-052000-4350-01</t>
  </si>
  <si>
    <t xml:space="preserve"> 11-052000-4360-01</t>
  </si>
  <si>
    <t>ABE - STATE</t>
  </si>
  <si>
    <t>Mayta Garza</t>
  </si>
  <si>
    <t>Maria Tapia</t>
  </si>
  <si>
    <t>Radiology</t>
  </si>
  <si>
    <t>Rosa Rodriguez</t>
  </si>
  <si>
    <t>Jesus Suarez</t>
  </si>
  <si>
    <t>Vanessa Verjan</t>
  </si>
  <si>
    <t>Teresa Zamarripa</t>
  </si>
  <si>
    <t>April Ruhmann</t>
  </si>
  <si>
    <t>Texas Education Opportunity Grant</t>
  </si>
  <si>
    <t xml:space="preserve"> 11-052000-4365-01</t>
  </si>
  <si>
    <t xml:space="preserve"> 11-052000-4370-01</t>
  </si>
  <si>
    <t xml:space="preserve"> 11-052000-4375-01</t>
  </si>
  <si>
    <t xml:space="preserve"> 11-053000-4390-90</t>
  </si>
  <si>
    <t xml:space="preserve"> 11-053000-4390-92</t>
  </si>
  <si>
    <t xml:space="preserve"> 11-053000-4390-91</t>
  </si>
  <si>
    <t xml:space="preserve"> 11-053000-4391-90</t>
  </si>
  <si>
    <t xml:space="preserve"> 11-053000-4391-92</t>
  </si>
  <si>
    <t xml:space="preserve"> 11-053000-4391-91</t>
  </si>
  <si>
    <t xml:space="preserve"> 11-052000-4302-01</t>
  </si>
  <si>
    <t xml:space="preserve"> 11-056000-4450-01</t>
  </si>
  <si>
    <t xml:space="preserve"> 11-056000-4451-01</t>
  </si>
  <si>
    <t xml:space="preserve"> 11-059000-4500-01</t>
  </si>
  <si>
    <t xml:space="preserve"> 11-059000-4501-01</t>
  </si>
  <si>
    <t xml:space="preserve"> 11-059000-4510-01</t>
  </si>
  <si>
    <t xml:space="preserve"> 11-059000-4299-01</t>
  </si>
  <si>
    <t>DOMINGUEZ MATH</t>
  </si>
  <si>
    <t>DOMINGUEZ SOCIOLOGY</t>
  </si>
  <si>
    <t>DOMINGUEZ GOVERNMENT</t>
  </si>
  <si>
    <t>DOMINGUEZ HISTORY</t>
  </si>
  <si>
    <t>DOMINGUEZ UNIT ADMINISTRATION</t>
  </si>
  <si>
    <t xml:space="preserve"> 12-310011-5000-25</t>
  </si>
  <si>
    <t xml:space="preserve"> 12-101201-5000-25</t>
  </si>
  <si>
    <t xml:space="preserve"> 12-101301-5000-25</t>
  </si>
  <si>
    <t xml:space="preserve"> 12-101605-5000-25</t>
  </si>
  <si>
    <t xml:space="preserve"> 12-101604-5000-25</t>
  </si>
  <si>
    <t xml:space="preserve"> 12-101603-5000-25</t>
  </si>
  <si>
    <t>BRISCOE BIOLOGY</t>
  </si>
  <si>
    <t>BRISCOE MUSIC</t>
  </si>
  <si>
    <t>BRISCOE ENGLISH</t>
  </si>
  <si>
    <t>BRISCOE SPEECH</t>
  </si>
  <si>
    <t>BRISCOE MATH</t>
  </si>
  <si>
    <t>BRISCOE GOVT</t>
  </si>
  <si>
    <t>BRISCOE HISTORY</t>
  </si>
  <si>
    <t>BRISCOE BUSINESS ADMINISTRATION</t>
  </si>
  <si>
    <t xml:space="preserve"> 12-100301-5000-23</t>
  </si>
  <si>
    <t>TORRES BIOLOGY</t>
  </si>
  <si>
    <t>BRISCOE DEVELOPMENTAL ENGLISH</t>
  </si>
  <si>
    <t>TORRES DEVELOPMENTAL ENGLISH</t>
  </si>
  <si>
    <t xml:space="preserve"> 12-100606-5000-23</t>
  </si>
  <si>
    <t xml:space="preserve"> 12-100606-5000-20</t>
  </si>
  <si>
    <t>BRISCOE UNIT ADMINISTRATION</t>
  </si>
  <si>
    <t>TORRES UNIT ADMINISTRATION</t>
  </si>
  <si>
    <t xml:space="preserve"> 12-310011-5000-23</t>
  </si>
  <si>
    <t xml:space="preserve"> 12-310011-5000-20</t>
  </si>
  <si>
    <t>TORRES MUSIC</t>
  </si>
  <si>
    <t>Inc. / (Dec.)</t>
  </si>
  <si>
    <t xml:space="preserve">GOVERNING BOARD  </t>
  </si>
  <si>
    <t>Erica Lara</t>
  </si>
  <si>
    <t>Ann McKinney</t>
  </si>
  <si>
    <t>Jose Perez</t>
  </si>
  <si>
    <t>Hector Rivera</t>
  </si>
  <si>
    <t>Carolina Serna</t>
  </si>
  <si>
    <t>Claudio Valenzuela</t>
  </si>
  <si>
    <t>61-820065</t>
  </si>
  <si>
    <t>GAME CLUB</t>
  </si>
  <si>
    <t>61-820037</t>
  </si>
  <si>
    <t>VICA COS UHS</t>
  </si>
  <si>
    <t>VICA AUTO TE</t>
  </si>
  <si>
    <t>61-820059</t>
  </si>
  <si>
    <t>61-820058</t>
  </si>
  <si>
    <t>WOMEN'S BB</t>
  </si>
  <si>
    <t>INSTRUCTIONAL TECHNOLOGY</t>
  </si>
  <si>
    <t>EAGLE PASS</t>
  </si>
  <si>
    <t>CIS</t>
  </si>
  <si>
    <t>DEL RIO</t>
  </si>
  <si>
    <t>CHILD DEVELOPMENT</t>
  </si>
  <si>
    <t>AIR CONDITIONING/REFRIGERATION</t>
  </si>
  <si>
    <t>COMPUTER INFO. SYSTEMS</t>
  </si>
  <si>
    <t>VOCATIONAL NURSING - EAGLE PASS</t>
  </si>
  <si>
    <t>MID-MANAGEMENT</t>
  </si>
  <si>
    <t>LAW ENFORCEMENT ACADEMY</t>
  </si>
  <si>
    <t>TRUCK DRIVING</t>
  </si>
  <si>
    <t>UVALDE</t>
  </si>
  <si>
    <t>INSTRUCTIONAL MEDIA</t>
  </si>
  <si>
    <t>STUDENT RECRUITMENT</t>
  </si>
  <si>
    <t>CAREER CENTER</t>
  </si>
  <si>
    <t>PUBLIC INFORMATION</t>
  </si>
  <si>
    <t>TESTING COORDINATOR</t>
  </si>
  <si>
    <t>DUES</t>
  </si>
  <si>
    <t>AUDIT</t>
  </si>
  <si>
    <t>CATALOG</t>
  </si>
  <si>
    <t>COMMENCEMENT</t>
  </si>
  <si>
    <t>SAFETY PROGRAM</t>
  </si>
  <si>
    <t>RECYCLING</t>
  </si>
  <si>
    <t>LEGAL FEES</t>
  </si>
  <si>
    <t>CENTRAL MAIL</t>
  </si>
  <si>
    <t>OFFICIAL FUNCTIONS</t>
  </si>
  <si>
    <t>TAX APPRAISAL DISTRICTS</t>
  </si>
  <si>
    <t>PRINT CENTER</t>
  </si>
  <si>
    <t>WORD PROCESSING CENTER</t>
  </si>
  <si>
    <t>NETWORK MANAGEMENT</t>
  </si>
  <si>
    <t>FAN</t>
  </si>
  <si>
    <t>CENTRAL TELEPHONE</t>
  </si>
  <si>
    <t>STAFF BENEFITS</t>
  </si>
  <si>
    <t>STUDENT SUPPORT SERVICES</t>
  </si>
  <si>
    <t>STUDENT AID</t>
  </si>
  <si>
    <t>AUXILIARY ENTERPRISES</t>
  </si>
  <si>
    <t xml:space="preserve"> 12-110506-5000-01</t>
  </si>
  <si>
    <t>Radiologic Technology</t>
  </si>
  <si>
    <t>110506</t>
  </si>
  <si>
    <t>Cosmetology, High School</t>
  </si>
  <si>
    <t>COSMETOLOGY, HIGH SCHOOL</t>
  </si>
  <si>
    <t>110401</t>
  </si>
  <si>
    <t xml:space="preserve"> 12-110401-5000-XX</t>
  </si>
  <si>
    <t>CRIMINAL JUSTICE -- ACADEMIC</t>
  </si>
  <si>
    <t>CRIMINAL JUSTICE -- TECH</t>
  </si>
  <si>
    <t>PROFESSIONAL DEVELOPMENT</t>
  </si>
  <si>
    <t>Out of District</t>
  </si>
  <si>
    <t>Health</t>
  </si>
  <si>
    <t>Parking and fines</t>
  </si>
  <si>
    <t>Graduation</t>
  </si>
  <si>
    <t>Late registration</t>
  </si>
  <si>
    <t>Uvalde</t>
  </si>
  <si>
    <t>Zavala</t>
  </si>
  <si>
    <t>Real</t>
  </si>
  <si>
    <t>Law Enforcement</t>
  </si>
  <si>
    <t>Emergency Services</t>
  </si>
  <si>
    <t>Truck Driving</t>
  </si>
  <si>
    <t>Other Courses</t>
  </si>
  <si>
    <t xml:space="preserve"> 12-050000-4010-01</t>
  </si>
  <si>
    <t xml:space="preserve"> 12-050000-4011-01</t>
  </si>
  <si>
    <t xml:space="preserve"> 76-050000-4030-01</t>
  </si>
  <si>
    <t xml:space="preserve"> 76-050000-4040-01</t>
  </si>
  <si>
    <t xml:space="preserve"> 76-074000-4141-01</t>
  </si>
  <si>
    <t xml:space="preserve"> 76-074000-4148-01</t>
  </si>
  <si>
    <t xml:space="preserve"> 76-074000-4150-01</t>
  </si>
  <si>
    <t>BUSINESS ADMINISTRATION</t>
  </si>
  <si>
    <t>HUMANITIES DIVISION</t>
  </si>
  <si>
    <t>JOURNALISM</t>
  </si>
  <si>
    <t>READING</t>
  </si>
  <si>
    <t>ART</t>
  </si>
  <si>
    <t>Robert Ayala</t>
  </si>
  <si>
    <t>CAMSC</t>
  </si>
  <si>
    <t>Bonnie Clinebell</t>
  </si>
  <si>
    <t>Title V</t>
  </si>
  <si>
    <t>Savanna Hernandez</t>
  </si>
  <si>
    <t>Rosalinda Lara</t>
  </si>
  <si>
    <t>Cynthia Martinez</t>
  </si>
  <si>
    <t>Jessica Nunez-Gonzales</t>
  </si>
  <si>
    <t xml:space="preserve"> 61-820016-5000-01</t>
  </si>
  <si>
    <t xml:space="preserve"> 61-820018-5000-01</t>
  </si>
  <si>
    <t xml:space="preserve"> 61-820019-5000-01</t>
  </si>
  <si>
    <t xml:space="preserve"> 61-820021-5000-01</t>
  </si>
  <si>
    <t xml:space="preserve"> 61-820022-5000-02</t>
  </si>
  <si>
    <t xml:space="preserve"> 61-820024-5000-01</t>
  </si>
  <si>
    <t xml:space="preserve"> 61-820025-5000-01</t>
  </si>
  <si>
    <t xml:space="preserve"> 61-820026-5000-01</t>
  </si>
  <si>
    <t xml:space="preserve"> 61-820027-5000-01</t>
  </si>
  <si>
    <t xml:space="preserve"> 61-820030-5000-03</t>
  </si>
  <si>
    <t xml:space="preserve"> 61-820031-5000-01</t>
  </si>
  <si>
    <t xml:space="preserve"> 61-820032-5000-01</t>
  </si>
  <si>
    <t xml:space="preserve"> 61-820034-5000-01</t>
  </si>
  <si>
    <t>Edwin Nava</t>
  </si>
  <si>
    <t>Michelle Torres</t>
  </si>
  <si>
    <t>TITLE V</t>
  </si>
  <si>
    <t>CARS</t>
  </si>
  <si>
    <t>Law Enforcement (Tech.)</t>
  </si>
  <si>
    <t>GLASSCOCK</t>
  </si>
  <si>
    <t>5330</t>
  </si>
  <si>
    <t>5331</t>
  </si>
  <si>
    <t>SCHOLARSHIP (TUITION)</t>
  </si>
  <si>
    <t>SCHOLARSHIP (R &amp; B)</t>
  </si>
  <si>
    <t xml:space="preserve"> 11-059000-4599-01</t>
  </si>
  <si>
    <t xml:space="preserve"> 11-059000-4530-01</t>
  </si>
  <si>
    <t xml:space="preserve"> 11-059000-4535-01</t>
  </si>
  <si>
    <t xml:space="preserve"> 11-059000-4536-01</t>
  </si>
  <si>
    <t xml:space="preserve"> 11-059000-4542-01</t>
  </si>
  <si>
    <t xml:space="preserve"> 74-075000-4600-01</t>
  </si>
  <si>
    <t xml:space="preserve"> 73-074000-4640-01</t>
  </si>
  <si>
    <t xml:space="preserve"> 72-075000-4620-01</t>
  </si>
  <si>
    <t xml:space="preserve"> 72-075000-4604-01</t>
  </si>
  <si>
    <t xml:space="preserve"> 73-074000-4647-01</t>
  </si>
  <si>
    <t xml:space="preserve"> 74-075000-4647-01</t>
  </si>
  <si>
    <t xml:space="preserve"> 73-074000-4649-01</t>
  </si>
  <si>
    <t xml:space="preserve"> 40-060000-4770-01</t>
  </si>
  <si>
    <t xml:space="preserve"> 40-060000-4771-01</t>
  </si>
  <si>
    <t xml:space="preserve"> 40-060000-4756-01</t>
  </si>
  <si>
    <t xml:space="preserve"> 40-060000-4757-01</t>
  </si>
  <si>
    <t>Institutional Effectiveness</t>
  </si>
  <si>
    <t>Aubrey Haynes</t>
  </si>
  <si>
    <t>Kathy Santos</t>
  </si>
  <si>
    <t>SCH</t>
  </si>
  <si>
    <t xml:space="preserve"> 40-060000-4758-01</t>
  </si>
  <si>
    <t xml:space="preserve"> 40-060000-4740-01</t>
  </si>
  <si>
    <t xml:space="preserve"> 40-060000-4775-01</t>
  </si>
  <si>
    <t xml:space="preserve"> 40-060000-4799-01</t>
  </si>
  <si>
    <t xml:space="preserve"> 40-060000-4510-01</t>
  </si>
  <si>
    <t>SPEECH</t>
  </si>
  <si>
    <t>BIOLOGY</t>
  </si>
  <si>
    <t>MATH</t>
  </si>
  <si>
    <t>LEADERSHIP</t>
  </si>
  <si>
    <t>GOVERNMENT</t>
  </si>
  <si>
    <t>HISTORY</t>
  </si>
  <si>
    <t>SOCIOLOGY</t>
  </si>
  <si>
    <t>DR COSC</t>
  </si>
  <si>
    <t>DR COUNSELING</t>
  </si>
  <si>
    <t>DR BUSINESS ADMIN</t>
  </si>
  <si>
    <t>DR READING</t>
  </si>
  <si>
    <t>DR PHYS. EDUCATION</t>
  </si>
  <si>
    <t>DR ENGLISH</t>
  </si>
  <si>
    <t>DR SPEECH</t>
  </si>
  <si>
    <t>DR ECONOMICS</t>
  </si>
  <si>
    <t>DR PSYCHOLOGY</t>
  </si>
  <si>
    <t>DR GOVERNMENT</t>
  </si>
  <si>
    <t>DR HISTORY</t>
  </si>
  <si>
    <t>DR SOCIOLOGY</t>
  </si>
  <si>
    <t>EP HUMANITIES</t>
  </si>
  <si>
    <t>EP ENGLISH</t>
  </si>
  <si>
    <t>EP PSYCHOLOGY</t>
  </si>
  <si>
    <t xml:space="preserve"> 76-079000-4577-01</t>
  </si>
  <si>
    <t>ADA</t>
  </si>
  <si>
    <t xml:space="preserve"> 12-101604-5000-01</t>
  </si>
  <si>
    <t xml:space="preserve"> 12-101605-5000-01</t>
  </si>
  <si>
    <t xml:space="preserve"> 12-101501-5000-01</t>
  </si>
  <si>
    <t xml:space="preserve"> 12-310011-5000-02</t>
  </si>
  <si>
    <t xml:space="preserve"> 12-310011-7000-02</t>
  </si>
  <si>
    <t>12-101001-5000-02</t>
  </si>
  <si>
    <t xml:space="preserve"> 12-100201-5000-02</t>
  </si>
  <si>
    <t>12-100301-5000-02</t>
  </si>
  <si>
    <t xml:space="preserve"> 12-100601-5000-02</t>
  </si>
  <si>
    <t xml:space="preserve"> 12-100603-5000-02</t>
  </si>
  <si>
    <t xml:space="preserve"> 12-101201-5000-02</t>
  </si>
  <si>
    <t xml:space="preserve"> 12-101203-5000-02</t>
  </si>
  <si>
    <t xml:space="preserve"> 12-101301-5000-02</t>
  </si>
  <si>
    <t>GENERAL SERVICES</t>
  </si>
  <si>
    <t>TRANSPORTATION</t>
  </si>
  <si>
    <t>CAMPUS POLICE</t>
  </si>
  <si>
    <t>BUILDING MAINTENANCE</t>
  </si>
  <si>
    <t>CUSTODIAL SERVICES</t>
  </si>
  <si>
    <t>GROUNDS MAINTENANCE</t>
  </si>
  <si>
    <t>UTILITIES</t>
  </si>
  <si>
    <t>TDCJ - HONDO</t>
  </si>
  <si>
    <t>CARL PERKINS - BASIC</t>
  </si>
  <si>
    <t xml:space="preserve">DEPARTMENT AID </t>
  </si>
  <si>
    <t>PELL</t>
  </si>
  <si>
    <t>SEOG</t>
  </si>
  <si>
    <t>TPEG</t>
  </si>
  <si>
    <t>Texas Grant Program</t>
  </si>
  <si>
    <t>SIG/LEAP - STATE</t>
  </si>
  <si>
    <t>SIG/LEAP - FEDERAL</t>
  </si>
  <si>
    <t>HUBBARD</t>
  </si>
  <si>
    <t>GARNER</t>
  </si>
  <si>
    <t>FOOD SERVICE</t>
  </si>
  <si>
    <t>BOOK STORE</t>
  </si>
  <si>
    <t>STUDENT CENTER</t>
  </si>
  <si>
    <t>RODEO TEAM</t>
  </si>
  <si>
    <t>PRESIDENT</t>
  </si>
  <si>
    <t>PURCHASING</t>
  </si>
  <si>
    <t>FRESHMAN ORIENTATION</t>
  </si>
  <si>
    <t>GENERAL COUNSELING</t>
  </si>
  <si>
    <t>P T K - DEL RIO</t>
  </si>
  <si>
    <t>H A S H E</t>
  </si>
  <si>
    <t>B A CLUB</t>
  </si>
  <si>
    <t>CREATIVE ARTS</t>
  </si>
  <si>
    <t>D P O</t>
  </si>
  <si>
    <t>P T K - UVALDE</t>
  </si>
  <si>
    <t>CATHOLIC STUDENTS</t>
  </si>
  <si>
    <t>PHYSICS</t>
  </si>
  <si>
    <t>PRESS</t>
  </si>
  <si>
    <t>CAMPUS LIGHT</t>
  </si>
  <si>
    <t>RODEO</t>
  </si>
  <si>
    <t>VOCATIONAL NURSING - UVALDE</t>
  </si>
  <si>
    <t>VOCATIONAL NURSING - DEL RIO</t>
  </si>
  <si>
    <t>CRIMINAL JUSTICE</t>
  </si>
  <si>
    <t>Z E C</t>
  </si>
  <si>
    <t>PHYSICAL EDUCATION</t>
  </si>
  <si>
    <t>COSMETOLOGY</t>
  </si>
  <si>
    <t>P T K - EAGLE PASS</t>
  </si>
  <si>
    <t>CREATIVE WRITING</t>
  </si>
  <si>
    <t>V I C A</t>
  </si>
  <si>
    <t>LVN - EAGLE PASS</t>
  </si>
  <si>
    <t>INTERNET CLUB EP</t>
  </si>
  <si>
    <t>PSYCHOLOGY</t>
  </si>
  <si>
    <t>GROUP INSURANCE</t>
  </si>
  <si>
    <t>RETIREMENT MATCHING</t>
  </si>
  <si>
    <t>FICA, MEDICARE</t>
  </si>
  <si>
    <t>UNEMPLOYMENT</t>
  </si>
  <si>
    <t>WORKERS COMP</t>
  </si>
  <si>
    <t>FULL TIME SALARIES</t>
  </si>
  <si>
    <t>PART TIME SALARIES</t>
  </si>
  <si>
    <t>AGRICULTURE</t>
  </si>
  <si>
    <t xml:space="preserve"> 12-400015-5000-01</t>
  </si>
  <si>
    <t xml:space="preserve"> 12-400020-5000-01</t>
  </si>
  <si>
    <t xml:space="preserve"> 12-400020-7000-01</t>
  </si>
  <si>
    <t xml:space="preserve"> 12-400035-5000-01</t>
  </si>
  <si>
    <t xml:space="preserve"> 12-400035-7000-01</t>
  </si>
  <si>
    <t xml:space="preserve"> 12-400030-7000-01</t>
  </si>
  <si>
    <t xml:space="preserve"> 12-400030-5000-01</t>
  </si>
  <si>
    <t xml:space="preserve"> 61-820001-5000-01</t>
  </si>
  <si>
    <t xml:space="preserve"> 61-820002-5000-02</t>
  </si>
  <si>
    <t xml:space="preserve"> 61-820003-5000-01</t>
  </si>
  <si>
    <t xml:space="preserve"> 61-820004-5000-01</t>
  </si>
  <si>
    <t xml:space="preserve"> 61-820006-5000-01</t>
  </si>
  <si>
    <t xml:space="preserve"> 61-820008-5000-01</t>
  </si>
  <si>
    <t xml:space="preserve"> 61-820011-5000-01</t>
  </si>
  <si>
    <t xml:space="preserve"> 61-820012-5000-01</t>
  </si>
  <si>
    <t xml:space="preserve"> 61-820013-5000-01</t>
  </si>
  <si>
    <t xml:space="preserve"> 61-820014-5000-01</t>
  </si>
  <si>
    <t xml:space="preserve"> 61-820015-5000-01</t>
  </si>
  <si>
    <t xml:space="preserve"> 12-520010-7000-01</t>
  </si>
  <si>
    <t xml:space="preserve"> 11-610020-5000-01</t>
  </si>
  <si>
    <t xml:space="preserve"> 11-610020-7000-01</t>
  </si>
  <si>
    <t xml:space="preserve"> 11-620030-5000-01</t>
  </si>
  <si>
    <t xml:space="preserve"> 11-620030-7000-01</t>
  </si>
  <si>
    <t>Instructional IT Support</t>
  </si>
  <si>
    <t>INSTRUCTIONAL IT SUPPORT</t>
  </si>
  <si>
    <t xml:space="preserve"> 61-820048-5000-01</t>
  </si>
  <si>
    <t xml:space="preserve"> 12-400040-5000-01</t>
  </si>
  <si>
    <t xml:space="preserve"> 12-400040-7000-01</t>
  </si>
  <si>
    <t xml:space="preserve"> 12-400045-5000-01</t>
  </si>
  <si>
    <t xml:space="preserve"> 12-510020-5000-01</t>
  </si>
  <si>
    <t xml:space="preserve"> 12-510020-7000-01</t>
  </si>
  <si>
    <t xml:space="preserve"> 12-510018-5000-01</t>
  </si>
  <si>
    <t xml:space="preserve"> 12-510018-7000-01</t>
  </si>
  <si>
    <t xml:space="preserve"> 12-510012-5000-01</t>
  </si>
  <si>
    <t xml:space="preserve"> 12-510012-7000-01</t>
  </si>
  <si>
    <t xml:space="preserve"> 12-500083-7000-01</t>
  </si>
  <si>
    <t xml:space="preserve"> 12-510010-5000-01</t>
  </si>
  <si>
    <t xml:space="preserve"> 12-510010-7000-01</t>
  </si>
  <si>
    <t xml:space="preserve"> 12-510025-5000-01</t>
  </si>
  <si>
    <t xml:space="preserve"> 12-510030-5000-01</t>
  </si>
  <si>
    <t xml:space="preserve"> 12-510035-5000-01</t>
  </si>
  <si>
    <t xml:space="preserve"> 12-510045-5000-01</t>
  </si>
  <si>
    <t xml:space="preserve"> 12-510050-5000-01</t>
  </si>
  <si>
    <t>VEHICLE FUEL &amp; OIL</t>
  </si>
  <si>
    <t>Construction Trades</t>
  </si>
  <si>
    <t>CONSTRUCTION (WFT&amp;D)</t>
  </si>
  <si>
    <t>Community Education, Non-credit</t>
  </si>
  <si>
    <t>COMMUNITY ED., NON-CREDIT</t>
  </si>
  <si>
    <t>250010</t>
  </si>
  <si>
    <t>100801</t>
  </si>
  <si>
    <t>BRISCOE SPANISH</t>
  </si>
  <si>
    <t xml:space="preserve"> 12-100801-5000-23</t>
  </si>
  <si>
    <t>5027</t>
  </si>
  <si>
    <t>ELECTION EXPENSE</t>
  </si>
  <si>
    <t>5011</t>
  </si>
  <si>
    <t>GENERAL LICENSING</t>
  </si>
  <si>
    <t>VA OFFICE</t>
  </si>
  <si>
    <t>400021</t>
  </si>
  <si>
    <t>VA Office</t>
  </si>
  <si>
    <t>DR MUSIC</t>
  </si>
  <si>
    <t xml:space="preserve"> 12-100703-5000-02</t>
  </si>
  <si>
    <t>AMER. CHEM.</t>
  </si>
  <si>
    <t>5401</t>
  </si>
  <si>
    <t>FOOD PROGRAM PURCHASES</t>
  </si>
  <si>
    <t>CONSTRUCTION</t>
  </si>
  <si>
    <t>COMMUNITY ED NON-CREDIT</t>
  </si>
  <si>
    <t xml:space="preserve"> 12-109000-5000-03</t>
  </si>
  <si>
    <t xml:space="preserve">   SWTNet &amp; E Rate</t>
  </si>
  <si>
    <t>THEATER</t>
  </si>
  <si>
    <t>MUSIC</t>
  </si>
  <si>
    <t>DANCE</t>
  </si>
  <si>
    <t>SPANISH</t>
  </si>
  <si>
    <t>ENGLISH</t>
  </si>
  <si>
    <t>PHILOSOPHY</t>
  </si>
  <si>
    <t xml:space="preserve"> 12-100601-5000-01</t>
  </si>
  <si>
    <t xml:space="preserve"> 12-100602-5000-01</t>
  </si>
  <si>
    <t xml:space="preserve"> 12-100701-5000-01</t>
  </si>
  <si>
    <t xml:space="preserve"> 12-100702-5000-01</t>
  </si>
  <si>
    <t xml:space="preserve"> 12-100703-5000-01</t>
  </si>
  <si>
    <t>12-100704-5000-01</t>
  </si>
  <si>
    <t xml:space="preserve"> 12-100801-5000-01</t>
  </si>
  <si>
    <t xml:space="preserve"> 12-101201-5000-01</t>
  </si>
  <si>
    <t xml:space="preserve"> 12-101202-5000-01</t>
  </si>
  <si>
    <t xml:space="preserve"> 12-101203-5000-01</t>
  </si>
  <si>
    <t xml:space="preserve"> 12-100603-5000-01</t>
  </si>
  <si>
    <t xml:space="preserve"> 12-100603-7000-01</t>
  </si>
  <si>
    <t xml:space="preserve"> 12-100201-5000-01</t>
  </si>
  <si>
    <t xml:space="preserve"> 12-101301-5000-01</t>
  </si>
  <si>
    <t xml:space="preserve"> 12-101401-5000-01</t>
  </si>
  <si>
    <t xml:space="preserve"> 12-101402-5000-01</t>
  </si>
  <si>
    <t xml:space="preserve"> 12-101205-5000-01</t>
  </si>
  <si>
    <t xml:space="preserve"> 12-101603-5000-01</t>
  </si>
  <si>
    <t xml:space="preserve"> 40-920500-5000-01</t>
  </si>
  <si>
    <t>Yesenia Silva</t>
  </si>
  <si>
    <t>Julie Thomas</t>
  </si>
  <si>
    <t xml:space="preserve"> 40-920500-7000-01</t>
  </si>
  <si>
    <t xml:space="preserve"> 40-951010-5000-01</t>
  </si>
  <si>
    <t>75-1</t>
  </si>
  <si>
    <t xml:space="preserve">  12-101606-5000-02</t>
  </si>
  <si>
    <t xml:space="preserve"> 12-101501-5000-02</t>
  </si>
  <si>
    <t xml:space="preserve"> 12-101603-5000-02</t>
  </si>
  <si>
    <t xml:space="preserve"> 12-101604-5000-02</t>
  </si>
  <si>
    <t xml:space="preserve"> 12-310011-5000-03</t>
  </si>
  <si>
    <t xml:space="preserve"> 12-310011-7000-03</t>
  </si>
  <si>
    <t xml:space="preserve"> 12-400015-5000-03</t>
  </si>
  <si>
    <t xml:space="preserve"> 12-100201-5000-03</t>
  </si>
  <si>
    <t xml:space="preserve"> 12-100700-5000-03</t>
  </si>
  <si>
    <t xml:space="preserve"> 12-101201-5000-03</t>
  </si>
  <si>
    <t xml:space="preserve"> 12-101301-5000-03</t>
  </si>
  <si>
    <t xml:space="preserve"> 12-101501-5000-03</t>
  </si>
  <si>
    <t xml:space="preserve"> 12-101603-5000-03</t>
  </si>
  <si>
    <t xml:space="preserve"> 12-310011-7000-04</t>
  </si>
  <si>
    <t>DEBT SERVICE</t>
  </si>
  <si>
    <t xml:space="preserve"> 12-101302-5000-01</t>
  </si>
  <si>
    <t xml:space="preserve"> 12-101302-7000-01</t>
  </si>
  <si>
    <t xml:space="preserve"> 12-510011-5000-01</t>
  </si>
  <si>
    <t>LIVESTOCK OPERATIONS</t>
  </si>
  <si>
    <t>STAFF SCHOLARSHIPS</t>
  </si>
  <si>
    <t>DAYCARE</t>
  </si>
  <si>
    <t xml:space="preserve"> 12-500010-5000-01</t>
  </si>
  <si>
    <t xml:space="preserve"> 12-500020-5000-01</t>
  </si>
  <si>
    <t xml:space="preserve"> 12-500020-7000-01</t>
  </si>
  <si>
    <t xml:space="preserve"> 12-500022-5000-01</t>
  </si>
  <si>
    <t xml:space="preserve"> 12-500022-7000-01</t>
  </si>
  <si>
    <t>Ismael Martinez</t>
  </si>
  <si>
    <t>61-820009</t>
  </si>
  <si>
    <t>61-820009-5000-01</t>
  </si>
  <si>
    <t>BOND ISSUE #2</t>
  </si>
  <si>
    <t>BOND ISSUE #1</t>
  </si>
  <si>
    <t>VETERANS CLUB - UVALDE</t>
  </si>
  <si>
    <t xml:space="preserve"> 61-820035-5000-01</t>
  </si>
  <si>
    <t>VETERANS  UV</t>
  </si>
  <si>
    <t xml:space="preserve"> 61-820035</t>
  </si>
  <si>
    <t xml:space="preserve"> 12-500025-5000-01</t>
  </si>
  <si>
    <t xml:space="preserve"> 12-500025-7000-01</t>
  </si>
  <si>
    <t xml:space="preserve"> 12-500050-5000-01</t>
  </si>
  <si>
    <t>12-110411-5000-01</t>
  </si>
  <si>
    <t xml:space="preserve"> 12-500050-7000-01</t>
  </si>
  <si>
    <t xml:space="preserve"> 12-500051-5000-01</t>
  </si>
  <si>
    <t xml:space="preserve"> 12-500051-7000-01</t>
  </si>
  <si>
    <t xml:space="preserve"> 12-500052-5000-01</t>
  </si>
  <si>
    <t xml:space="preserve"> 12-500052-7000-01</t>
  </si>
  <si>
    <t xml:space="preserve"> 12-400010-5000-01</t>
  </si>
  <si>
    <t xml:space="preserve"> 12-400010-7000-01</t>
  </si>
  <si>
    <t xml:space="preserve"> 12-400025-5000-01</t>
  </si>
  <si>
    <t xml:space="preserve"> 12-400025-7000-01</t>
  </si>
  <si>
    <t xml:space="preserve"> 12-400050-5000-01</t>
  </si>
  <si>
    <t xml:space="preserve">  12-110497-7000-01</t>
  </si>
  <si>
    <t xml:space="preserve"> 12-300010-5000-01</t>
  </si>
  <si>
    <t xml:space="preserve"> 12-300010-7000-01</t>
  </si>
  <si>
    <t xml:space="preserve"> 12-300010-5000-02</t>
  </si>
  <si>
    <t xml:space="preserve"> 12-300010-7000-02</t>
  </si>
  <si>
    <t>Institutional Development</t>
  </si>
  <si>
    <t xml:space="preserve"> 12-300010-5000-03</t>
  </si>
  <si>
    <t xml:space="preserve"> 12-300010-7000-03</t>
  </si>
  <si>
    <t xml:space="preserve"> 12-300020-5000-01</t>
  </si>
  <si>
    <t xml:space="preserve"> 12-300020-7000-01</t>
  </si>
  <si>
    <t xml:space="preserve"> 76-124000-5000-01</t>
  </si>
  <si>
    <t xml:space="preserve"> 76-127000-5000-01</t>
  </si>
  <si>
    <t xml:space="preserve"> 76-127000-7000-01</t>
  </si>
  <si>
    <t xml:space="preserve"> 11-600010-5000-01</t>
  </si>
  <si>
    <t xml:space="preserve"> 11-600010-7000-01</t>
  </si>
  <si>
    <t xml:space="preserve"> 11-510085-5000-01</t>
  </si>
  <si>
    <t xml:space="preserve"> 11-510085-7000-01</t>
  </si>
  <si>
    <t xml:space="preserve"> 12-520010-5000-01</t>
  </si>
  <si>
    <t>Agriculture</t>
  </si>
  <si>
    <t>Computer Science</t>
  </si>
  <si>
    <t>Business Administration</t>
  </si>
  <si>
    <t>Humanities Division</t>
  </si>
  <si>
    <t>Journalism</t>
  </si>
  <si>
    <t>Reading</t>
  </si>
  <si>
    <t>Developmental English</t>
  </si>
  <si>
    <t>Art</t>
  </si>
  <si>
    <t>Theater</t>
  </si>
  <si>
    <t>Music</t>
  </si>
  <si>
    <t>Spanish</t>
  </si>
  <si>
    <t>English</t>
  </si>
  <si>
    <t>Del Rio Campus</t>
  </si>
  <si>
    <t>Computer Training</t>
  </si>
  <si>
    <t>CARPENTRY</t>
  </si>
  <si>
    <t xml:space="preserve"> 12-110412-5000-01</t>
  </si>
  <si>
    <t>Carpentry</t>
  </si>
  <si>
    <t>Linda Brown</t>
  </si>
  <si>
    <t>Landra Fowler</t>
  </si>
  <si>
    <t>Upward Bound</t>
  </si>
  <si>
    <t xml:space="preserve"> 76-210025-5000-01</t>
  </si>
  <si>
    <t xml:space="preserve"> 76-210025-7000-01</t>
  </si>
  <si>
    <t>61-820076</t>
  </si>
  <si>
    <t>61-820076-5000-01</t>
  </si>
  <si>
    <t>Bad Debt</t>
  </si>
  <si>
    <t>BAD DEBT</t>
  </si>
  <si>
    <t>5302</t>
  </si>
  <si>
    <t>COLLECTION EXPENSE</t>
  </si>
  <si>
    <t>Professional Development</t>
  </si>
  <si>
    <t xml:space="preserve"> 12-500083-5000-01</t>
  </si>
  <si>
    <t xml:space="preserve"> 12-510052-5000-01</t>
  </si>
  <si>
    <t xml:space="preserve"> 12-510055-5073-01</t>
  </si>
  <si>
    <t xml:space="preserve"> 12-510060-5000-01</t>
  </si>
  <si>
    <t xml:space="preserve"> 12-510065-5000-01</t>
  </si>
  <si>
    <t xml:space="preserve"> 12-510075-5000-01</t>
  </si>
  <si>
    <t xml:space="preserve"> 12-510075-7000-01</t>
  </si>
  <si>
    <t xml:space="preserve"> 12-510076-5000-01</t>
  </si>
  <si>
    <t xml:space="preserve"> 12-510076-7000-01</t>
  </si>
  <si>
    <t xml:space="preserve"> 12-500081-5000-01</t>
  </si>
  <si>
    <t xml:space="preserve"> 12-500080-5000-01</t>
  </si>
  <si>
    <t>Other locally funded</t>
  </si>
  <si>
    <t>Restricted Funds/Grants</t>
  </si>
  <si>
    <t>State Allocations</t>
  </si>
  <si>
    <t>Change</t>
  </si>
  <si>
    <t>12-500082-5000-01</t>
  </si>
  <si>
    <t>12-500082-7000-01</t>
  </si>
  <si>
    <t xml:space="preserve"> 12-510080-7000-01</t>
  </si>
  <si>
    <t xml:space="preserve"> 12-510080-5000-01</t>
  </si>
  <si>
    <t xml:space="preserve"> 12-310035-5000-01</t>
  </si>
  <si>
    <t xml:space="preserve"> 76-720090-5060-01</t>
  </si>
  <si>
    <t xml:space="preserve"> 12-530005-5060-01</t>
  </si>
  <si>
    <t xml:space="preserve"> 76-720090-5061-01</t>
  </si>
  <si>
    <t xml:space="preserve"> 12-530006-5060-01</t>
  </si>
  <si>
    <t xml:space="preserve"> 12-530008-5060-01</t>
  </si>
  <si>
    <t xml:space="preserve"> 12-390010-7000-01</t>
  </si>
  <si>
    <t xml:space="preserve"> 12-390014-7000-01</t>
  </si>
  <si>
    <t xml:space="preserve"> 12-100001-5000-01</t>
  </si>
  <si>
    <t xml:space="preserve"> 12-101001-5000-01</t>
  </si>
  <si>
    <t xml:space="preserve"> 12-100301-5000-01</t>
  </si>
  <si>
    <t xml:space="preserve"> 12-101200-5000-01</t>
  </si>
  <si>
    <t xml:space="preserve"> 12-100401-5000-01</t>
  </si>
  <si>
    <t>ATD -- STATE</t>
  </si>
  <si>
    <t>ATD -- State</t>
  </si>
  <si>
    <t>PEARSALL</t>
  </si>
  <si>
    <t>EXTENSION AND PR</t>
  </si>
  <si>
    <t xml:space="preserve"> 40-920010-7000-01</t>
  </si>
  <si>
    <t xml:space="preserve"> 40-960010-5000-01</t>
  </si>
  <si>
    <t xml:space="preserve"> 40-930010-5000-01</t>
  </si>
  <si>
    <t xml:space="preserve"> 40-930020-5000-01</t>
  </si>
  <si>
    <t xml:space="preserve"> 40-940010-5000-01</t>
  </si>
  <si>
    <t>SALARIES</t>
  </si>
  <si>
    <t>Angelica Gaucin</t>
  </si>
  <si>
    <t>Alejandro Gomez</t>
  </si>
  <si>
    <t>Cheryl Hammer</t>
  </si>
  <si>
    <t>Evelyn Lastiere</t>
  </si>
  <si>
    <t>Janie Lopez</t>
  </si>
  <si>
    <t>Victor Arroyos</t>
  </si>
  <si>
    <t>Aracely Perez</t>
  </si>
  <si>
    <t>84-1</t>
  </si>
  <si>
    <t>98-1</t>
  </si>
  <si>
    <t>98-2</t>
  </si>
  <si>
    <t>127-1</t>
  </si>
  <si>
    <t>127-2</t>
  </si>
  <si>
    <t>AMERICAN CHEMICAL</t>
  </si>
  <si>
    <t>ECONOMICS</t>
  </si>
  <si>
    <t>EP BIOLOGY</t>
  </si>
  <si>
    <t xml:space="preserve">EP MATH </t>
  </si>
  <si>
    <t>EP CHEMISTRY</t>
  </si>
  <si>
    <t xml:space="preserve"> 12-400015-7000-01</t>
  </si>
  <si>
    <t xml:space="preserve"> 61-820005-5000-01</t>
  </si>
  <si>
    <t xml:space="preserve"> 61-820017-5000-01</t>
  </si>
  <si>
    <t>12-310011-5000-01</t>
  </si>
  <si>
    <t xml:space="preserve"> 12-101606-5000-01</t>
  </si>
  <si>
    <t>ARANDA</t>
  </si>
  <si>
    <t xml:space="preserve"> 12-310022-5000-01</t>
  </si>
  <si>
    <t xml:space="preserve"> 12-310022-7000-01</t>
  </si>
  <si>
    <t>COSC</t>
  </si>
  <si>
    <t xml:space="preserve"> 12-109000-5000-01</t>
  </si>
  <si>
    <t xml:space="preserve"> 12-109000-7000-01</t>
  </si>
  <si>
    <t xml:space="preserve"> 12-109000-5000-02</t>
  </si>
  <si>
    <t xml:space="preserve"> 12-390020-7000-01</t>
  </si>
  <si>
    <t xml:space="preserve"> 12-390024-7000-01</t>
  </si>
  <si>
    <t xml:space="preserve"> 12-310020-5000-01</t>
  </si>
  <si>
    <t xml:space="preserve"> 12-310020-7000-01</t>
  </si>
  <si>
    <t xml:space="preserve"> 12-310021-7000-01</t>
  </si>
  <si>
    <t xml:space="preserve"> 12-310020-5000-03</t>
  </si>
  <si>
    <t xml:space="preserve"> 12-310020-7000-03</t>
  </si>
  <si>
    <t xml:space="preserve"> 12-110302-5000-03</t>
  </si>
  <si>
    <t xml:space="preserve"> 12-110201-5000-03</t>
  </si>
  <si>
    <t xml:space="preserve"> 12-110303-5000-03</t>
  </si>
  <si>
    <t xml:space="preserve"> 12-310020-7000-02</t>
  </si>
  <si>
    <t xml:space="preserve"> 12-110302-5000-02</t>
  </si>
  <si>
    <t xml:space="preserve"> 12-110201-5000-02</t>
  </si>
  <si>
    <t xml:space="preserve"> 12-310030-5000-01</t>
  </si>
  <si>
    <t xml:space="preserve"> 12-310030-7000-01</t>
  </si>
  <si>
    <t xml:space="preserve"> 12-110404-5000-01</t>
  </si>
  <si>
    <t xml:space="preserve"> 12-110402-5000-01</t>
  </si>
  <si>
    <t xml:space="preserve"> 12-110101-5000-01</t>
  </si>
  <si>
    <t xml:space="preserve"> 12-110302-5000-01</t>
  </si>
  <si>
    <t xml:space="preserve"> 12-110302-7000-01</t>
  </si>
  <si>
    <t xml:space="preserve"> 12-110001-5000-01</t>
  </si>
  <si>
    <t xml:space="preserve"> 12-110403-5000-01</t>
  </si>
  <si>
    <t xml:space="preserve"> 12-110501-5000-01</t>
  </si>
  <si>
    <t xml:space="preserve"> 12-110201-5000-01</t>
  </si>
  <si>
    <t xml:space="preserve"> 12-110494-5000-01</t>
  </si>
  <si>
    <t xml:space="preserve"> 12-110494-7000-01</t>
  </si>
  <si>
    <t xml:space="preserve"> 12-110303-5000-01</t>
  </si>
  <si>
    <t xml:space="preserve"> 12-110401-5000-01</t>
  </si>
  <si>
    <t>Catalog</t>
  </si>
  <si>
    <t>Commencement</t>
  </si>
  <si>
    <t>Recycling</t>
  </si>
  <si>
    <t>Legal Fees</t>
  </si>
  <si>
    <t>Central Mail</t>
  </si>
  <si>
    <t>Official Functions</t>
  </si>
  <si>
    <t>Ramiro Flores</t>
  </si>
  <si>
    <t>Patricia Garcia</t>
  </si>
  <si>
    <t>Arturo Mancha</t>
  </si>
  <si>
    <t>Del Rio</t>
  </si>
  <si>
    <t>Eagle Pass</t>
  </si>
  <si>
    <t>Counseling</t>
  </si>
  <si>
    <t>Tech Voc Administration</t>
  </si>
  <si>
    <t>Tax Appraisal Districts</t>
  </si>
  <si>
    <t>Print Center</t>
  </si>
  <si>
    <t>Word Processing Center</t>
  </si>
  <si>
    <t>Central Telephone</t>
  </si>
  <si>
    <t>Retirement Matching</t>
  </si>
  <si>
    <t>FICA, Medicare</t>
  </si>
  <si>
    <t>Unemployment</t>
  </si>
  <si>
    <t>Workers Comp</t>
  </si>
  <si>
    <t>Santos Alvarez</t>
  </si>
  <si>
    <t>Romelia Aranda</t>
  </si>
  <si>
    <t>Reynaldo Benavidez</t>
  </si>
  <si>
    <t>Jimmy Calliham</t>
  </si>
  <si>
    <t>Julio Castro</t>
  </si>
  <si>
    <t>Carlos Cazares</t>
  </si>
  <si>
    <t>Sandra Colombo</t>
  </si>
  <si>
    <t>David Conde</t>
  </si>
  <si>
    <t>Alex Coronado</t>
  </si>
  <si>
    <t>Eagle Pass Campus</t>
  </si>
  <si>
    <t>Philosophy</t>
  </si>
  <si>
    <t>Leadership</t>
  </si>
  <si>
    <t>Speech</t>
  </si>
  <si>
    <t>Physical Education</t>
  </si>
  <si>
    <t>Biology</t>
  </si>
  <si>
    <t>Mathematics</t>
  </si>
  <si>
    <t>Chemistry</t>
  </si>
  <si>
    <t>Physics</t>
  </si>
  <si>
    <t>Government</t>
  </si>
  <si>
    <t>History</t>
  </si>
  <si>
    <t>Sociology</t>
  </si>
  <si>
    <t>Economics</t>
  </si>
  <si>
    <t>Psychology</t>
  </si>
  <si>
    <t>Del Rio Center</t>
  </si>
  <si>
    <t>Eagle Pass Center</t>
  </si>
  <si>
    <t>Instructional Technology</t>
  </si>
  <si>
    <t>Technical Programs Instructional Administration</t>
  </si>
  <si>
    <t>Mid-Management</t>
  </si>
  <si>
    <t>Computer Information Systems</t>
  </si>
  <si>
    <t>OTHER WORKFORCE COURSES</t>
  </si>
  <si>
    <t xml:space="preserve"> 12-110599-5000-01</t>
  </si>
  <si>
    <t xml:space="preserve"> 12-110599-7000-01</t>
  </si>
  <si>
    <t xml:space="preserve"> 11-630040-5000-01</t>
  </si>
  <si>
    <t xml:space="preserve"> 11-630040-7000-01</t>
  </si>
  <si>
    <t xml:space="preserve"> 11-640050-5000-01</t>
  </si>
  <si>
    <t>76-750060-5000-01</t>
  </si>
  <si>
    <t xml:space="preserve"> 76-125140-5000-01</t>
  </si>
  <si>
    <t xml:space="preserve"> 76-125140-7000-01</t>
  </si>
  <si>
    <t xml:space="preserve"> 12-510099-7000-01</t>
  </si>
  <si>
    <t xml:space="preserve"> 74-710020-7000-01</t>
  </si>
  <si>
    <t xml:space="preserve"> 72-710001-5000-01</t>
  </si>
  <si>
    <t xml:space="preserve"> 74-710010-5000-01</t>
  </si>
  <si>
    <t xml:space="preserve"> 11-720001-5000-01</t>
  </si>
  <si>
    <t xml:space="preserve"> 40-900010-5000-01</t>
  </si>
  <si>
    <t xml:space="preserve"> 40-900010-7000-01</t>
  </si>
  <si>
    <t xml:space="preserve"> 40-900011-5000-01</t>
  </si>
  <si>
    <t xml:space="preserve"> 40-910010-5000-01</t>
  </si>
  <si>
    <t xml:space="preserve"> 40-910010-7000-01</t>
  </si>
  <si>
    <t xml:space="preserve"> 40-920010-5000-01</t>
  </si>
  <si>
    <t>RENTAL CLASSROOM</t>
  </si>
  <si>
    <t>EP READING</t>
  </si>
  <si>
    <t xml:space="preserve"> 12-100601-5000-03</t>
  </si>
  <si>
    <t>OFFICE EQUIPMENT &lt;$1,000</t>
  </si>
  <si>
    <t>SAFETY AND WELLNESS PROGRAM  25</t>
  </si>
  <si>
    <t xml:space="preserve">  12-110497-5000-01</t>
  </si>
  <si>
    <t>OTHER HEALTH OCCUPATIONS</t>
  </si>
  <si>
    <t>CHILD DEVELOPMENT CE</t>
  </si>
  <si>
    <t>12-110392-7000-01</t>
  </si>
  <si>
    <t>OTHER LAW ENFORCEMENT</t>
  </si>
  <si>
    <t>5332</t>
  </si>
  <si>
    <t>OTHER HEALTH</t>
  </si>
  <si>
    <t xml:space="preserve"> 40-900011-7000-01</t>
  </si>
  <si>
    <t>OPERATING EXPENDITURES</t>
  </si>
  <si>
    <t>Juan Ybarra</t>
  </si>
  <si>
    <t>Overtime</t>
  </si>
  <si>
    <t>Elsa DeHoyos</t>
  </si>
  <si>
    <t>Lucas Limbrick</t>
  </si>
  <si>
    <t>Emma Martinez</t>
  </si>
  <si>
    <t>Abel Ortiz</t>
  </si>
  <si>
    <t>SALARY</t>
  </si>
  <si>
    <t>110501</t>
  </si>
  <si>
    <t>UV LVN</t>
  </si>
  <si>
    <t>DR - LVN</t>
  </si>
  <si>
    <t>EP - LVN</t>
  </si>
  <si>
    <t>510090</t>
  </si>
  <si>
    <t>DR Facility</t>
  </si>
  <si>
    <t>EP FACILIT</t>
  </si>
  <si>
    <t>390020</t>
  </si>
  <si>
    <t>T-V FAC.</t>
  </si>
  <si>
    <t>500020</t>
  </si>
  <si>
    <t>Pres</t>
  </si>
  <si>
    <t>Claudia Sanderlin</t>
  </si>
  <si>
    <t>Alfonso Santos</t>
  </si>
  <si>
    <t>Noel Tarango</t>
  </si>
  <si>
    <t>Robert Zaiglin</t>
  </si>
  <si>
    <t>STAFF &amp; NON-TENURED</t>
  </si>
  <si>
    <t>OPERATING  EXPENDITURES</t>
  </si>
  <si>
    <t>Leo Aviles</t>
  </si>
  <si>
    <t>DEPT. AID SALARIES</t>
  </si>
  <si>
    <t>FACULTY</t>
  </si>
  <si>
    <t>Manuel Alejandro</t>
  </si>
  <si>
    <t>Crystal City</t>
  </si>
  <si>
    <t>Sylvia Fernandez</t>
  </si>
  <si>
    <t>Juan Guzman*</t>
  </si>
  <si>
    <t>Brenda Hoffman</t>
  </si>
  <si>
    <t>AUTOMOTIVE TECHNOLOGY</t>
  </si>
  <si>
    <t>DIESEL TECHNOLOGY</t>
  </si>
  <si>
    <t>AUTO BODY REPAIR TECHNOLOGY</t>
  </si>
  <si>
    <t>WILDLIFE MANAGEMENT</t>
  </si>
  <si>
    <t xml:space="preserve"> 12-110005-5000-01</t>
  </si>
  <si>
    <t>Department</t>
  </si>
  <si>
    <t>Page #</t>
  </si>
  <si>
    <t>Governing Board</t>
  </si>
  <si>
    <t>President's Office</t>
  </si>
  <si>
    <t>Purchasing</t>
  </si>
  <si>
    <t>Registrar's Office</t>
  </si>
  <si>
    <t>General Counseling</t>
  </si>
  <si>
    <t>Student Financial Aid</t>
  </si>
  <si>
    <t>Health Clinic</t>
  </si>
  <si>
    <t>Student Activities</t>
  </si>
  <si>
    <t>Clubs</t>
  </si>
  <si>
    <t>Student Recruitment</t>
  </si>
  <si>
    <t>Student Information Center</t>
  </si>
  <si>
    <t>Public Information</t>
  </si>
  <si>
    <t>SACS REVIEW</t>
  </si>
  <si>
    <t xml:space="preserve"> 12-510040-5000-01</t>
  </si>
  <si>
    <t>Dues</t>
  </si>
  <si>
    <t>Audit</t>
  </si>
  <si>
    <t>Luis Perez</t>
  </si>
  <si>
    <t>Ismael Sosa</t>
  </si>
  <si>
    <t>Michael Stocks</t>
  </si>
  <si>
    <t>Helen Strait</t>
  </si>
  <si>
    <t>Terri Tucker</t>
  </si>
  <si>
    <t>Margot Mata</t>
  </si>
  <si>
    <t>Diane Underwood</t>
  </si>
  <si>
    <t xml:space="preserve">5107 </t>
  </si>
  <si>
    <t>Jim Williamson</t>
  </si>
  <si>
    <t>Sharon Wilson</t>
  </si>
  <si>
    <t>Terrie Wilson</t>
  </si>
  <si>
    <t>Pete Winn</t>
  </si>
  <si>
    <t>Sonia Adan-Medina</t>
  </si>
  <si>
    <t>Marcelino Alderete</t>
  </si>
  <si>
    <t>Agustin Alejandro</t>
  </si>
  <si>
    <t>Albert Alonzo</t>
  </si>
  <si>
    <t>Lidia Alvarez</t>
  </si>
  <si>
    <t>INSTITUTIONAL SUPPORT</t>
  </si>
  <si>
    <t>STUDENT CLUBS</t>
  </si>
  <si>
    <t xml:space="preserve"> 11-510070-5000-01</t>
  </si>
  <si>
    <t>INSTRUCTION</t>
  </si>
  <si>
    <t>MAIN CAMPUS &amp; DISTRICT OPERATIONS</t>
  </si>
  <si>
    <t>ACADEMIC SUPPORT</t>
  </si>
  <si>
    <t>WORKFORCE TRAINING AND DEVELOPMENT</t>
  </si>
  <si>
    <t>ACADEMIC INSTRUCTIONAL SALARIES</t>
  </si>
  <si>
    <t>DEVELOPMENTAL EDUCATION</t>
  </si>
  <si>
    <t xml:space="preserve"> 12-310021-5000-01</t>
  </si>
  <si>
    <t>Melissa Deleon</t>
  </si>
  <si>
    <t>Marco Delgado</t>
  </si>
  <si>
    <t>Carlos Diaz</t>
  </si>
  <si>
    <t>Nancy Doucet</t>
  </si>
  <si>
    <t>Robert Doucet</t>
  </si>
  <si>
    <t>William Edwards</t>
  </si>
  <si>
    <t>Rob Fowler</t>
  </si>
  <si>
    <t>Irma Garcia</t>
  </si>
  <si>
    <t>Lizabel Garcia</t>
  </si>
  <si>
    <t>Steven Garner</t>
  </si>
  <si>
    <t>Alberto Garza</t>
  </si>
  <si>
    <t>Felicitas Garza</t>
  </si>
  <si>
    <t>Joe Garza</t>
  </si>
  <si>
    <t>Child Development</t>
  </si>
  <si>
    <t>Air Conditioning &amp; Refrigeration</t>
  </si>
  <si>
    <t>Auto Body Repair Technology</t>
  </si>
  <si>
    <t>Agribusiness</t>
  </si>
  <si>
    <t>Welding Technology</t>
  </si>
  <si>
    <t>Vocational Nursing</t>
  </si>
  <si>
    <t>Law Enforcement Academy</t>
  </si>
  <si>
    <t>Cosmetology</t>
  </si>
  <si>
    <t>Instructional Media</t>
  </si>
  <si>
    <t>Student Support Services</t>
  </si>
  <si>
    <t>Loan Payment</t>
  </si>
  <si>
    <t>General Services</t>
  </si>
  <si>
    <t>Campus Police</t>
  </si>
  <si>
    <t>Building Maintenance</t>
  </si>
  <si>
    <t>Custodial Services</t>
  </si>
  <si>
    <t>Dormitories</t>
  </si>
  <si>
    <t>Rodeo Team</t>
  </si>
  <si>
    <t>Livestock Operations</t>
  </si>
  <si>
    <t>Daycare</t>
  </si>
  <si>
    <t>Other Health</t>
  </si>
  <si>
    <t>Other Workforce Courses</t>
  </si>
  <si>
    <t>Network Management</t>
  </si>
  <si>
    <t>Food Service</t>
  </si>
  <si>
    <t>Book Store</t>
  </si>
  <si>
    <t>Student Center</t>
  </si>
  <si>
    <t>Teacher Preparation</t>
  </si>
  <si>
    <t>Teacher Aid</t>
  </si>
  <si>
    <t>Homeland Security</t>
  </si>
  <si>
    <t>Criminal Justice</t>
  </si>
  <si>
    <t>Dance</t>
  </si>
  <si>
    <t>Diesel Technology</t>
  </si>
  <si>
    <t>Wildlife Management</t>
  </si>
  <si>
    <t>Jason Perkins</t>
  </si>
  <si>
    <t xml:space="preserve"> 11-510032-5000-01</t>
  </si>
  <si>
    <t>Sydia Ramon</t>
  </si>
  <si>
    <t>Maria Rangel</t>
  </si>
  <si>
    <t>Olga Rangel</t>
  </si>
  <si>
    <t>Juanita Reed</t>
  </si>
  <si>
    <t>Felix Regalado</t>
  </si>
  <si>
    <t>Luana Rodriguez</t>
  </si>
  <si>
    <t>Alma Ruiz</t>
  </si>
  <si>
    <t>Aracely Ruiz</t>
  </si>
  <si>
    <t>Luis Ruiz</t>
  </si>
  <si>
    <t>Jo Ann Sanchez</t>
  </si>
  <si>
    <t>Martha Saucedo</t>
  </si>
  <si>
    <t>Patricia Perez</t>
  </si>
  <si>
    <t>Elizabeth Phillips</t>
  </si>
  <si>
    <t>Gladue Tafolla</t>
  </si>
  <si>
    <t>IE</t>
  </si>
  <si>
    <t>David Walker</t>
  </si>
  <si>
    <t>EP  HISTORY</t>
  </si>
  <si>
    <t>AGRIBUSINESS</t>
  </si>
  <si>
    <t>NEW / REPLACEMENT POSITIONS</t>
  </si>
  <si>
    <t>AUTO BODY</t>
  </si>
  <si>
    <t>COMPUTER TRAINING</t>
  </si>
  <si>
    <t>64-21</t>
  </si>
  <si>
    <t>65-19</t>
  </si>
  <si>
    <t>61-820045-5000-03</t>
  </si>
  <si>
    <t>61-820047-5000-02</t>
  </si>
  <si>
    <t>61-820054-5000-02</t>
  </si>
  <si>
    <t>61-820053-5000-01</t>
  </si>
  <si>
    <t>61-820050-5000-01</t>
  </si>
  <si>
    <t>61-820051-5000-01</t>
  </si>
  <si>
    <t>61-820055-5000-02</t>
  </si>
  <si>
    <t>12-500081-7000-01</t>
  </si>
  <si>
    <t>500022</t>
  </si>
  <si>
    <t>500050</t>
  </si>
  <si>
    <t>500052</t>
  </si>
  <si>
    <t>500051</t>
  </si>
  <si>
    <t>Purch</t>
  </si>
  <si>
    <t>400010</t>
  </si>
  <si>
    <t>Reg ofc</t>
  </si>
  <si>
    <t>400025</t>
  </si>
  <si>
    <t>500025</t>
  </si>
  <si>
    <t>400015</t>
  </si>
  <si>
    <t>400020</t>
  </si>
  <si>
    <t>Fin Aid</t>
  </si>
  <si>
    <t>400035</t>
  </si>
  <si>
    <t>Health Cl</t>
  </si>
  <si>
    <t>400030</t>
  </si>
  <si>
    <t>400040</t>
  </si>
  <si>
    <t>Stud Recru</t>
  </si>
  <si>
    <t>510020</t>
  </si>
  <si>
    <t>Pub Info</t>
  </si>
  <si>
    <t>510075</t>
  </si>
  <si>
    <t>print cen</t>
  </si>
  <si>
    <t>510076</t>
  </si>
  <si>
    <t>Word Proc.</t>
  </si>
  <si>
    <t>500080</t>
  </si>
  <si>
    <t>Comp Cen</t>
  </si>
  <si>
    <t>Omar Iracheta</t>
  </si>
  <si>
    <t>Arnulfo Alvarado</t>
  </si>
  <si>
    <t>Joe Barker</t>
  </si>
  <si>
    <t>Blaine Bennett</t>
  </si>
  <si>
    <t>Barbara Blair</t>
  </si>
  <si>
    <t>Wilford Box</t>
  </si>
  <si>
    <t>Douglas Braudaway</t>
  </si>
  <si>
    <t>Jan Burchfield</t>
  </si>
  <si>
    <t>Mario Cardenas</t>
  </si>
  <si>
    <t>Marilyn Casson</t>
  </si>
  <si>
    <t>Barbara Compton</t>
  </si>
  <si>
    <t>Richard Flores</t>
  </si>
  <si>
    <t>Gabrielle Forbes</t>
  </si>
  <si>
    <t>Laura Gammill</t>
  </si>
  <si>
    <t>Charles Garabedian</t>
  </si>
  <si>
    <t>5030</t>
  </si>
  <si>
    <t>PROPERTY INSURANCE</t>
  </si>
  <si>
    <t>Joe Garcia</t>
  </si>
  <si>
    <t>Albert Hernandez</t>
  </si>
  <si>
    <t>Stephen Kerbow</t>
  </si>
  <si>
    <t>Pat Kier</t>
  </si>
  <si>
    <t>Paul Kimble</t>
  </si>
  <si>
    <t>Robert Koenig</t>
  </si>
  <si>
    <t>Edward Koslowska</t>
  </si>
  <si>
    <t>John Lampe</t>
  </si>
  <si>
    <t>Rolando Lira</t>
  </si>
  <si>
    <t>Yvonne Martinez</t>
  </si>
  <si>
    <t>Nancy Masterson</t>
  </si>
  <si>
    <t>Lynn Masterson</t>
  </si>
  <si>
    <t>14-16</t>
  </si>
  <si>
    <t>14-17</t>
  </si>
  <si>
    <t>14-18</t>
  </si>
  <si>
    <t>14-19</t>
  </si>
  <si>
    <t>14-20</t>
  </si>
  <si>
    <t>14-21</t>
  </si>
  <si>
    <t>14-22</t>
  </si>
  <si>
    <t>14-23</t>
  </si>
  <si>
    <t>14-24</t>
  </si>
  <si>
    <t>14-25</t>
  </si>
  <si>
    <t>14-4</t>
  </si>
  <si>
    <t>14-26</t>
  </si>
  <si>
    <t>14-27</t>
  </si>
  <si>
    <t>14-29</t>
  </si>
  <si>
    <t>14-28</t>
  </si>
  <si>
    <t>14-30</t>
  </si>
  <si>
    <t>14-33</t>
  </si>
  <si>
    <t>14-34</t>
  </si>
  <si>
    <t>14-35</t>
  </si>
  <si>
    <t>14-32</t>
  </si>
  <si>
    <t>14-31</t>
  </si>
  <si>
    <t>14-36</t>
  </si>
  <si>
    <t>14-37</t>
  </si>
  <si>
    <t>14-38</t>
  </si>
  <si>
    <t>14-39</t>
  </si>
  <si>
    <t>14-40</t>
  </si>
  <si>
    <t>14-41</t>
  </si>
  <si>
    <t>14-42</t>
  </si>
  <si>
    <t>ACADEMIC ADVISING</t>
  </si>
  <si>
    <t>EP/DEL RIO</t>
  </si>
  <si>
    <t xml:space="preserve"> 12-110496-5000-01</t>
  </si>
  <si>
    <t xml:space="preserve"> 12-110496-7000-01</t>
  </si>
  <si>
    <t xml:space="preserve"> 12-110592-7000-01</t>
  </si>
  <si>
    <t xml:space="preserve"> 11-630040-5000-03</t>
  </si>
  <si>
    <t>Grounds Maintenance (UV, EP, DR)</t>
  </si>
  <si>
    <t xml:space="preserve"> 11-620030-5000-03</t>
  </si>
  <si>
    <t>Custodial Services (UV, EP, DR)</t>
  </si>
  <si>
    <t>Facilities Rental</t>
  </si>
  <si>
    <t xml:space="preserve"> 11-640050-5000-03</t>
  </si>
  <si>
    <t>Utilities (UV, DR, EP)</t>
  </si>
  <si>
    <t>TECHNICAL PROGRAMS ADMINISTRATION</t>
  </si>
  <si>
    <t>DIRECTOR OF WORKFORCE EDUCATION</t>
  </si>
  <si>
    <t>ACHIEVING THE DREAM INITIATIVE</t>
  </si>
  <si>
    <t>TECHNICAL INSTRUCTIONAL SALARIES</t>
  </si>
  <si>
    <t>TECHNICAL PROGRAMS/DIVISIONAL OPERATING</t>
  </si>
  <si>
    <t xml:space="preserve"> 12-400015-5000-02</t>
  </si>
  <si>
    <t>OPERATION AND MAINTENANCE OF PLANT</t>
  </si>
  <si>
    <t>CENTER ADMININISTRATION</t>
  </si>
  <si>
    <t>Francisco Gonzales</t>
  </si>
  <si>
    <t>Hector Gonzales</t>
  </si>
  <si>
    <t>Natividad Gonzales</t>
  </si>
  <si>
    <t>Rachel Gonzales</t>
  </si>
  <si>
    <t>Frances Hernandez</t>
  </si>
  <si>
    <t>Richard Jones</t>
  </si>
  <si>
    <t>Linda Juarez</t>
  </si>
  <si>
    <t>Apolonio Ledezma</t>
  </si>
  <si>
    <t>Fernando Lombrana</t>
  </si>
  <si>
    <t>Lorena Lopez</t>
  </si>
  <si>
    <t>Melissa Lopez</t>
  </si>
  <si>
    <t>Estella Luna</t>
  </si>
  <si>
    <t>Suzanne McCormack</t>
  </si>
  <si>
    <t>Betty McCullough</t>
  </si>
  <si>
    <t>Blanca Martinez</t>
  </si>
  <si>
    <t>Jesse Martinez</t>
  </si>
  <si>
    <t>Rogelio Martinez</t>
  </si>
  <si>
    <t>Cruz Mata</t>
  </si>
  <si>
    <t>Eloy Montalvo</t>
  </si>
  <si>
    <t>Leroy Muniz</t>
  </si>
  <si>
    <t>Denise Oden</t>
  </si>
  <si>
    <t>Diana Perez</t>
  </si>
  <si>
    <t xml:space="preserve">   Dormitory Rentals</t>
  </si>
  <si>
    <t xml:space="preserve">   Vending Machines</t>
  </si>
  <si>
    <t>I/D POSTAGE</t>
  </si>
  <si>
    <t>STUDENT INST TRAVEL</t>
  </si>
  <si>
    <t>I/D DATA PROCESSING</t>
  </si>
  <si>
    <t>STUDENT SENATE - DR</t>
  </si>
  <si>
    <t>DEVELOP. EDUC.</t>
  </si>
  <si>
    <t>DEVELOP. READING</t>
  </si>
  <si>
    <t>DEVELOP. MATH</t>
  </si>
  <si>
    <t>CHEMISTRY</t>
  </si>
  <si>
    <t>DR BIOLOGY</t>
  </si>
  <si>
    <t xml:space="preserve">DR MATH </t>
  </si>
  <si>
    <t>DR  CHEMISTRY</t>
  </si>
  <si>
    <t>EP BUS. ADMIN.</t>
  </si>
  <si>
    <t>EP COSC</t>
  </si>
  <si>
    <t>EP GOVERNMENT</t>
  </si>
  <si>
    <t>5020</t>
  </si>
  <si>
    <t>5112</t>
  </si>
  <si>
    <t>9000</t>
  </si>
  <si>
    <t>7000</t>
  </si>
  <si>
    <t>7106</t>
  </si>
  <si>
    <t>5051</t>
  </si>
  <si>
    <t>5091</t>
  </si>
  <si>
    <t>5110</t>
  </si>
  <si>
    <t>PURCHASING  6</t>
  </si>
  <si>
    <t xml:space="preserve">CODE </t>
  </si>
  <si>
    <t>5007</t>
  </si>
  <si>
    <t>5019</t>
  </si>
  <si>
    <t>5082</t>
  </si>
  <si>
    <t>5092</t>
  </si>
  <si>
    <t>5078</t>
  </si>
  <si>
    <t>5109</t>
  </si>
  <si>
    <t>REGISTAR'S OFFICE  8</t>
  </si>
  <si>
    <t>5006</t>
  </si>
  <si>
    <t>5094</t>
  </si>
  <si>
    <t>5108</t>
  </si>
  <si>
    <t>GENERAL COUNSELING  10-2</t>
  </si>
  <si>
    <t>STUDENT FINANCIAL AID DEPT.  11</t>
  </si>
  <si>
    <t>5115</t>
  </si>
  <si>
    <t>5127</t>
  </si>
  <si>
    <t xml:space="preserve"> 12-530007-5060-01</t>
  </si>
  <si>
    <t>SHIPPING (OFF-CAMPUS)</t>
  </si>
  <si>
    <t>I/D BOOKSTORE SUPPLIES</t>
  </si>
  <si>
    <t>SACS Review</t>
  </si>
  <si>
    <t>-</t>
  </si>
  <si>
    <t>Safety and Wellness Program</t>
  </si>
  <si>
    <t>64</t>
  </si>
  <si>
    <t>PC Software</t>
  </si>
  <si>
    <t>510080</t>
  </si>
  <si>
    <t>Cent tele</t>
  </si>
  <si>
    <t>510060</t>
  </si>
  <si>
    <t>Cent mail</t>
  </si>
  <si>
    <t>510010</t>
  </si>
  <si>
    <t>Inst. Dev.</t>
  </si>
  <si>
    <t>NETWORK</t>
  </si>
  <si>
    <t>510012</t>
  </si>
  <si>
    <t>Testing</t>
  </si>
  <si>
    <t>390010</t>
  </si>
  <si>
    <t xml:space="preserve">   Cosmetology</t>
  </si>
  <si>
    <t>CISCO REGIONAL CONNECT.</t>
  </si>
  <si>
    <t>Lumina</t>
  </si>
  <si>
    <t>Faculty Dev.</t>
  </si>
  <si>
    <t xml:space="preserve"> 12-310035-7000-01</t>
  </si>
  <si>
    <t>Ruby Cardenas</t>
  </si>
  <si>
    <t>630040</t>
  </si>
  <si>
    <t>Grnds Ma</t>
  </si>
  <si>
    <t>910010</t>
  </si>
  <si>
    <t>Food Svc</t>
  </si>
  <si>
    <t>920010</t>
  </si>
  <si>
    <t>Bk Store</t>
  </si>
  <si>
    <t>900010</t>
  </si>
  <si>
    <t>Dorm</t>
  </si>
  <si>
    <t>110492</t>
  </si>
  <si>
    <t>110497</t>
  </si>
  <si>
    <t>TRK Driving</t>
  </si>
  <si>
    <t>110495</t>
  </si>
  <si>
    <t>HVAC</t>
  </si>
  <si>
    <t>110190</t>
  </si>
  <si>
    <t>Child Develop</t>
  </si>
  <si>
    <t>920500</t>
  </si>
  <si>
    <t>390014</t>
  </si>
  <si>
    <t>Total</t>
  </si>
  <si>
    <t>14-1</t>
  </si>
  <si>
    <t>14-3</t>
  </si>
  <si>
    <t>14-5</t>
  </si>
  <si>
    <t>14-6</t>
  </si>
  <si>
    <t>14-7</t>
  </si>
  <si>
    <t>14-8</t>
  </si>
  <si>
    <t>14-9</t>
  </si>
  <si>
    <t>14-10</t>
  </si>
  <si>
    <t>14-11</t>
  </si>
  <si>
    <t>14-2</t>
  </si>
  <si>
    <t>14-12</t>
  </si>
  <si>
    <t>14-13</t>
  </si>
  <si>
    <t>14-14</t>
  </si>
  <si>
    <t>14-15</t>
  </si>
  <si>
    <t>TITLE V / PROJECT MNGT  115</t>
  </si>
  <si>
    <t>TITLE V / PROJECT 1  116</t>
  </si>
  <si>
    <t>TITLE V / PROJECT II  117</t>
  </si>
  <si>
    <t>TITLE V / PROJECT 111  118</t>
  </si>
  <si>
    <t xml:space="preserve"> 12-400015-7000-03</t>
  </si>
  <si>
    <t xml:space="preserve"> 12-100301-5000-03</t>
  </si>
  <si>
    <t xml:space="preserve"> 12-101401-5000-03</t>
  </si>
  <si>
    <t xml:space="preserve"> 12-101001-5000-03</t>
  </si>
  <si>
    <t>President</t>
  </si>
  <si>
    <t>Dean of Admissions and Student Services</t>
  </si>
  <si>
    <t>Dean of Instructional Services and CFO</t>
  </si>
  <si>
    <t xml:space="preserve"> 12-101604-5000-03</t>
  </si>
  <si>
    <t xml:space="preserve"> 12-310011-5000-04</t>
  </si>
  <si>
    <t xml:space="preserve"> 12-510013-5000-01</t>
  </si>
  <si>
    <t xml:space="preserve">DEL RIO CAMPUS  </t>
  </si>
  <si>
    <t>-02</t>
  </si>
  <si>
    <t>5031</t>
  </si>
  <si>
    <t>9010</t>
  </si>
  <si>
    <t xml:space="preserve">EAGLE PASS CAMPUS  </t>
  </si>
  <si>
    <t>-03</t>
  </si>
  <si>
    <t>PHILOSOPHY  70</t>
  </si>
  <si>
    <t>LEADERSHIP  71</t>
  </si>
  <si>
    <t xml:space="preserve">SPEECH  </t>
  </si>
  <si>
    <t>P.E.  74</t>
  </si>
  <si>
    <t xml:space="preserve">SCIENCE/MATH  </t>
  </si>
  <si>
    <t>BIOLOGY  76</t>
  </si>
  <si>
    <t>MATHEMATICS  77</t>
  </si>
  <si>
    <t>CHEMISTRY  78</t>
  </si>
  <si>
    <t>PHYSICS  79</t>
  </si>
  <si>
    <t>EP ART</t>
  </si>
  <si>
    <t>EP MUSIC</t>
  </si>
  <si>
    <t>EP SPANISH</t>
  </si>
  <si>
    <t>EP PHILOSOPHY</t>
  </si>
  <si>
    <t>EP SPEECH</t>
  </si>
  <si>
    <t xml:space="preserve"> 12-100701-5000-03</t>
  </si>
  <si>
    <t xml:space="preserve"> 12-100703-5000-03</t>
  </si>
  <si>
    <t xml:space="preserve"> 12-100801-5000-03</t>
  </si>
  <si>
    <t xml:space="preserve"> 12-101202-5000-03</t>
  </si>
  <si>
    <t xml:space="preserve"> 12-101203-5000-03</t>
  </si>
  <si>
    <t>AIT</t>
  </si>
  <si>
    <t>EAGLE PASS CAMPUS</t>
  </si>
  <si>
    <t>100601</t>
  </si>
  <si>
    <t>100700</t>
  </si>
  <si>
    <t xml:space="preserve"> 11-630040-5000-02</t>
  </si>
  <si>
    <t xml:space="preserve"> 11-510090-5000-02</t>
  </si>
  <si>
    <t xml:space="preserve"> 11-640050-5000-02</t>
  </si>
  <si>
    <t xml:space="preserve"> 11-620030-5000-02</t>
  </si>
  <si>
    <t xml:space="preserve"> 61-820078</t>
  </si>
  <si>
    <t>RADIOLOGY</t>
  </si>
  <si>
    <t>CENTER ADMINISTRATION</t>
  </si>
  <si>
    <t>OTHER LOCALLY FUNDED EXPENDITURES</t>
  </si>
  <si>
    <t>RESTRICTED FUNDS/GRANTS</t>
  </si>
  <si>
    <t xml:space="preserve"> 40-951010-7000-01</t>
  </si>
  <si>
    <t>HUBBARD HALL</t>
  </si>
  <si>
    <t>GARNER HALL</t>
  </si>
  <si>
    <t xml:space="preserve"> 40-900012-5000-01</t>
  </si>
  <si>
    <t>Testing Center</t>
  </si>
  <si>
    <t>TESTING CENTER</t>
  </si>
  <si>
    <t>Advising</t>
  </si>
  <si>
    <t>Freshman Orientation</t>
  </si>
  <si>
    <t>ADVISING</t>
  </si>
  <si>
    <t>IT COLLEAGUE</t>
  </si>
  <si>
    <t>12-310010-7000-01</t>
  </si>
  <si>
    <t>12-310010-5000-01</t>
  </si>
  <si>
    <t>INC./(DEC.)</t>
  </si>
  <si>
    <t>SWTNet</t>
  </si>
  <si>
    <t>104-1</t>
  </si>
  <si>
    <t>WELDING</t>
  </si>
  <si>
    <t>12-110409-5000-01</t>
  </si>
  <si>
    <t>EP</t>
  </si>
  <si>
    <t>GERMAN SOCIETY</t>
  </si>
  <si>
    <t>BOYS BASKETBALL</t>
  </si>
  <si>
    <t>DANCE TEAM</t>
  </si>
  <si>
    <t>12-110392-5000-01</t>
  </si>
  <si>
    <t xml:space="preserve"> 76-124000-7000-01</t>
  </si>
  <si>
    <t>76-127005-5000-01</t>
  </si>
  <si>
    <t>76-127005-7000-01</t>
  </si>
  <si>
    <t>GOVERNING BOARD  1</t>
  </si>
  <si>
    <t>CODE</t>
  </si>
  <si>
    <t>5001</t>
  </si>
  <si>
    <t>5008</t>
  </si>
  <si>
    <t>5026</t>
  </si>
  <si>
    <t>5101</t>
  </si>
  <si>
    <t>5102</t>
  </si>
  <si>
    <t>5103</t>
  </si>
  <si>
    <t>5111</t>
  </si>
  <si>
    <t>PRESIDENT'S OFFICE   2</t>
  </si>
  <si>
    <t>7100</t>
  </si>
  <si>
    <t>7103</t>
  </si>
  <si>
    <t>5090</t>
  </si>
  <si>
    <t>5104</t>
  </si>
  <si>
    <t>5004</t>
  </si>
  <si>
    <t>5021</t>
  </si>
  <si>
    <t>5100</t>
  </si>
  <si>
    <t xml:space="preserve"> 76-127082-5000-01</t>
  </si>
  <si>
    <t xml:space="preserve"> 76-127082-7000-01</t>
  </si>
  <si>
    <t>5105</t>
  </si>
  <si>
    <t>5106</t>
  </si>
  <si>
    <t>7107</t>
  </si>
  <si>
    <t>5005</t>
  </si>
  <si>
    <t>5009</t>
  </si>
  <si>
    <t>RPR&amp;MAINT-EQUIP</t>
  </si>
  <si>
    <t>SOFTWARE</t>
  </si>
  <si>
    <t>I/D COPIERS</t>
  </si>
  <si>
    <t>HEALTH CLINIC  12</t>
  </si>
  <si>
    <t xml:space="preserve">STUDENT ACTIVITIES 13 </t>
  </si>
  <si>
    <t>5041</t>
  </si>
  <si>
    <t>5045</t>
  </si>
  <si>
    <t>5083</t>
  </si>
  <si>
    <t>5107</t>
  </si>
  <si>
    <t>5113</t>
  </si>
  <si>
    <t>5040</t>
  </si>
  <si>
    <t>STUDENT RECRUITMENT  15</t>
  </si>
  <si>
    <t>7101</t>
  </si>
  <si>
    <t>PUBLIC INFORMATION  17</t>
  </si>
  <si>
    <t>5072</t>
  </si>
  <si>
    <t>DUES  21</t>
  </si>
  <si>
    <t>AUDIT  22</t>
  </si>
  <si>
    <t>5071</t>
  </si>
  <si>
    <t>CATALOG  23</t>
  </si>
  <si>
    <t>COMMENCEMENT  24</t>
  </si>
  <si>
    <t>5029</t>
  </si>
  <si>
    <t>RECYCLING  26</t>
  </si>
  <si>
    <t>LEGAL FEES  27</t>
  </si>
  <si>
    <t>CENTRAL MAIL  28</t>
  </si>
  <si>
    <t>Inst. IT SPT</t>
  </si>
  <si>
    <t xml:space="preserve"> 12-510040-7000-01</t>
  </si>
  <si>
    <t>--</t>
  </si>
  <si>
    <t>Christine Foley</t>
  </si>
  <si>
    <t>PT Tech Voc</t>
  </si>
  <si>
    <t>PT Academic</t>
  </si>
  <si>
    <t>BO</t>
  </si>
  <si>
    <t>Harold Sills</t>
  </si>
  <si>
    <t>Aide Escamilla</t>
  </si>
  <si>
    <t>12-310015-5000-01</t>
  </si>
  <si>
    <t>12-310015-7000-01</t>
  </si>
  <si>
    <t>WFT&amp;D</t>
  </si>
  <si>
    <t>310015</t>
  </si>
  <si>
    <t>61-820063</t>
  </si>
  <si>
    <t>ST. AMBASS.</t>
  </si>
  <si>
    <t>61-820057</t>
  </si>
  <si>
    <t>G-FORCE</t>
  </si>
  <si>
    <t>61-820064</t>
  </si>
  <si>
    <t>ROTARACT</t>
  </si>
  <si>
    <t>BA EP</t>
  </si>
  <si>
    <t>61-820056</t>
  </si>
  <si>
    <t>HOMELAND SECURITY</t>
  </si>
  <si>
    <t>Auxiliary enterprises</t>
  </si>
  <si>
    <t>Restricted funds/grants</t>
  </si>
  <si>
    <t>UNEMPLOYMENT  40</t>
  </si>
  <si>
    <t>WORKERS COMP  41</t>
  </si>
  <si>
    <t>7013</t>
  </si>
  <si>
    <t>PART TIME ACADEMIC INSTR  43</t>
  </si>
  <si>
    <t>7014</t>
  </si>
  <si>
    <t>-04</t>
  </si>
  <si>
    <t>AGRICULTURE  46</t>
  </si>
  <si>
    <t>INDUSTRIAL ARTS  47</t>
  </si>
  <si>
    <t>COMPUTER SCIENCE  48</t>
  </si>
  <si>
    <t>HUMANITIES DIVISION  51</t>
  </si>
  <si>
    <t>JOURNALISM  52</t>
  </si>
  <si>
    <t>PHOTOGRAPHY  53</t>
  </si>
  <si>
    <t>READING  54</t>
  </si>
  <si>
    <t>CRYSTAL CITY-ACADEM. INSTR.  55-1</t>
  </si>
  <si>
    <t>ART  59</t>
  </si>
  <si>
    <t>THEATER  60</t>
  </si>
  <si>
    <t>MUSIC  61</t>
  </si>
  <si>
    <t>SPANISH  62</t>
  </si>
  <si>
    <t xml:space="preserve">ENGLISH </t>
  </si>
  <si>
    <t>CRYSTAL CITY FACILITY</t>
  </si>
  <si>
    <t>CAPITAL PAYMENTS</t>
  </si>
  <si>
    <t>RENTAL-EQUIPMENT</t>
  </si>
  <si>
    <t>RENTAL-OTHER</t>
  </si>
  <si>
    <t>PAYROLL UMBRELLA</t>
  </si>
  <si>
    <t xml:space="preserve">   GeoForce</t>
  </si>
  <si>
    <t>GOVERNMENT  80</t>
  </si>
  <si>
    <t>HISTORY  81</t>
  </si>
  <si>
    <t>SOCIOLOGY  83</t>
  </si>
  <si>
    <t xml:space="preserve">ECONOMICS  </t>
  </si>
  <si>
    <t>PSYCHOLOGY  85</t>
  </si>
  <si>
    <t>DEL RIO CENTER  86</t>
  </si>
  <si>
    <t>EAGLE PASS CENTER 87</t>
  </si>
  <si>
    <t>ADA 91</t>
  </si>
  <si>
    <t>7102</t>
  </si>
  <si>
    <t>5028</t>
  </si>
  <si>
    <t>T-V INSTR. ADMIN. / D.R.  95</t>
  </si>
  <si>
    <t>T-V INSTR. ADMIN. / C.C.  96</t>
  </si>
  <si>
    <t>CIS  97</t>
  </si>
  <si>
    <t xml:space="preserve">MID-MNGMT  </t>
  </si>
  <si>
    <t>CHILD DEVELOPMENT  100</t>
  </si>
  <si>
    <t xml:space="preserve"> 61-820077</t>
  </si>
  <si>
    <t>CHEM SQUAD</t>
  </si>
  <si>
    <t>AC UVALDE</t>
  </si>
  <si>
    <t xml:space="preserve"> 61-820079</t>
  </si>
  <si>
    <t>CHEM SQUAD -- EP</t>
  </si>
  <si>
    <t>AC REFRIGERATION -- UVALDE</t>
  </si>
  <si>
    <t xml:space="preserve"> 61-820079-5000-01</t>
  </si>
  <si>
    <t xml:space="preserve"> 61-820077-5000-03</t>
  </si>
  <si>
    <t xml:space="preserve"> 61-820078-5000-01</t>
  </si>
  <si>
    <t xml:space="preserve"> 11-510090-5000-01</t>
  </si>
  <si>
    <t>College Success Skills</t>
  </si>
  <si>
    <t>COLLEGE SUCCESS SKILLS</t>
  </si>
  <si>
    <t>100609</t>
  </si>
  <si>
    <t xml:space="preserve"> 12-100609-5000-01</t>
  </si>
  <si>
    <t>Retailing</t>
  </si>
  <si>
    <t>RETAILING (WFT&amp;D)</t>
  </si>
  <si>
    <t>110955</t>
  </si>
  <si>
    <t>RETAILING</t>
  </si>
  <si>
    <t xml:space="preserve"> 12-110955-5000-01</t>
  </si>
  <si>
    <t>EMT</t>
  </si>
  <si>
    <t>110960</t>
  </si>
  <si>
    <t>EMERGENCY MEDICAL TECHNICIAN</t>
  </si>
  <si>
    <t xml:space="preserve"> 12-110960-5000-01</t>
  </si>
  <si>
    <t>BUSINESS OFFICE</t>
  </si>
  <si>
    <t>Workforce Training and Development Director</t>
  </si>
  <si>
    <t>Business Office</t>
  </si>
  <si>
    <t>Administrative Information Technology</t>
  </si>
  <si>
    <t>ADMINISTRATIVE INFORMATION TECHNOLOGY</t>
  </si>
  <si>
    <t>COMPUTER SCIENCE</t>
  </si>
  <si>
    <t>LIVESTOCK OP.  133</t>
  </si>
  <si>
    <t>9040</t>
  </si>
  <si>
    <t>DAYCARE  134</t>
  </si>
  <si>
    <t>7151</t>
  </si>
  <si>
    <t>FIRE ACADEMY137-1</t>
  </si>
  <si>
    <t>OTHER WORKFORCE COURSES 139</t>
  </si>
  <si>
    <t>NETWORK MANAGEMENT 140</t>
  </si>
  <si>
    <t>FOOD SERVICE  141</t>
  </si>
  <si>
    <t>BOOKSTORE  142</t>
  </si>
  <si>
    <t>5054</t>
  </si>
  <si>
    <t>5410</t>
  </si>
  <si>
    <t>STUDENT CENTER  143</t>
  </si>
  <si>
    <t>CRYSTAL CITY 144</t>
  </si>
  <si>
    <t>DEV. EDUCATION 145</t>
  </si>
  <si>
    <t>DEV. MATH 146</t>
  </si>
  <si>
    <t>DANCE  149</t>
  </si>
  <si>
    <t>SCHOLARSHIPS 151</t>
  </si>
  <si>
    <t>DESCRIPTION</t>
  </si>
  <si>
    <t>SUPPLIES</t>
  </si>
  <si>
    <t>AUDITING FEES</t>
  </si>
  <si>
    <t>HONORARIUM</t>
  </si>
  <si>
    <t xml:space="preserve"> 12-500083-5000-02</t>
  </si>
  <si>
    <t>Surplus (Deficit)</t>
  </si>
  <si>
    <t>DEPT. AID</t>
  </si>
  <si>
    <t>SUBSCRIPTIONS</t>
  </si>
  <si>
    <t>CONTRACT LABOR</t>
  </si>
  <si>
    <t>SMALL TOOLS</t>
  </si>
  <si>
    <t>REF. MATERIALS</t>
  </si>
  <si>
    <t>SACS</t>
  </si>
  <si>
    <t>Michelle Cerna</t>
  </si>
  <si>
    <t>Andrea Flores</t>
  </si>
  <si>
    <t>Geoforce</t>
  </si>
  <si>
    <t xml:space="preserve"> 76-740010-5000-01</t>
  </si>
  <si>
    <t xml:space="preserve"> 76-740010-7000-01</t>
  </si>
  <si>
    <t>Sonia Flores</t>
  </si>
  <si>
    <t>5119</t>
  </si>
  <si>
    <t>OFFICIAL FUNCTIONS  29</t>
  </si>
  <si>
    <t>TAX  APRAISAL DISTRICTS  30</t>
  </si>
  <si>
    <t>5075</t>
  </si>
  <si>
    <t>PRINT CENTER  31</t>
  </si>
  <si>
    <t>5300</t>
  </si>
  <si>
    <t>WORD PROCESSING CENTER  32</t>
  </si>
  <si>
    <t>VICA COSMO</t>
  </si>
  <si>
    <t>5010</t>
  </si>
  <si>
    <t>CENTRAL TELEPHONE  35</t>
  </si>
  <si>
    <t>STAFF BENEFITS  37</t>
  </si>
  <si>
    <t>5060</t>
  </si>
  <si>
    <t>RETIREMENT MATCHING  38</t>
  </si>
  <si>
    <t>5061</t>
  </si>
  <si>
    <t>FICA, MEDICARE  39</t>
  </si>
  <si>
    <t>Revenue</t>
  </si>
  <si>
    <t>Tuition and fees</t>
  </si>
  <si>
    <t>Student aid</t>
  </si>
  <si>
    <t>Auxiliary</t>
  </si>
  <si>
    <t>Maintenance ad-valorem taxes</t>
  </si>
  <si>
    <t>State allocations</t>
  </si>
  <si>
    <t>Miscellaneous</t>
  </si>
  <si>
    <t>Expenditures</t>
  </si>
  <si>
    <t>Instruction</t>
  </si>
  <si>
    <t>Operation and maintenance of plant</t>
  </si>
  <si>
    <t>Institutional support</t>
  </si>
  <si>
    <t>Student services</t>
  </si>
  <si>
    <t>Academic support</t>
  </si>
  <si>
    <t xml:space="preserve"> 12-100701-5000-02</t>
  </si>
  <si>
    <t>ADMIN MEMBERSHIP,DUES</t>
  </si>
  <si>
    <t>PROF. MEMBERSHIP, DUES</t>
  </si>
  <si>
    <t>I/D CAFETERIA</t>
  </si>
  <si>
    <t>Developmental Math</t>
  </si>
  <si>
    <t>SUL ROSS BONDS</t>
  </si>
  <si>
    <t>SWTJC BONDS</t>
  </si>
  <si>
    <t>EXC/ADM/MANAG</t>
  </si>
  <si>
    <t>POST EMP-EXP</t>
  </si>
  <si>
    <t>ID SOFTWARE</t>
  </si>
  <si>
    <t>I/D SOFTWARE</t>
  </si>
  <si>
    <t>DATA PROCESS</t>
  </si>
  <si>
    <t>BAD DEBT EXPENSE</t>
  </si>
  <si>
    <t>12-310017-5000-01</t>
  </si>
  <si>
    <t>12-310017-7000-01</t>
  </si>
  <si>
    <t>Ach the Dream</t>
  </si>
  <si>
    <t>DR ART</t>
  </si>
  <si>
    <t>AIR COND./REFRIGERATION  102</t>
  </si>
  <si>
    <t>5131</t>
  </si>
  <si>
    <t>5093</t>
  </si>
  <si>
    <t>5130</t>
  </si>
  <si>
    <t>5400</t>
  </si>
  <si>
    <t>AUTO TECH  104</t>
  </si>
  <si>
    <t>-10</t>
  </si>
  <si>
    <t>AGRIBUSINESS  105</t>
  </si>
  <si>
    <t>LAW ENFORCEMENT ACADEMY  107-1</t>
  </si>
  <si>
    <t>5080</t>
  </si>
  <si>
    <t>7060</t>
  </si>
  <si>
    <t>COSMETOLOGY  108</t>
  </si>
  <si>
    <t>TRUCK DRIVING  109</t>
  </si>
  <si>
    <t>5065</t>
  </si>
  <si>
    <t>5074</t>
  </si>
  <si>
    <t>5122</t>
  </si>
  <si>
    <t>5132</t>
  </si>
  <si>
    <t xml:space="preserve">LIBRARY  </t>
  </si>
  <si>
    <t>5003</t>
  </si>
  <si>
    <t>5371</t>
  </si>
  <si>
    <t>INSTRUCTIONAL MEDIA  112</t>
  </si>
  <si>
    <t>ABE  113</t>
  </si>
  <si>
    <t>STUDENT SUPPORT SERVICES  114</t>
  </si>
  <si>
    <t>7150</t>
  </si>
  <si>
    <t>5355</t>
  </si>
  <si>
    <t>TRANSPORTATION  122</t>
  </si>
  <si>
    <t>5114</t>
  </si>
  <si>
    <t>CAMPUS POLICE  123</t>
  </si>
  <si>
    <t>BUILDING MAINT.  124</t>
  </si>
  <si>
    <t>BUILDING MAINT. / D.R.  125</t>
  </si>
  <si>
    <t>5120</t>
  </si>
  <si>
    <t>5125</t>
  </si>
  <si>
    <t>5126</t>
  </si>
  <si>
    <t>BUILDING MAINT. / E.P.  126</t>
  </si>
  <si>
    <t>5077</t>
  </si>
  <si>
    <t xml:space="preserve">BUILDING MAINT. / C.C.  </t>
  </si>
  <si>
    <t>5121</t>
  </si>
  <si>
    <t>GROUNDS MAINT.  129</t>
  </si>
  <si>
    <t>UTILITIES  130</t>
  </si>
  <si>
    <t xml:space="preserve">DORMITORIES  </t>
  </si>
  <si>
    <t>RODEO TEAM  132</t>
  </si>
  <si>
    <t>PROF. MEMBERSHIP,DUES</t>
  </si>
  <si>
    <t>INSTITUTIONAL TRAVEL</t>
  </si>
  <si>
    <t>STUDENT TRAVEL</t>
  </si>
  <si>
    <t>PROF. NON-FACULTY</t>
  </si>
  <si>
    <t>Allied Health</t>
  </si>
  <si>
    <t xml:space="preserve">    DOL Community Based JTG</t>
  </si>
  <si>
    <t xml:space="preserve"> 12-500080-7000-01</t>
  </si>
  <si>
    <t>Tuition and Fees Net of Out-of-District</t>
  </si>
  <si>
    <t>Taxes</t>
  </si>
  <si>
    <t>Out-of-District Fees</t>
  </si>
  <si>
    <t>Restricted Funds</t>
  </si>
  <si>
    <t>Other</t>
  </si>
  <si>
    <t>Student Aid</t>
  </si>
  <si>
    <t>Uvalde and CC Physical Plant</t>
  </si>
  <si>
    <t>DR and EP Physical Plant</t>
  </si>
  <si>
    <t>Out-of-District Admin.</t>
  </si>
  <si>
    <t>State Appropriations</t>
  </si>
  <si>
    <t>HEGI/Retirement</t>
  </si>
  <si>
    <t>District Operations</t>
  </si>
  <si>
    <t>Grant Funded</t>
  </si>
  <si>
    <t>Student Clubs</t>
  </si>
  <si>
    <t>Totals</t>
  </si>
  <si>
    <t>Allocation of Benefits</t>
  </si>
  <si>
    <t>Benefits Applied</t>
  </si>
  <si>
    <t>Total Before Benefits</t>
  </si>
  <si>
    <t>Total After Applying Benefits</t>
  </si>
  <si>
    <t xml:space="preserve"> 12-250010-5000-01</t>
  </si>
  <si>
    <t xml:space="preserve"> 12-110495-5000-01</t>
  </si>
  <si>
    <t xml:space="preserve"> 12-500083-5000-03</t>
  </si>
  <si>
    <t>Steven Evans</t>
  </si>
  <si>
    <t>Stephanie Cerna</t>
  </si>
  <si>
    <t>Laura Gloria</t>
  </si>
  <si>
    <t>Blanca Herrera</t>
  </si>
  <si>
    <t>Aleyda Moran</t>
  </si>
  <si>
    <t>Herlinda Pena</t>
  </si>
  <si>
    <t>Claudia Valdez</t>
  </si>
  <si>
    <t>Juanita Santos</t>
  </si>
  <si>
    <t>Bonny Herndon</t>
  </si>
  <si>
    <t>Manuel Ortiz</t>
  </si>
  <si>
    <t>Joshua Overfelt</t>
  </si>
  <si>
    <t>Lisa Ermis</t>
  </si>
  <si>
    <t>Joan Garcia</t>
  </si>
  <si>
    <t>HERNDON</t>
  </si>
  <si>
    <t>HS Program</t>
  </si>
  <si>
    <t>Included in Reg</t>
  </si>
  <si>
    <t>WRITING CENTER LAB</t>
  </si>
  <si>
    <t>Assessment</t>
  </si>
  <si>
    <t>12-310016-5000-01</t>
  </si>
  <si>
    <t>LINEMAN TRAINING (WFT)</t>
  </si>
  <si>
    <t>110594</t>
  </si>
  <si>
    <t>DRUG TESTING</t>
  </si>
  <si>
    <t>LINEMAN TRAINING</t>
  </si>
  <si>
    <t>12-110594-5000-01</t>
  </si>
  <si>
    <t>12-110594-7000-01</t>
  </si>
  <si>
    <t>Other Health Occupations</t>
  </si>
  <si>
    <t>Lineman Training</t>
  </si>
  <si>
    <t>BANK FEES</t>
  </si>
  <si>
    <t>Adrian DeAnda</t>
  </si>
  <si>
    <t>Michelle Mattie</t>
  </si>
  <si>
    <t>Lorena Mello</t>
  </si>
  <si>
    <t>Budget without Grants/Financial Aid</t>
  </si>
  <si>
    <t>Budget Recap</t>
  </si>
  <si>
    <t>Faculty Salary</t>
  </si>
  <si>
    <t>Institutional Support</t>
  </si>
  <si>
    <t>Professional/Staff/Clerical Salary</t>
  </si>
  <si>
    <t>Departmental Expenditures</t>
  </si>
  <si>
    <t>Plant &amp; Auxiliary Enterprises</t>
  </si>
  <si>
    <t>Maintenance/Auxiliary Salary</t>
  </si>
  <si>
    <t>Rent to Foundation</t>
  </si>
  <si>
    <t>Debt Service</t>
  </si>
  <si>
    <t>Merchandise for Resale</t>
  </si>
  <si>
    <t>Grants</t>
  </si>
  <si>
    <t>Financial Aid</t>
  </si>
  <si>
    <t>Operating Budget Before Grants/Financial Aid</t>
  </si>
  <si>
    <t>Total Operating Budget</t>
  </si>
  <si>
    <t>SOUTHWEST TEXAS JUNIOR COLLEGE</t>
  </si>
  <si>
    <t>OPERATING BUDGET RECAP</t>
  </si>
  <si>
    <t>2010-2011</t>
  </si>
  <si>
    <t>12-310016-7000-01</t>
  </si>
  <si>
    <t>01</t>
  </si>
  <si>
    <t xml:space="preserve"> 11-510070</t>
  </si>
  <si>
    <t xml:space="preserve"> 76-720090</t>
  </si>
  <si>
    <t xml:space="preserve"> 76-124000</t>
  </si>
  <si>
    <t xml:space="preserve"> 76-127030</t>
  </si>
  <si>
    <t xml:space="preserve"> 76-127040</t>
  </si>
  <si>
    <t xml:space="preserve"> 76-127050</t>
  </si>
  <si>
    <t xml:space="preserve"> 76-127060</t>
  </si>
  <si>
    <t xml:space="preserve"> 11-000000</t>
  </si>
  <si>
    <t xml:space="preserve"> 11-510032</t>
  </si>
  <si>
    <t xml:space="preserve"> 11-600010</t>
  </si>
  <si>
    <t xml:space="preserve"> 11-510085</t>
  </si>
  <si>
    <t xml:space="preserve"> 11-610020</t>
  </si>
  <si>
    <t xml:space="preserve"> 11-620030</t>
  </si>
  <si>
    <t xml:space="preserve"> 11-630040</t>
  </si>
  <si>
    <t xml:space="preserve"> 11-640050</t>
  </si>
  <si>
    <t xml:space="preserve"> 40-900010</t>
  </si>
  <si>
    <t xml:space="preserve"> 40-930010</t>
  </si>
  <si>
    <t xml:space="preserve"> 40-930020</t>
  </si>
  <si>
    <t xml:space="preserve"> 40-920500</t>
  </si>
  <si>
    <t xml:space="preserve"> 40-951010</t>
  </si>
  <si>
    <t xml:space="preserve"> 40-910010</t>
  </si>
  <si>
    <t xml:space="preserve"> 40-920010</t>
  </si>
  <si>
    <t xml:space="preserve"> 40-960010</t>
  </si>
  <si>
    <t xml:space="preserve"> 11-510090</t>
  </si>
  <si>
    <t xml:space="preserve">  40-940010</t>
  </si>
  <si>
    <t xml:space="preserve"> 12500025</t>
  </si>
  <si>
    <t xml:space="preserve"> 12500050</t>
  </si>
  <si>
    <t xml:space="preserve"> 12500051</t>
  </si>
  <si>
    <t xml:space="preserve"> 12500052</t>
  </si>
  <si>
    <t xml:space="preserve"> 12400010</t>
  </si>
  <si>
    <t xml:space="preserve"> 12400025</t>
  </si>
  <si>
    <t xml:space="preserve"> 12400050</t>
  </si>
  <si>
    <t xml:space="preserve"> 12400015</t>
  </si>
  <si>
    <t xml:space="preserve"> 12310030</t>
  </si>
  <si>
    <t xml:space="preserve"> 12400020</t>
  </si>
  <si>
    <t xml:space="preserve"> 12400035</t>
  </si>
  <si>
    <t xml:space="preserve"> 12400040</t>
  </si>
  <si>
    <t xml:space="preserve"> 12400045</t>
  </si>
  <si>
    <t xml:space="preserve"> 12510020</t>
  </si>
  <si>
    <t xml:space="preserve"> 12510018</t>
  </si>
  <si>
    <t xml:space="preserve"> 12510012</t>
  </si>
  <si>
    <t xml:space="preserve"> 12510010</t>
  </si>
  <si>
    <t xml:space="preserve"> 12510025</t>
  </si>
  <si>
    <t xml:space="preserve"> 12510030</t>
  </si>
  <si>
    <t xml:space="preserve"> 12510035</t>
  </si>
  <si>
    <t xml:space="preserve"> 12510045</t>
  </si>
  <si>
    <t xml:space="preserve"> 12510050</t>
  </si>
  <si>
    <t xml:space="preserve"> 12510052</t>
  </si>
  <si>
    <t xml:space="preserve"> 12510055</t>
  </si>
  <si>
    <t xml:space="preserve"> 12510060</t>
  </si>
  <si>
    <t xml:space="preserve"> 12510065</t>
  </si>
  <si>
    <t xml:space="preserve"> 12510075</t>
  </si>
  <si>
    <t xml:space="preserve"> 12510076</t>
  </si>
  <si>
    <t xml:space="preserve"> 12500080</t>
  </si>
  <si>
    <t xml:space="preserve"> 12500081</t>
  </si>
  <si>
    <t xml:space="preserve"> 12510080</t>
  </si>
  <si>
    <t xml:space="preserve"> 12310035</t>
  </si>
  <si>
    <t xml:space="preserve"> 12530005</t>
  </si>
  <si>
    <t xml:space="preserve"> 12530006</t>
  </si>
  <si>
    <t xml:space="preserve"> 12530007</t>
  </si>
  <si>
    <t xml:space="preserve"> 12530008</t>
  </si>
  <si>
    <t xml:space="preserve"> 12510040</t>
  </si>
  <si>
    <t xml:space="preserve"> 12390014</t>
  </si>
  <si>
    <t xml:space="preserve"> 12310010</t>
  </si>
  <si>
    <t xml:space="preserve"> 12310011</t>
  </si>
  <si>
    <t xml:space="preserve"> 12310015</t>
  </si>
  <si>
    <t xml:space="preserve"> 12310017</t>
  </si>
  <si>
    <t xml:space="preserve"> 12100001</t>
  </si>
  <si>
    <t xml:space="preserve"> 12100101</t>
  </si>
  <si>
    <t xml:space="preserve"> 12101001</t>
  </si>
  <si>
    <t xml:space="preserve"> 12100301</t>
  </si>
  <si>
    <t xml:space="preserve"> 12101200</t>
  </si>
  <si>
    <t xml:space="preserve"> 12100401</t>
  </si>
  <si>
    <t xml:space="preserve"> 12100402</t>
  </si>
  <si>
    <t xml:space="preserve"> 12100601</t>
  </si>
  <si>
    <t xml:space="preserve"> 12100602</t>
  </si>
  <si>
    <t xml:space="preserve"> 12100701</t>
  </si>
  <si>
    <t xml:space="preserve"> 12100702</t>
  </si>
  <si>
    <t xml:space="preserve"> 12100703</t>
  </si>
  <si>
    <t xml:space="preserve"> 12100801</t>
  </si>
  <si>
    <t xml:space="preserve"> 12101201</t>
  </si>
  <si>
    <t>12100703</t>
  </si>
  <si>
    <t xml:space="preserve"> 12101202</t>
  </si>
  <si>
    <t xml:space="preserve"> 12101205</t>
  </si>
  <si>
    <t xml:space="preserve"> 12101203</t>
  </si>
  <si>
    <t xml:space="preserve"> 12100603</t>
  </si>
  <si>
    <t xml:space="preserve"> 12100200</t>
  </si>
  <si>
    <t xml:space="preserve"> 12100201</t>
  </si>
  <si>
    <t xml:space="preserve"> 12101301</t>
  </si>
  <si>
    <t xml:space="preserve"> 12101401</t>
  </si>
  <si>
    <t xml:space="preserve"> 12101402</t>
  </si>
  <si>
    <t xml:space="preserve"> 12101603</t>
  </si>
  <si>
    <t xml:space="preserve"> 12101604</t>
  </si>
  <si>
    <t xml:space="preserve"> 12101605</t>
  </si>
  <si>
    <t xml:space="preserve"> 12101606</t>
  </si>
  <si>
    <t xml:space="preserve"> 12101501</t>
  </si>
  <si>
    <t xml:space="preserve"> 12101302</t>
  </si>
  <si>
    <t xml:space="preserve"> 12500083</t>
  </si>
  <si>
    <t xml:space="preserve"> 12510013</t>
  </si>
  <si>
    <t xml:space="preserve"> 12109000</t>
  </si>
  <si>
    <t xml:space="preserve"> 12310020</t>
  </si>
  <si>
    <t xml:space="preserve"> 12110302</t>
  </si>
  <si>
    <t xml:space="preserve"> 12110201</t>
  </si>
  <si>
    <t xml:space="preserve"> 12110303</t>
  </si>
  <si>
    <t xml:space="preserve"> 12110101</t>
  </si>
  <si>
    <t xml:space="preserve"> 12110403</t>
  </si>
  <si>
    <t xml:space="preserve"> 12110404</t>
  </si>
  <si>
    <t xml:space="preserve"> 12110408</t>
  </si>
  <si>
    <t xml:space="preserve"> 12110402</t>
  </si>
  <si>
    <t xml:space="preserve"> 12110001</t>
  </si>
  <si>
    <t xml:space="preserve"> 12110409</t>
  </si>
  <si>
    <t>12110501</t>
  </si>
  <si>
    <t>12110507</t>
  </si>
  <si>
    <t xml:space="preserve"> 12110401</t>
  </si>
  <si>
    <t xml:space="preserve"> 12110497</t>
  </si>
  <si>
    <t xml:space="preserve"> 12300010</t>
  </si>
  <si>
    <t xml:space="preserve"> 12300020</t>
  </si>
  <si>
    <t xml:space="preserve"> 12520010</t>
  </si>
  <si>
    <t xml:space="preserve"> 12110493</t>
  </si>
  <si>
    <t xml:space="preserve"> 12110592</t>
  </si>
  <si>
    <t xml:space="preserve"> 12110392</t>
  </si>
  <si>
    <t xml:space="preserve"> 12110934</t>
  </si>
  <si>
    <t xml:space="preserve"> 12110599</t>
  </si>
  <si>
    <t xml:space="preserve"> 12500082</t>
  </si>
  <si>
    <t xml:space="preserve"> 12100600</t>
  </si>
  <si>
    <t xml:space="preserve"> 12100607</t>
  </si>
  <si>
    <t xml:space="preserve"> 12100610</t>
  </si>
  <si>
    <t xml:space="preserve"> 12110105</t>
  </si>
  <si>
    <t xml:space="preserve"> 12110411</t>
  </si>
  <si>
    <t xml:space="preserve"> 12100406</t>
  </si>
  <si>
    <t xml:space="preserve"> 12100704</t>
  </si>
  <si>
    <t xml:space="preserve">  12110407</t>
  </si>
  <si>
    <t xml:space="preserve">  12110005</t>
  </si>
  <si>
    <t xml:space="preserve"> 12500010</t>
  </si>
  <si>
    <t xml:space="preserve"> 12500020</t>
  </si>
  <si>
    <t xml:space="preserve"> 12500022</t>
  </si>
  <si>
    <t>David Ballard</t>
  </si>
  <si>
    <t>Gustavo Castillion</t>
  </si>
  <si>
    <t>Steve Martinez</t>
  </si>
  <si>
    <t>Robert Velazco</t>
  </si>
  <si>
    <t>Damien Diaz</t>
  </si>
  <si>
    <t>Ricardo Rodriguez</t>
  </si>
  <si>
    <t>Gregorio Parra</t>
  </si>
  <si>
    <t>Anthony Garcia</t>
  </si>
  <si>
    <t>Rosa Vasquez</t>
  </si>
  <si>
    <t>Christina Castro</t>
  </si>
  <si>
    <t>Isabel Alvarez</t>
  </si>
  <si>
    <t>Denna Allen</t>
  </si>
  <si>
    <t>Vanessa Uriegas</t>
  </si>
  <si>
    <t>Rachel Hinman</t>
  </si>
  <si>
    <t>Hector Lopez</t>
  </si>
  <si>
    <t xml:space="preserve">Julie Garcia </t>
  </si>
  <si>
    <r>
      <t>Anne Tarski</t>
    </r>
    <r>
      <rPr>
        <sz val="8"/>
        <rFont val="Arial"/>
        <family val="2"/>
      </rPr>
      <t xml:space="preserve"> </t>
    </r>
  </si>
  <si>
    <r>
      <t>Juan Perez</t>
    </r>
    <r>
      <rPr>
        <sz val="8"/>
        <rFont val="Arial"/>
        <family val="2"/>
      </rPr>
      <t xml:space="preserve"> </t>
    </r>
  </si>
  <si>
    <t xml:space="preserve">Clarisa Zepeda </t>
  </si>
  <si>
    <t xml:space="preserve">Angelica DeHoyos </t>
  </si>
  <si>
    <t>Jacob Zamarripa</t>
  </si>
  <si>
    <t>Juan Castillo</t>
  </si>
  <si>
    <t>Santos</t>
  </si>
  <si>
    <t>Alvarez</t>
  </si>
  <si>
    <t>Victor</t>
  </si>
  <si>
    <t>Arroyos</t>
  </si>
  <si>
    <t>Arturo</t>
  </si>
  <si>
    <t>Gregorio</t>
  </si>
  <si>
    <t>Parra</t>
  </si>
  <si>
    <t>Ruby</t>
  </si>
  <si>
    <t>Cardenas</t>
  </si>
  <si>
    <t>Juan</t>
  </si>
  <si>
    <t>Castillo</t>
  </si>
  <si>
    <t>Carlos</t>
  </si>
  <si>
    <t>Cazares</t>
  </si>
  <si>
    <t>Alex</t>
  </si>
  <si>
    <t>Coronado</t>
  </si>
  <si>
    <t>Marco</t>
  </si>
  <si>
    <t>Delgado</t>
  </si>
  <si>
    <t>Fernandez</t>
  </si>
  <si>
    <t>Sylvia</t>
  </si>
  <si>
    <t>Ramiro</t>
  </si>
  <si>
    <t>Flores</t>
  </si>
  <si>
    <t>Alberto</t>
  </si>
  <si>
    <t>Garza</t>
  </si>
  <si>
    <t>Alejandro</t>
  </si>
  <si>
    <t>Gomez</t>
  </si>
  <si>
    <t>Silvia</t>
  </si>
  <si>
    <t>Rachel</t>
  </si>
  <si>
    <t>Gonzales</t>
  </si>
  <si>
    <t>Gonzalez</t>
  </si>
  <si>
    <t>Ricardo</t>
  </si>
  <si>
    <t>Alfredo</t>
  </si>
  <si>
    <t>Hernandez</t>
  </si>
  <si>
    <t>Apolonio</t>
  </si>
  <si>
    <t>Ledezma</t>
  </si>
  <si>
    <t>Janie</t>
  </si>
  <si>
    <t>Lopez</t>
  </si>
  <si>
    <t>Estella</t>
  </si>
  <si>
    <t>Luna</t>
  </si>
  <si>
    <t>Miguel</t>
  </si>
  <si>
    <t>Maldonado</t>
  </si>
  <si>
    <t>Rogelio</t>
  </si>
  <si>
    <t>Martinez</t>
  </si>
  <si>
    <t>Edwin</t>
  </si>
  <si>
    <t>Nava</t>
  </si>
  <si>
    <t>Robert</t>
  </si>
  <si>
    <t>Velazco</t>
  </si>
  <si>
    <t>Olga</t>
  </si>
  <si>
    <t>Rangel</t>
  </si>
  <si>
    <t>Felix</t>
  </si>
  <si>
    <t>Regalado</t>
  </si>
  <si>
    <t>Rosa</t>
  </si>
  <si>
    <t>Rodriguez</t>
  </si>
  <si>
    <t>Velma</t>
  </si>
  <si>
    <t>Roman</t>
  </si>
  <si>
    <t>Ann</t>
  </si>
  <si>
    <t>Sanchez</t>
  </si>
  <si>
    <t>Alfonso</t>
  </si>
  <si>
    <t>Martha</t>
  </si>
  <si>
    <t>Saucedo</t>
  </si>
  <si>
    <t>Harold</t>
  </si>
  <si>
    <t>Sills</t>
  </si>
  <si>
    <t>David</t>
  </si>
  <si>
    <t>Walker</t>
  </si>
  <si>
    <t>Ybarra</t>
  </si>
  <si>
    <t>Anthony</t>
  </si>
  <si>
    <t>Garcia</t>
  </si>
  <si>
    <t>Damien</t>
  </si>
  <si>
    <t>Diaz</t>
  </si>
  <si>
    <t>Jacob</t>
  </si>
  <si>
    <t>Zamarripa</t>
  </si>
  <si>
    <t>Jo Anne</t>
  </si>
  <si>
    <t>MaryAnnTowne Mendoza</t>
  </si>
  <si>
    <t>FranciscoD. Rodriguez</t>
  </si>
  <si>
    <t>JuliePace Monsivais</t>
  </si>
  <si>
    <t>AnaLucia Oca</t>
  </si>
  <si>
    <t>MariaLupe Ibarra</t>
  </si>
  <si>
    <t>JuanitaGloria Gonzalez</t>
  </si>
  <si>
    <t xml:space="preserve">Angelica Uriegas </t>
  </si>
  <si>
    <t>LindaBailey McAdams</t>
  </si>
  <si>
    <t>SanJuana Trevino</t>
  </si>
  <si>
    <t>Sonia</t>
  </si>
  <si>
    <t>Adan-Medina</t>
  </si>
  <si>
    <t>Marcelino</t>
  </si>
  <si>
    <t>Alderete</t>
  </si>
  <si>
    <t>Norma</t>
  </si>
  <si>
    <t>Anderson</t>
  </si>
  <si>
    <t>Leo</t>
  </si>
  <si>
    <t>Aviles</t>
  </si>
  <si>
    <t>LindaBailey</t>
  </si>
  <si>
    <t>McAdams</t>
  </si>
  <si>
    <t>Lisa</t>
  </si>
  <si>
    <t>Barker</t>
  </si>
  <si>
    <t>Cecily</t>
  </si>
  <si>
    <t>Bennett</t>
  </si>
  <si>
    <t>Jimmy</t>
  </si>
  <si>
    <t>Calliham</t>
  </si>
  <si>
    <t>Angelica</t>
  </si>
  <si>
    <t>Uriegas</t>
  </si>
  <si>
    <t>Blanca</t>
  </si>
  <si>
    <t>Chavarria</t>
  </si>
  <si>
    <t>Eva</t>
  </si>
  <si>
    <t>DeAnda</t>
  </si>
  <si>
    <t>Nancy</t>
  </si>
  <si>
    <t>Doucet</t>
  </si>
  <si>
    <t>Ermis</t>
  </si>
  <si>
    <t>Sharon</t>
  </si>
  <si>
    <t>Teresa</t>
  </si>
  <si>
    <t>Andrea</t>
  </si>
  <si>
    <t>Julie</t>
  </si>
  <si>
    <t>Elsa</t>
  </si>
  <si>
    <t>Lizabel</t>
  </si>
  <si>
    <t>Vasquez</t>
  </si>
  <si>
    <t>Christina</t>
  </si>
  <si>
    <t>Castro</t>
  </si>
  <si>
    <t>Ramon</t>
  </si>
  <si>
    <t>Steven</t>
  </si>
  <si>
    <t>Garner</t>
  </si>
  <si>
    <t>Felicitas</t>
  </si>
  <si>
    <t>Joe</t>
  </si>
  <si>
    <t>Mayta</t>
  </si>
  <si>
    <t>Gaucin</t>
  </si>
  <si>
    <t>JuanitaGloria</t>
  </si>
  <si>
    <t>Laura</t>
  </si>
  <si>
    <t>Gloria</t>
  </si>
  <si>
    <t>Natividad</t>
  </si>
  <si>
    <t>Frances</t>
  </si>
  <si>
    <t>Steve</t>
  </si>
  <si>
    <t>Savanna</t>
  </si>
  <si>
    <t>Herrera</t>
  </si>
  <si>
    <t>MariaLupe</t>
  </si>
  <si>
    <t>Ibarra</t>
  </si>
  <si>
    <t>Omar</t>
  </si>
  <si>
    <t>Iracheta</t>
  </si>
  <si>
    <t>Linda</t>
  </si>
  <si>
    <t>Juarez</t>
  </si>
  <si>
    <t>Rosalinda</t>
  </si>
  <si>
    <t>Lara</t>
  </si>
  <si>
    <t>Melissa</t>
  </si>
  <si>
    <t>Ismael</t>
  </si>
  <si>
    <t>Clarisa</t>
  </si>
  <si>
    <t>Zepeda</t>
  </si>
  <si>
    <t>Jose</t>
  </si>
  <si>
    <t>Montalvo</t>
  </si>
  <si>
    <t>Betty</t>
  </si>
  <si>
    <t>McCullough</t>
  </si>
  <si>
    <t>DeHoyos</t>
  </si>
  <si>
    <t>Brenda</t>
  </si>
  <si>
    <t>AnaLucia</t>
  </si>
  <si>
    <t>Oca</t>
  </si>
  <si>
    <t>Patricia</t>
  </si>
  <si>
    <t>AnaLisa</t>
  </si>
  <si>
    <t>JuliePace</t>
  </si>
  <si>
    <t>Monsivais</t>
  </si>
  <si>
    <t>Cecilia</t>
  </si>
  <si>
    <t>Padilla</t>
  </si>
  <si>
    <t>Dora</t>
  </si>
  <si>
    <t>Herlinda</t>
  </si>
  <si>
    <t>Pena</t>
  </si>
  <si>
    <t>Perez</t>
  </si>
  <si>
    <t>Elizabeth</t>
  </si>
  <si>
    <t>Phillips</t>
  </si>
  <si>
    <t>Maria</t>
  </si>
  <si>
    <t>Juanita</t>
  </si>
  <si>
    <t>Reed</t>
  </si>
  <si>
    <t>Luana</t>
  </si>
  <si>
    <t>Alma</t>
  </si>
  <si>
    <t>Ruiz</t>
  </si>
  <si>
    <t>Aracely</t>
  </si>
  <si>
    <t>William</t>
  </si>
  <si>
    <t>Jaime</t>
  </si>
  <si>
    <t>Sierra</t>
  </si>
  <si>
    <t>Silva</t>
  </si>
  <si>
    <t>Gladue</t>
  </si>
  <si>
    <t>Tafolla</t>
  </si>
  <si>
    <t>Tapia</t>
  </si>
  <si>
    <t>MaryAnnTowne</t>
  </si>
  <si>
    <t>Mendoza</t>
  </si>
  <si>
    <t>Trevino</t>
  </si>
  <si>
    <t>Veronica</t>
  </si>
  <si>
    <t>Valerio</t>
  </si>
  <si>
    <t>Azalia</t>
  </si>
  <si>
    <t>Vanessa</t>
  </si>
  <si>
    <t>Verjan</t>
  </si>
  <si>
    <t>Elia</t>
  </si>
  <si>
    <t>Zapata</t>
  </si>
  <si>
    <t>San Juana</t>
  </si>
  <si>
    <t>Francisco D.</t>
  </si>
  <si>
    <t>ClaudiaSolis Rodrigues</t>
  </si>
  <si>
    <t>MinervaLorena Ruiz</t>
  </si>
  <si>
    <t>OscarS. Garcia</t>
  </si>
  <si>
    <t>OscarG. Garcia</t>
  </si>
  <si>
    <t>TerryJanell Fernandez</t>
  </si>
  <si>
    <t>Idalia DeLaCruz</t>
  </si>
  <si>
    <t>Agustin</t>
  </si>
  <si>
    <t>Denna</t>
  </si>
  <si>
    <t>Allen</t>
  </si>
  <si>
    <t>Albert</t>
  </si>
  <si>
    <t>Alonzo</t>
  </si>
  <si>
    <t>Isabel</t>
  </si>
  <si>
    <t>Lidia</t>
  </si>
  <si>
    <t>Roy</t>
  </si>
  <si>
    <t>Angermiller</t>
  </si>
  <si>
    <t>Romelia</t>
  </si>
  <si>
    <t>Aranda</t>
  </si>
  <si>
    <t>Michael</t>
  </si>
  <si>
    <t>Reynaldo</t>
  </si>
  <si>
    <t>Benavidez</t>
  </si>
  <si>
    <t>Evans</t>
  </si>
  <si>
    <t>Rivera</t>
  </si>
  <si>
    <t>Wade</t>
  </si>
  <si>
    <t>Carpenter</t>
  </si>
  <si>
    <t>Julio</t>
  </si>
  <si>
    <t>Michelle</t>
  </si>
  <si>
    <t>Cerna</t>
  </si>
  <si>
    <t>Stephanie</t>
  </si>
  <si>
    <t>Sandra</t>
  </si>
  <si>
    <t>Colombo</t>
  </si>
  <si>
    <t>Conde</t>
  </si>
  <si>
    <t>Idalia</t>
  </si>
  <si>
    <t>DeLaCruz</t>
  </si>
  <si>
    <t>Deleon</t>
  </si>
  <si>
    <t>Trish</t>
  </si>
  <si>
    <t>Driskill</t>
  </si>
  <si>
    <t>Edwards</t>
  </si>
  <si>
    <t>George</t>
  </si>
  <si>
    <t>Ellis</t>
  </si>
  <si>
    <t>Delia</t>
  </si>
  <si>
    <t>Esquivel</t>
  </si>
  <si>
    <t>Luis</t>
  </si>
  <si>
    <t>TerryJanell</t>
  </si>
  <si>
    <t>Rob</t>
  </si>
  <si>
    <t>Fowler</t>
  </si>
  <si>
    <t>Charles</t>
  </si>
  <si>
    <t>Garabedian</t>
  </si>
  <si>
    <t>Diana</t>
  </si>
  <si>
    <t>Irma</t>
  </si>
  <si>
    <t>Joan</t>
  </si>
  <si>
    <t>OscarG.</t>
  </si>
  <si>
    <t>OscarS.</t>
  </si>
  <si>
    <t>Francisco</t>
  </si>
  <si>
    <t>Guzman*</t>
  </si>
  <si>
    <t>Cheryl</t>
  </si>
  <si>
    <t>Hammer</t>
  </si>
  <si>
    <t>Aubrey</t>
  </si>
  <si>
    <t>Haynes</t>
  </si>
  <si>
    <t>Bonny</t>
  </si>
  <si>
    <t>Herndon</t>
  </si>
  <si>
    <t>Hinman</t>
  </si>
  <si>
    <t>Hoffman</t>
  </si>
  <si>
    <t>Andrew</t>
  </si>
  <si>
    <t>Humphrey</t>
  </si>
  <si>
    <t>Richard</t>
  </si>
  <si>
    <t>Jones</t>
  </si>
  <si>
    <t>Subburaj</t>
  </si>
  <si>
    <t>Kannan</t>
  </si>
  <si>
    <t>Ballard</t>
  </si>
  <si>
    <t>Carol</t>
  </si>
  <si>
    <t>Larue</t>
  </si>
  <si>
    <t>Evelyn</t>
  </si>
  <si>
    <t>Lastiere</t>
  </si>
  <si>
    <t>Hector</t>
  </si>
  <si>
    <t>Gustavo</t>
  </si>
  <si>
    <t>Castillion</t>
  </si>
  <si>
    <t>Lucas</t>
  </si>
  <si>
    <t>Limbrick</t>
  </si>
  <si>
    <t>Fernando</t>
  </si>
  <si>
    <t>Lombrana</t>
  </si>
  <si>
    <t>Jesse</t>
  </si>
  <si>
    <t>Lorena</t>
  </si>
  <si>
    <t>Mancha</t>
  </si>
  <si>
    <t>Cynthia</t>
  </si>
  <si>
    <t>Emma</t>
  </si>
  <si>
    <t>Cruz</t>
  </si>
  <si>
    <t>Mata</t>
  </si>
  <si>
    <t>Margot</t>
  </si>
  <si>
    <t>Mattie</t>
  </si>
  <si>
    <t>Mello</t>
  </si>
  <si>
    <t>Eloy</t>
  </si>
  <si>
    <t>Aleyda</t>
  </si>
  <si>
    <t>Moran</t>
  </si>
  <si>
    <t>Leroy</t>
  </si>
  <si>
    <t>Muniz</t>
  </si>
  <si>
    <t>Adrian</t>
  </si>
  <si>
    <t>Jessica</t>
  </si>
  <si>
    <t>Nunez-Gonzales</t>
  </si>
  <si>
    <t>Denise</t>
  </si>
  <si>
    <t>Oden</t>
  </si>
  <si>
    <t>Manuel</t>
  </si>
  <si>
    <t>Ortiz</t>
  </si>
  <si>
    <t>Jason</t>
  </si>
  <si>
    <t>Perkins</t>
  </si>
  <si>
    <t>Sydia</t>
  </si>
  <si>
    <t>Jaclyn</t>
  </si>
  <si>
    <t>April</t>
  </si>
  <si>
    <t>Ruhmann</t>
  </si>
  <si>
    <t>MinervaLorena</t>
  </si>
  <si>
    <t>Claudia</t>
  </si>
  <si>
    <t>Sanderlin</t>
  </si>
  <si>
    <t>Kathy</t>
  </si>
  <si>
    <t>Servantes</t>
  </si>
  <si>
    <t>Yesenia</t>
  </si>
  <si>
    <t>Smith</t>
  </si>
  <si>
    <t>ClaudiaSolis</t>
  </si>
  <si>
    <t>Rodrigues</t>
  </si>
  <si>
    <t>Sprott</t>
  </si>
  <si>
    <t>Jesus</t>
  </si>
  <si>
    <t>Suarez</t>
  </si>
  <si>
    <t>Cesar</t>
  </si>
  <si>
    <t>Talamantes</t>
  </si>
  <si>
    <t>Noel</t>
  </si>
  <si>
    <t>Tarango</t>
  </si>
  <si>
    <t>Joyce</t>
  </si>
  <si>
    <t>Terry</t>
  </si>
  <si>
    <t>Thomas</t>
  </si>
  <si>
    <t>Torres</t>
  </si>
  <si>
    <t>Edward</t>
  </si>
  <si>
    <t>Valdez</t>
  </si>
  <si>
    <t>Derek</t>
  </si>
  <si>
    <t>Veazey</t>
  </si>
  <si>
    <t>Maria DeHoyos</t>
  </si>
  <si>
    <t>XavieraAnn Haynes</t>
  </si>
  <si>
    <t>CarlosA. Ramos</t>
  </si>
  <si>
    <t>JeffreyR. Pomeroy</t>
  </si>
  <si>
    <t>JesusManuel Garcia</t>
  </si>
  <si>
    <t>Gilbert BermeaJr</t>
  </si>
  <si>
    <t>Arnulfo</t>
  </si>
  <si>
    <t>Alvarado</t>
  </si>
  <si>
    <t>Rebecca</t>
  </si>
  <si>
    <t>Andrews</t>
  </si>
  <si>
    <t>Ayala</t>
  </si>
  <si>
    <t>Karen</t>
  </si>
  <si>
    <t>Baen*</t>
  </si>
  <si>
    <t>Blaine</t>
  </si>
  <si>
    <t>Gilbert</t>
  </si>
  <si>
    <t>BermeaJr</t>
  </si>
  <si>
    <t>Barbara</t>
  </si>
  <si>
    <t>Blair</t>
  </si>
  <si>
    <t>Wilford</t>
  </si>
  <si>
    <t>Box</t>
  </si>
  <si>
    <t>Douglas</t>
  </si>
  <si>
    <t>Braudaway</t>
  </si>
  <si>
    <t>Brown</t>
  </si>
  <si>
    <t>Connie</t>
  </si>
  <si>
    <t>Buchanan</t>
  </si>
  <si>
    <t>Jan</t>
  </si>
  <si>
    <t>Burchfield</t>
  </si>
  <si>
    <t>Mitchell</t>
  </si>
  <si>
    <t>Burchfield*</t>
  </si>
  <si>
    <t>Mario</t>
  </si>
  <si>
    <t>Marilyn</t>
  </si>
  <si>
    <t>Casson</t>
  </si>
  <si>
    <t>Bonnie</t>
  </si>
  <si>
    <t>Clinebell</t>
  </si>
  <si>
    <t>Compton</t>
  </si>
  <si>
    <t>Michele</t>
  </si>
  <si>
    <t>Crawford</t>
  </si>
  <si>
    <t>Davis</t>
  </si>
  <si>
    <t>Aide</t>
  </si>
  <si>
    <t>Escamilla</t>
  </si>
  <si>
    <t>Christine</t>
  </si>
  <si>
    <t>Foley</t>
  </si>
  <si>
    <t>Gabrielle</t>
  </si>
  <si>
    <t>Forbes</t>
  </si>
  <si>
    <t>Landra</t>
  </si>
  <si>
    <t>Gammill</t>
  </si>
  <si>
    <t>Amada</t>
  </si>
  <si>
    <t>Garcia*</t>
  </si>
  <si>
    <t>Beatrice</t>
  </si>
  <si>
    <t>JesusManuel</t>
  </si>
  <si>
    <t>Geraldine</t>
  </si>
  <si>
    <t>Goosen*</t>
  </si>
  <si>
    <t>Amanda</t>
  </si>
  <si>
    <t>Hadley*</t>
  </si>
  <si>
    <t>Marsha</t>
  </si>
  <si>
    <t>Heaton</t>
  </si>
  <si>
    <t>Stephen</t>
  </si>
  <si>
    <t>Kerbow</t>
  </si>
  <si>
    <t>Pat</t>
  </si>
  <si>
    <t>Kier</t>
  </si>
  <si>
    <t>Paul</t>
  </si>
  <si>
    <t>Kimble</t>
  </si>
  <si>
    <t>Reagan</t>
  </si>
  <si>
    <t>King</t>
  </si>
  <si>
    <t>Koenig</t>
  </si>
  <si>
    <t>Koslowska</t>
  </si>
  <si>
    <t>John</t>
  </si>
  <si>
    <t>Lampe</t>
  </si>
  <si>
    <t>Erica</t>
  </si>
  <si>
    <t>Harry</t>
  </si>
  <si>
    <t>Lawrence*</t>
  </si>
  <si>
    <t>Rolando</t>
  </si>
  <si>
    <t>Lira</t>
  </si>
  <si>
    <t>Yvonne</t>
  </si>
  <si>
    <t>Lynn</t>
  </si>
  <si>
    <t>Masterson</t>
  </si>
  <si>
    <t>McKinney</t>
  </si>
  <si>
    <t>Donald</t>
  </si>
  <si>
    <t>Merritt*</t>
  </si>
  <si>
    <t>Anne</t>
  </si>
  <si>
    <t>Tarski</t>
  </si>
  <si>
    <t>Abel</t>
  </si>
  <si>
    <t>Ortiz*</t>
  </si>
  <si>
    <t>Joshua</t>
  </si>
  <si>
    <t>Overfelt</t>
  </si>
  <si>
    <t>JeffreyR.</t>
  </si>
  <si>
    <t>Pomeroy</t>
  </si>
  <si>
    <t>CarlosA.</t>
  </si>
  <si>
    <t>Ramos</t>
  </si>
  <si>
    <t>Sanchez*</t>
  </si>
  <si>
    <t>Derrick</t>
  </si>
  <si>
    <t>Sandoval*</t>
  </si>
  <si>
    <t>Carolina</t>
  </si>
  <si>
    <t>Serna</t>
  </si>
  <si>
    <t>Sosa</t>
  </si>
  <si>
    <t>Stocks</t>
  </si>
  <si>
    <t>Helen</t>
  </si>
  <si>
    <t>Strait</t>
  </si>
  <si>
    <t>Terri</t>
  </si>
  <si>
    <t>Tucker</t>
  </si>
  <si>
    <t>Diane</t>
  </si>
  <si>
    <t>Underwood</t>
  </si>
  <si>
    <t>Mark</t>
  </si>
  <si>
    <t>Underwood*</t>
  </si>
  <si>
    <t>Claudio</t>
  </si>
  <si>
    <t>Valenzuela</t>
  </si>
  <si>
    <t>Whipple*</t>
  </si>
  <si>
    <t>XavieraAnn</t>
  </si>
  <si>
    <t>Jim</t>
  </si>
  <si>
    <t>Williamson</t>
  </si>
  <si>
    <t>Wilson</t>
  </si>
  <si>
    <t>Terrie</t>
  </si>
  <si>
    <t>Pete</t>
  </si>
  <si>
    <t>Winn</t>
  </si>
  <si>
    <t>Zaiglin</t>
  </si>
  <si>
    <t>701?</t>
  </si>
  <si>
    <t>702?</t>
  </si>
  <si>
    <t>NT</t>
  </si>
  <si>
    <t>FAC</t>
  </si>
  <si>
    <t>STAFF</t>
  </si>
  <si>
    <t>STAF</t>
  </si>
  <si>
    <t>CL/SEC</t>
  </si>
  <si>
    <t>MT,FOOD,DAY</t>
  </si>
  <si>
    <t>???</t>
  </si>
  <si>
    <t>12-400021-5000-01</t>
  </si>
  <si>
    <t xml:space="preserve"> 12-100201-5000-07</t>
  </si>
  <si>
    <t xml:space="preserve"> 12-101301-5000-07</t>
  </si>
  <si>
    <t xml:space="preserve"> 12-101301-5000-27</t>
  </si>
  <si>
    <t xml:space="preserve"> 12-101201-5000-27</t>
  </si>
  <si>
    <t xml:space="preserve"> 12-101603-5000-27</t>
  </si>
  <si>
    <t xml:space="preserve"> 12-101501-5000-27</t>
  </si>
  <si>
    <t xml:space="preserve"> 12-310011-5000-27</t>
  </si>
  <si>
    <t xml:space="preserve"> 11-510090-5000-27</t>
  </si>
  <si>
    <t xml:space="preserve">5110 </t>
  </si>
  <si>
    <t>500020 Pres</t>
  </si>
  <si>
    <t>500050 BO</t>
  </si>
  <si>
    <t>400015 Counsel</t>
  </si>
  <si>
    <t>400020 FA</t>
  </si>
  <si>
    <t>400030 Stud Act</t>
  </si>
  <si>
    <t>400040 Stud Recru</t>
  </si>
  <si>
    <t>510020 Pub Info</t>
  </si>
  <si>
    <t>510075 Print Cen</t>
  </si>
  <si>
    <t>500080 Comp Cen</t>
  </si>
  <si>
    <t>510011 sss st</t>
  </si>
  <si>
    <t>510018 Inst Dev</t>
  </si>
  <si>
    <t>500082 Network</t>
  </si>
  <si>
    <t>390010 Acad Fac</t>
  </si>
  <si>
    <t>510012 Testing</t>
  </si>
  <si>
    <t>100603 Phys Ed</t>
  </si>
  <si>
    <t>109000 Inst. Tech</t>
  </si>
  <si>
    <t>110506 Radiology</t>
  </si>
  <si>
    <t>390020 T-V Fac.</t>
  </si>
  <si>
    <t>310030 Ac. Cous</t>
  </si>
  <si>
    <t>310022 T-V WFD Ad</t>
  </si>
  <si>
    <t>310020 T-V Admin</t>
  </si>
  <si>
    <t>300020 Inst Media</t>
  </si>
  <si>
    <t>300010 Library</t>
  </si>
  <si>
    <t>124000 ABE</t>
  </si>
  <si>
    <t>127000 Student Support</t>
  </si>
  <si>
    <t>127005 EOC</t>
  </si>
  <si>
    <t>110494 Law Enforc</t>
  </si>
  <si>
    <t>520010 Police</t>
  </si>
  <si>
    <t>610020 Bldg Maint</t>
  </si>
  <si>
    <t>620030 Custodial Svc</t>
  </si>
  <si>
    <t>630040 Grnds Maint</t>
  </si>
  <si>
    <t>910010 Food Svc</t>
  </si>
  <si>
    <t>900010 Dorm</t>
  </si>
  <si>
    <t>900011 Dorm</t>
  </si>
  <si>
    <t>110497 TRK Driving</t>
  </si>
  <si>
    <t>920500 Day Care</t>
  </si>
  <si>
    <t>DEPARTMENT</t>
  </si>
  <si>
    <t>SPECIAL EVENTS</t>
  </si>
  <si>
    <t>Dean of Intitutional Technology</t>
  </si>
  <si>
    <t>General Use Fee</t>
  </si>
  <si>
    <t>Online Fee</t>
  </si>
  <si>
    <t xml:space="preserve">   Food Service Sales - Taxable</t>
  </si>
  <si>
    <t xml:space="preserve">   Food Service Sales - Nontaxable</t>
  </si>
  <si>
    <t>Writing Lab</t>
  </si>
  <si>
    <t>Amount</t>
  </si>
  <si>
    <t>DR Writing Center</t>
  </si>
  <si>
    <t>12-100602-5000-02</t>
  </si>
  <si>
    <t>ESL Credit</t>
  </si>
  <si>
    <t>EP ESL Credit</t>
  </si>
  <si>
    <t>12-100611-5000-03</t>
  </si>
  <si>
    <t>EP Writing Lab</t>
  </si>
  <si>
    <t>12-100602-5000-03</t>
  </si>
  <si>
    <t>12-100611-5000-01</t>
  </si>
  <si>
    <t>&amp;</t>
  </si>
  <si>
    <t>Carrizo Psychology</t>
  </si>
  <si>
    <t>12-101501-5000-05</t>
  </si>
  <si>
    <t>Carrizo Sociology</t>
  </si>
  <si>
    <t>12-101605-5000-05</t>
  </si>
  <si>
    <t>Dev English</t>
  </si>
  <si>
    <t>12-101605-5000-04</t>
  </si>
  <si>
    <t>12-101604-5000-04</t>
  </si>
  <si>
    <t>12-101603-5000-04</t>
  </si>
  <si>
    <t>12-100703-5000-04</t>
  </si>
  <si>
    <t>12-100606-5000-04</t>
  </si>
  <si>
    <t>Hondo Psychology</t>
  </si>
  <si>
    <t>12-101501-5000-08</t>
  </si>
  <si>
    <t>Hondo History</t>
  </si>
  <si>
    <t>12-101604-5000-08</t>
  </si>
  <si>
    <t>Hondo Government</t>
  </si>
  <si>
    <t>12-101603-5000-08</t>
  </si>
  <si>
    <t>Torres English</t>
  </si>
  <si>
    <t>Torres Government</t>
  </si>
  <si>
    <t>12-121501-5000-20</t>
  </si>
  <si>
    <t>12-101603-5000-20</t>
  </si>
  <si>
    <t>310016 Assessment</t>
  </si>
  <si>
    <t>Student Success</t>
  </si>
  <si>
    <t>Center</t>
  </si>
  <si>
    <t>Griselda Replacement</t>
  </si>
  <si>
    <t>Volleyball</t>
  </si>
  <si>
    <t xml:space="preserve"> 61-820071-5000-01</t>
  </si>
  <si>
    <t>61-820071</t>
  </si>
  <si>
    <t>Student Success Centers</t>
  </si>
  <si>
    <t>Article IX  Sec. 18.22</t>
  </si>
  <si>
    <t>ORP</t>
  </si>
  <si>
    <t>Diana P Garcia</t>
  </si>
  <si>
    <t>Guillermo Garcia</t>
  </si>
  <si>
    <t>Julisabel Alvarado</t>
  </si>
  <si>
    <t>Gabriela Davis</t>
  </si>
  <si>
    <t>Rita Lopez</t>
  </si>
  <si>
    <t>390014 PT Academic</t>
  </si>
  <si>
    <t>Yolanda Rocha</t>
  </si>
  <si>
    <t>Azalia Garcia</t>
  </si>
  <si>
    <t>nt</t>
  </si>
  <si>
    <t>Barry Zimmerman</t>
  </si>
  <si>
    <t>Isabel Ybarra</t>
  </si>
  <si>
    <t>Damacio Sanchez</t>
  </si>
  <si>
    <t>125140 Carl Perkins</t>
  </si>
  <si>
    <t>Concepcion Silva</t>
  </si>
  <si>
    <t>Eva De Anda</t>
  </si>
  <si>
    <t>Randa Faseler Schell</t>
  </si>
  <si>
    <t>Luis Fernandez</t>
  </si>
  <si>
    <t>500052 Personnel</t>
  </si>
  <si>
    <t>TRS</t>
  </si>
  <si>
    <t>Stephanie Perez</t>
  </si>
  <si>
    <t>Richard Briseno</t>
  </si>
  <si>
    <t>Briseno</t>
  </si>
  <si>
    <t>Julisabe</t>
  </si>
  <si>
    <t>Yolanda</t>
  </si>
  <si>
    <t>Rocha</t>
  </si>
  <si>
    <t>Jaclyn Lara</t>
  </si>
  <si>
    <t>Randa</t>
  </si>
  <si>
    <t>Faseler Schell</t>
  </si>
  <si>
    <t xml:space="preserve">Gabriela </t>
  </si>
  <si>
    <t>Damacio</t>
  </si>
  <si>
    <t>Conception</t>
  </si>
  <si>
    <t>Guillermo</t>
  </si>
  <si>
    <t>Rita</t>
  </si>
  <si>
    <t>600010 Plant</t>
  </si>
  <si>
    <t>Magggie</t>
  </si>
  <si>
    <t>Camstra</t>
  </si>
  <si>
    <t>Maggie Camstra</t>
  </si>
  <si>
    <t>500051 Purchasing</t>
  </si>
  <si>
    <t>101302 Student Success</t>
  </si>
  <si>
    <t>740010 Geoforce</t>
  </si>
  <si>
    <t>110599 Workforce Other</t>
  </si>
  <si>
    <t>100603 PE</t>
  </si>
  <si>
    <t>Jacki Nieto</t>
  </si>
  <si>
    <t>110599 WFD other</t>
  </si>
  <si>
    <t>12-510011</t>
  </si>
  <si>
    <t>David Burchfield</t>
  </si>
  <si>
    <t xml:space="preserve">David </t>
  </si>
  <si>
    <t>400010  Registrar</t>
  </si>
  <si>
    <t>109000 Inst Tech</t>
  </si>
  <si>
    <t>Brenda Nava Cantu</t>
  </si>
  <si>
    <t>BrendaNava</t>
  </si>
  <si>
    <t>Cantu</t>
  </si>
  <si>
    <t xml:space="preserve">Suzanne </t>
  </si>
  <si>
    <t>McCormack</t>
  </si>
  <si>
    <t>Chassity Dean</t>
  </si>
  <si>
    <t>Chassity</t>
  </si>
  <si>
    <t>110501 UV LVN</t>
  </si>
  <si>
    <t>Frederico</t>
  </si>
  <si>
    <t>Duenes</t>
  </si>
  <si>
    <t>Frederico Duenes</t>
  </si>
  <si>
    <t>Brenda McClip</t>
  </si>
  <si>
    <t>Brenda McClip Gonzales</t>
  </si>
  <si>
    <t>Maria Z.</t>
  </si>
  <si>
    <t>Maria Z. Hernandez</t>
  </si>
  <si>
    <t>Yolanda (Yevette)</t>
  </si>
  <si>
    <t>Yolanda (Yevette) Hernandez</t>
  </si>
  <si>
    <t>Nettie Martinez</t>
  </si>
  <si>
    <t>Nettie</t>
  </si>
  <si>
    <t>Denise Vanderlick</t>
  </si>
  <si>
    <t>Vanderlick</t>
  </si>
  <si>
    <t>Clarissa Villarreal</t>
  </si>
  <si>
    <t>Clarissa</t>
  </si>
  <si>
    <t>Villarreal</t>
  </si>
  <si>
    <t>Maria Villarreal</t>
  </si>
  <si>
    <t xml:space="preserve">Barry </t>
  </si>
  <si>
    <t>Zimmerman</t>
  </si>
  <si>
    <t>Joyce Terry????</t>
  </si>
  <si>
    <t xml:space="preserve">   Facilities Rental</t>
  </si>
  <si>
    <t>Watts</t>
  </si>
  <si>
    <t>Grover Smith</t>
  </si>
  <si>
    <t>Mike</t>
  </si>
  <si>
    <t>Lavin</t>
  </si>
  <si>
    <t>David (Mike) Leavene</t>
  </si>
  <si>
    <t>Grover</t>
  </si>
  <si>
    <t>Jami Watts</t>
  </si>
  <si>
    <t>Jami</t>
  </si>
  <si>
    <t>WRITING CENTER</t>
  </si>
  <si>
    <t>Maintenance Note Payment</t>
  </si>
  <si>
    <t>12-100606-5000-01</t>
  </si>
  <si>
    <t>Writing Center</t>
  </si>
  <si>
    <t>A.D.N.</t>
  </si>
  <si>
    <t xml:space="preserve"> 12-110510-5000-01</t>
  </si>
  <si>
    <t>12100701</t>
  </si>
  <si>
    <t>Web Presence Coordination</t>
  </si>
  <si>
    <t>12-500084-5000-01</t>
  </si>
  <si>
    <t>12-500084-7000-01</t>
  </si>
  <si>
    <t>Web Presence Coordinator</t>
  </si>
  <si>
    <t>Web Presence</t>
  </si>
  <si>
    <t>500084 Web Presence</t>
  </si>
  <si>
    <t>109000-04</t>
  </si>
  <si>
    <t>76-720090 &amp; 12-530015</t>
  </si>
  <si>
    <t>12-530015-5060-01</t>
  </si>
  <si>
    <t>OPERATING Exp - TRS</t>
  </si>
  <si>
    <t>OPERATING EXP - ORP</t>
  </si>
  <si>
    <t>ESL Amount</t>
  </si>
  <si>
    <t>12100611</t>
  </si>
  <si>
    <t>DR ESL</t>
  </si>
  <si>
    <t>12-100611-5000-02</t>
  </si>
  <si>
    <t>ANNE TARSKI</t>
  </si>
  <si>
    <t>ROBERT DOUCET</t>
  </si>
  <si>
    <t>DON MERRITT</t>
  </si>
  <si>
    <t>IMELDA RAMIREZ</t>
  </si>
  <si>
    <t>LUIS FERNANDEZ</t>
  </si>
  <si>
    <t>Cont. ed</t>
  </si>
  <si>
    <t>President Elect</t>
  </si>
  <si>
    <t>12-500021-5000-01</t>
  </si>
  <si>
    <t>12-500021</t>
  </si>
  <si>
    <t>Technology Fee  ($6.5/SCH)</t>
  </si>
  <si>
    <t>Technology Improvements</t>
  </si>
  <si>
    <t>12-500085</t>
  </si>
  <si>
    <t>5000</t>
  </si>
  <si>
    <t>12-500085-5000-01</t>
  </si>
  <si>
    <t>FY 2013</t>
  </si>
  <si>
    <t>Jacki</t>
  </si>
  <si>
    <t>Nieto</t>
  </si>
  <si>
    <t>Cecilla Padilla</t>
  </si>
  <si>
    <t>400010 Registrar</t>
  </si>
  <si>
    <t>A.D.N. Fee</t>
  </si>
  <si>
    <t>11-052000-4383-01</t>
  </si>
  <si>
    <t xml:space="preserve"> 11-052000-4384-01</t>
  </si>
  <si>
    <t xml:space="preserve"> 11-052000-4355-01</t>
  </si>
  <si>
    <t>11-052000-4381-01</t>
  </si>
  <si>
    <t xml:space="preserve"> 11-059000-4520-01</t>
  </si>
  <si>
    <t xml:space="preserve"> 40-060000-4745-01</t>
  </si>
  <si>
    <t xml:space="preserve"> 73-074000-4636-01</t>
  </si>
  <si>
    <t xml:space="preserve"> 76-075000-4270-01</t>
  </si>
  <si>
    <t>11-052000-4329-01</t>
  </si>
  <si>
    <t xml:space="preserve"> 12-110510-7000-01</t>
  </si>
  <si>
    <t xml:space="preserve"> 12-110506-7000-01</t>
  </si>
  <si>
    <t xml:space="preserve"> 73-720009-5000-01</t>
  </si>
  <si>
    <t xml:space="preserve"> 73-720006-5000-01</t>
  </si>
  <si>
    <t xml:space="preserve"> 76-127030-5000-01</t>
  </si>
  <si>
    <t xml:space="preserve"> 76-127030-7000-01</t>
  </si>
  <si>
    <t xml:space="preserve"> 52-660305-5052-01</t>
  </si>
  <si>
    <t xml:space="preserve"> 52-660310-5052-01</t>
  </si>
  <si>
    <t xml:space="preserve"> 52-660315-5052-01</t>
  </si>
  <si>
    <t xml:space="preserve"> 52-660304-5052-01</t>
  </si>
  <si>
    <t>73-720003-5000-01</t>
  </si>
  <si>
    <t>12-100406-5000-01</t>
  </si>
  <si>
    <t>76-075000-4295-01</t>
  </si>
  <si>
    <t xml:space="preserve"> 74-720011-5000-01</t>
  </si>
  <si>
    <t>DR Revenue Bond</t>
  </si>
  <si>
    <t>PERSONNEL  7</t>
  </si>
  <si>
    <t>Personnel</t>
  </si>
  <si>
    <t>PERSONNEL</t>
  </si>
  <si>
    <t>2013-2014</t>
  </si>
  <si>
    <t>FY 2014</t>
  </si>
  <si>
    <t>2013 was $2,039,114</t>
  </si>
  <si>
    <t>INTERNET-UV</t>
  </si>
  <si>
    <t>MATH-UV</t>
  </si>
  <si>
    <t>EDU-UV</t>
  </si>
  <si>
    <t>LVN - UV</t>
  </si>
  <si>
    <t>CRE ART-DR</t>
  </si>
  <si>
    <t>12310016</t>
  </si>
  <si>
    <t>12100601</t>
  </si>
  <si>
    <t>12100201</t>
  </si>
  <si>
    <t>12101604</t>
  </si>
  <si>
    <t>12100301</t>
  </si>
  <si>
    <t>12110101</t>
  </si>
  <si>
    <t>12110302</t>
  </si>
  <si>
    <t>12100801</t>
  </si>
  <si>
    <t>100611</t>
  </si>
  <si>
    <t>12310022</t>
  </si>
  <si>
    <t>110510</t>
  </si>
  <si>
    <t>12101603</t>
  </si>
  <si>
    <t>203 -- 204</t>
  </si>
  <si>
    <t>72, 73, 168, 205, &amp; 206</t>
  </si>
  <si>
    <t>2013 Budgeted Amount</t>
  </si>
  <si>
    <t>Total w/ steps &amp; increm.</t>
  </si>
  <si>
    <t>ESL</t>
  </si>
  <si>
    <t>DO NOT USE</t>
  </si>
  <si>
    <t>5025</t>
  </si>
  <si>
    <t>REPAIR &amp; MAINT FLEET</t>
  </si>
  <si>
    <t>This was with EP 2014 budget and may need to be removed.</t>
  </si>
  <si>
    <t>Acad Affairs</t>
  </si>
  <si>
    <t>310010 Acad Affairs</t>
  </si>
  <si>
    <t>500022 VP Finance</t>
  </si>
  <si>
    <t>VP Finance</t>
  </si>
  <si>
    <t>VP Adm Serv</t>
  </si>
  <si>
    <t>500025 VP Admin Serv</t>
  </si>
  <si>
    <t>310015 Dean Coll Liberal</t>
  </si>
  <si>
    <t>Dean Liberal</t>
  </si>
  <si>
    <t>510014 AVP Inst Advance</t>
  </si>
  <si>
    <t>109000 Instruct Tech</t>
  </si>
  <si>
    <t>AVP Inst Adv</t>
  </si>
  <si>
    <t>AVP OF INSTIT ADVANCE</t>
  </si>
  <si>
    <t>AVP of Institutional Advancement</t>
  </si>
  <si>
    <t>AVP OF INSTITUTIONAL EFFECTIVENESS</t>
  </si>
  <si>
    <t xml:space="preserve"> 12-510014-5000-01</t>
  </si>
  <si>
    <t xml:space="preserve"> 12-510014-7000-01</t>
  </si>
  <si>
    <t>VP OF FINANCE</t>
  </si>
  <si>
    <t>VP of Finance</t>
  </si>
  <si>
    <t>VP OF ADMIN SERVICES</t>
  </si>
  <si>
    <t>VP of Administrative Services</t>
  </si>
  <si>
    <t>Dn App Sci</t>
  </si>
  <si>
    <t>310021 Dn App Science</t>
  </si>
  <si>
    <t>DEAN APP SCI</t>
  </si>
  <si>
    <t>Dean of College of Applied Sciences</t>
  </si>
  <si>
    <t>DEAN OF COLLEGE OF APPLIED SCIENCES</t>
  </si>
  <si>
    <t>DEAN OF LIBERAL ARTS</t>
  </si>
  <si>
    <t>Dean of College of Liberal Arts</t>
  </si>
  <si>
    <t>DEAN OF COLLEGE OF LIBERAL ARTS</t>
  </si>
  <si>
    <t>310011 AVP Outreach</t>
  </si>
  <si>
    <t>AVP Outreach</t>
  </si>
  <si>
    <t>AVP OUTREACH</t>
  </si>
  <si>
    <t>AVP of Outreach</t>
  </si>
  <si>
    <t>AVP OF OUTREACH</t>
  </si>
  <si>
    <t>VP OF ACADEMIC AFFAIRS</t>
  </si>
  <si>
    <t>VP OF ACAD AFFAIRS</t>
  </si>
  <si>
    <t>VP of Academic Affairs</t>
  </si>
  <si>
    <t>110501 EP LVN</t>
  </si>
  <si>
    <t xml:space="preserve"> 12-110501-5000-02</t>
  </si>
  <si>
    <t xml:space="preserve"> 12-110501-7000-02</t>
  </si>
  <si>
    <t xml:space="preserve"> 12-110501-5000-03</t>
  </si>
  <si>
    <t xml:space="preserve"> 12-110501-7000-03</t>
  </si>
  <si>
    <t>ADN Faculty</t>
  </si>
  <si>
    <t>110510 ADN</t>
  </si>
  <si>
    <t xml:space="preserve">ADN </t>
  </si>
  <si>
    <t>Maria Ortiz Camacho</t>
  </si>
  <si>
    <t>Camacho</t>
  </si>
  <si>
    <t>AnaLisa Conde</t>
  </si>
  <si>
    <t>Cristerna</t>
  </si>
  <si>
    <t>Maria Cristerna</t>
  </si>
  <si>
    <t>Oscar</t>
  </si>
  <si>
    <t>Gaytan</t>
  </si>
  <si>
    <t>Oscar Gaytan</t>
  </si>
  <si>
    <t>Charlene</t>
  </si>
  <si>
    <t>Bell</t>
  </si>
  <si>
    <t>Charlene Bell</t>
  </si>
  <si>
    <t>Aurelio</t>
  </si>
  <si>
    <t>DeLeon</t>
  </si>
  <si>
    <t>Aurelio DeLeon</t>
  </si>
  <si>
    <t>Schomber</t>
  </si>
  <si>
    <t>Stephen Schomber</t>
  </si>
  <si>
    <t>JeaneneM.</t>
  </si>
  <si>
    <t>Burns</t>
  </si>
  <si>
    <t xml:space="preserve">JeaneneM. Burns </t>
  </si>
  <si>
    <t>AliciaMata</t>
  </si>
  <si>
    <t>DeLosSantos</t>
  </si>
  <si>
    <t>AliciaMata DeLosSantos</t>
  </si>
  <si>
    <t>Fondren</t>
  </si>
  <si>
    <t>Melissa Fondren</t>
  </si>
  <si>
    <t>DianaR.</t>
  </si>
  <si>
    <t>DianaR. Smith</t>
  </si>
  <si>
    <t>Juan Zamarripa</t>
  </si>
  <si>
    <t>Tanya</t>
  </si>
  <si>
    <t>Molinar</t>
  </si>
  <si>
    <t>Tanya Molinar</t>
  </si>
  <si>
    <t>Guerrero</t>
  </si>
  <si>
    <t>Ricardo Guerrero</t>
  </si>
  <si>
    <t>110502 DR LVN</t>
  </si>
  <si>
    <t>5047</t>
  </si>
  <si>
    <t>5048</t>
  </si>
  <si>
    <t>5049</t>
  </si>
  <si>
    <t>Official Payments</t>
  </si>
  <si>
    <t>Facts Fees</t>
  </si>
  <si>
    <t>Higher One Fees</t>
  </si>
  <si>
    <t>Raul Lozano</t>
  </si>
  <si>
    <t>Raul</t>
  </si>
  <si>
    <t>Lozano</t>
  </si>
  <si>
    <t>Raul Lozano replaced</t>
  </si>
  <si>
    <t>Cortez</t>
  </si>
  <si>
    <t>Michael Cortez</t>
  </si>
  <si>
    <t>Oscar Gaytan replaced</t>
  </si>
  <si>
    <t>Albert Ybarra</t>
  </si>
  <si>
    <t>Charlotte</t>
  </si>
  <si>
    <t>Yeldell</t>
  </si>
  <si>
    <t>Charlotte Yeldell</t>
  </si>
  <si>
    <t>110501 DR LVN</t>
  </si>
  <si>
    <t>Had -0- last year</t>
  </si>
  <si>
    <t xml:space="preserve">Kara </t>
  </si>
  <si>
    <t>Lands</t>
  </si>
  <si>
    <t>Kara Lands</t>
  </si>
  <si>
    <t>Brandy</t>
  </si>
  <si>
    <t>Leon</t>
  </si>
  <si>
    <t>Brandy Leon</t>
  </si>
  <si>
    <t>Maricela</t>
  </si>
  <si>
    <t>Maltos</t>
  </si>
  <si>
    <t>Maricela Maltos</t>
  </si>
  <si>
    <t>LaraFlores</t>
  </si>
  <si>
    <t>Oscar Lara-Flores</t>
  </si>
  <si>
    <t>Alice</t>
  </si>
  <si>
    <t>Alice Sanchez</t>
  </si>
  <si>
    <t>Resma</t>
  </si>
  <si>
    <t>Alejandro Resma</t>
  </si>
  <si>
    <t>Jeanette</t>
  </si>
  <si>
    <t>Jeanette Saucedo</t>
  </si>
  <si>
    <t>AnaLisa Conde replaced</t>
  </si>
  <si>
    <t>Andrea Flores replaced</t>
  </si>
  <si>
    <t>Hector replaced</t>
  </si>
  <si>
    <t>Charlotte Yeldell replaced</t>
  </si>
  <si>
    <t>Patricia Garcia replaced RN</t>
  </si>
  <si>
    <t>Maricela Maltos replaced LVN</t>
  </si>
  <si>
    <t>Richard Briseno replaced LVN</t>
  </si>
  <si>
    <t xml:space="preserve">Part time only </t>
  </si>
  <si>
    <t>Brandy Leon replaced</t>
  </si>
  <si>
    <t>Clarisa Zepeda replaced</t>
  </si>
  <si>
    <t>check</t>
  </si>
  <si>
    <t>OPEN</t>
  </si>
  <si>
    <t>Ricardo Guerrero Replace</t>
  </si>
  <si>
    <t>Lorena Mello Replace</t>
  </si>
  <si>
    <t>Purchasing Clerk</t>
  </si>
  <si>
    <t>Ernesto Mamaradlo Replace</t>
  </si>
  <si>
    <t>Jose Montalvo Replace</t>
  </si>
  <si>
    <t>William Sanchez Replace</t>
  </si>
  <si>
    <t xml:space="preserve">Anne Tarski </t>
  </si>
  <si>
    <t xml:space="preserve">Juan Perez </t>
  </si>
  <si>
    <t>400040 Stud Recruit</t>
  </si>
  <si>
    <t>500083 Instruct IT</t>
  </si>
  <si>
    <t>510010 Instit Research</t>
  </si>
  <si>
    <t>510011 IS Support</t>
  </si>
  <si>
    <t>510015 Instit Effect</t>
  </si>
  <si>
    <t>510075 Print Center</t>
  </si>
  <si>
    <t>510080 Central Tele</t>
  </si>
  <si>
    <t>510085 Transport</t>
  </si>
  <si>
    <t>110494 Law Enforce</t>
  </si>
  <si>
    <t>Budget FY 2014</t>
  </si>
  <si>
    <t>Salary Depts</t>
  </si>
  <si>
    <t>310031 T-V Advising</t>
  </si>
  <si>
    <t>Dean Lib Arts</t>
  </si>
  <si>
    <t>AVP DR</t>
  </si>
  <si>
    <t>AVP Inst Advanc</t>
  </si>
  <si>
    <t>AVP EP</t>
  </si>
  <si>
    <t>VP Admin Serv</t>
  </si>
  <si>
    <t>Dean App Sci</t>
  </si>
  <si>
    <t>VP Acad Aff</t>
  </si>
  <si>
    <t>Dean Workforce</t>
  </si>
  <si>
    <t>First</t>
  </si>
  <si>
    <t>Last</t>
  </si>
  <si>
    <t>Full Name</t>
  </si>
  <si>
    <t>Code</t>
  </si>
  <si>
    <t>Salary</t>
  </si>
  <si>
    <t>Bud Officer</t>
  </si>
  <si>
    <t>Home Department</t>
  </si>
  <si>
    <t>VP Finance Total</t>
  </si>
  <si>
    <t>Dean Lib Arts Total</t>
  </si>
  <si>
    <t>AVP DR Total</t>
  </si>
  <si>
    <t>AVP Inst Advanc Total</t>
  </si>
  <si>
    <t>AVP EP Total</t>
  </si>
  <si>
    <t>President Total</t>
  </si>
  <si>
    <t>VP Admin Serv Total</t>
  </si>
  <si>
    <t>Dean App Sci Total</t>
  </si>
  <si>
    <t>AVP Outreach Total</t>
  </si>
  <si>
    <t>VP Acad Aff Total</t>
  </si>
  <si>
    <t>Dean Workforce Total</t>
  </si>
  <si>
    <t>Grand Total</t>
  </si>
  <si>
    <t xml:space="preserve">   Bookstore Commission</t>
  </si>
  <si>
    <t>j</t>
  </si>
  <si>
    <t>m</t>
  </si>
  <si>
    <t>b</t>
  </si>
  <si>
    <t>di</t>
  </si>
  <si>
    <t>a</t>
  </si>
  <si>
    <t>g</t>
  </si>
  <si>
    <t>d</t>
  </si>
  <si>
    <t>h</t>
  </si>
  <si>
    <t>VP OF STUDENT SERVICES</t>
  </si>
  <si>
    <t>VP of Student Services</t>
  </si>
  <si>
    <t>400025 VP Student Services</t>
  </si>
  <si>
    <t>VP Stud Serv</t>
  </si>
  <si>
    <t>VP Student Serv</t>
  </si>
  <si>
    <t>VP Student Serv Total</t>
  </si>
  <si>
    <t>Assoc. VP of Del Rio</t>
  </si>
  <si>
    <t>Assoc. VP of Eagle Pass</t>
  </si>
  <si>
    <t>Assoc. VP of Instit. Advancement</t>
  </si>
  <si>
    <t>189 &amp; 208</t>
  </si>
  <si>
    <t>I/D MEDIA SERV &amp; LIBRARY</t>
  </si>
  <si>
    <t>INSTRUCT EQUIP. &lt; $1,000</t>
  </si>
  <si>
    <t>INSURANCE - OTHER</t>
  </si>
  <si>
    <t>ADVERTISING - PERSONNEL</t>
  </si>
  <si>
    <t>ADVERTISING - OTHER</t>
  </si>
  <si>
    <t>BK&amp;MDSE LOSSES</t>
  </si>
  <si>
    <t>SUL ROSS UTILITIES</t>
  </si>
  <si>
    <t>SCHOLARSHIP (OTHER)</t>
  </si>
  <si>
    <t>CAPITAL EXPEND &gt;$5,000</t>
  </si>
  <si>
    <t xml:space="preserve">INSTRUCTIONAL TECHNOLOGY </t>
  </si>
  <si>
    <t>INSTRUCTIONAL TECHNOLOGY  (CONT'D) 92-1</t>
  </si>
  <si>
    <t>109000-07</t>
  </si>
  <si>
    <t>HONDO</t>
  </si>
  <si>
    <t>109000-38</t>
  </si>
  <si>
    <t>salaries from salaries tab</t>
  </si>
  <si>
    <t>salaries not on sal tab</t>
  </si>
  <si>
    <t>department aid salaries</t>
  </si>
  <si>
    <t>op detail from TOC tab</t>
  </si>
  <si>
    <t>student aid exps from rev tab</t>
  </si>
  <si>
    <t>grant exps from rev tab</t>
  </si>
  <si>
    <t>Diff</t>
  </si>
  <si>
    <t>BUDGETED ON PAGE 73</t>
  </si>
  <si>
    <t>72, 73, 205, &amp; 206</t>
  </si>
  <si>
    <t>110592 WFD other Hlth</t>
  </si>
  <si>
    <t>Daycare Provider</t>
  </si>
  <si>
    <t>Outreach Coordinator</t>
  </si>
  <si>
    <t xml:space="preserve"> 12-109000-5000-04</t>
  </si>
  <si>
    <t>HONDO CENTER INSTRUCTIONAL TECHNOLOGY</t>
  </si>
  <si>
    <t xml:space="preserve"> 12-109000-5000-38</t>
  </si>
  <si>
    <t>PEARSALL CENTER INSTRUCTIONAL TECHNOLOGY</t>
  </si>
  <si>
    <t xml:space="preserve"> 12-109000-5000-07</t>
  </si>
  <si>
    <t xml:space="preserve"> 52-660308-5052-01</t>
  </si>
  <si>
    <t>12100602</t>
  </si>
  <si>
    <t>Del Rio Submitted</t>
  </si>
  <si>
    <t>ATD Coordinator</t>
  </si>
  <si>
    <t>PD Director</t>
  </si>
  <si>
    <t>310017 ATD</t>
  </si>
  <si>
    <t>310035 Faculty Develop</t>
  </si>
  <si>
    <t>CARPENTRY (BRISCOE UNIT)</t>
  </si>
  <si>
    <t xml:space="preserve"> 12-110412</t>
  </si>
  <si>
    <t>310011-38</t>
  </si>
  <si>
    <t xml:space="preserve"> 12-310011-5000-38</t>
  </si>
  <si>
    <t>Budget</t>
  </si>
  <si>
    <t>Difference</t>
  </si>
  <si>
    <t>Institutional Advancement</t>
  </si>
  <si>
    <t>INSTITUTIONAL ADVANCEMENT</t>
  </si>
  <si>
    <t>Actual YTD</t>
  </si>
  <si>
    <t>FY 2012</t>
  </si>
  <si>
    <t>Acutal</t>
  </si>
  <si>
    <t>IT COLLEAGUE (Mgt. Info Systems)</t>
  </si>
  <si>
    <t>$13,000 put in Tech Advancement</t>
  </si>
  <si>
    <t>26 computers</t>
  </si>
  <si>
    <t>CAREER CENTER  16</t>
  </si>
  <si>
    <t>Student Career Center</t>
  </si>
  <si>
    <t>PLANT SUPPORT SERVICES</t>
  </si>
  <si>
    <t>Plant Support Services</t>
  </si>
  <si>
    <t>Work Study</t>
  </si>
  <si>
    <t>CC Facility</t>
  </si>
  <si>
    <t>Maintenance Note</t>
  </si>
  <si>
    <t xml:space="preserve">Transferred $60,000 to Tech Fund for </t>
  </si>
  <si>
    <t>exhaust fans</t>
  </si>
  <si>
    <t>Transferred $22,000 to Tech fund - lab update</t>
  </si>
  <si>
    <t>$15000 to Tech Fund</t>
  </si>
  <si>
    <t>Security Cameras</t>
  </si>
  <si>
    <t>ABE Clerk</t>
  </si>
  <si>
    <t>Contingency</t>
  </si>
  <si>
    <t>Academic Advising EP</t>
  </si>
  <si>
    <t>AT</t>
  </si>
  <si>
    <t>JB</t>
  </si>
  <si>
    <t>BB</t>
  </si>
  <si>
    <t>310010 VP Acad Affairs</t>
  </si>
  <si>
    <t>HG</t>
  </si>
  <si>
    <t>RF</t>
  </si>
  <si>
    <t>DW</t>
  </si>
  <si>
    <t>MU</t>
  </si>
  <si>
    <t>400025 VP Student Serv</t>
  </si>
  <si>
    <t>127021 Lumina</t>
  </si>
  <si>
    <t>Lab</t>
  </si>
  <si>
    <t>UV Writing</t>
  </si>
  <si>
    <t>EP Writing</t>
  </si>
  <si>
    <t>12-100602-7000-03</t>
  </si>
  <si>
    <t xml:space="preserve"> 12-100602-7000-01</t>
  </si>
  <si>
    <t>3% inc., &lt;$30k</t>
  </si>
  <si>
    <t>SALARY w/</t>
  </si>
  <si>
    <t>02</t>
  </si>
  <si>
    <t>03</t>
  </si>
  <si>
    <t>04</t>
  </si>
  <si>
    <t>05</t>
  </si>
  <si>
    <t>07</t>
  </si>
  <si>
    <t>08</t>
  </si>
  <si>
    <t>23</t>
  </si>
  <si>
    <t>91</t>
  </si>
  <si>
    <t>92</t>
  </si>
  <si>
    <t>27</t>
  </si>
  <si>
    <t>38</t>
  </si>
  <si>
    <t>90</t>
  </si>
  <si>
    <t>053000</t>
  </si>
  <si>
    <t>050000</t>
  </si>
  <si>
    <t>052000</t>
  </si>
  <si>
    <t>056000</t>
  </si>
  <si>
    <t>059000</t>
  </si>
  <si>
    <t>060000</t>
  </si>
  <si>
    <t>074000</t>
  </si>
  <si>
    <t>075000</t>
  </si>
  <si>
    <t>079000</t>
  </si>
  <si>
    <t>76050000404001</t>
  </si>
  <si>
    <t>76050000403001</t>
  </si>
  <si>
    <t>12050000401001</t>
  </si>
  <si>
    <t>11052000432901</t>
  </si>
  <si>
    <t>11052000434501</t>
  </si>
  <si>
    <t>11052000437501</t>
  </si>
  <si>
    <t>11052000437001</t>
  </si>
  <si>
    <t>11052000438301</t>
  </si>
  <si>
    <t>11052000438401</t>
  </si>
  <si>
    <t>11052000438101</t>
  </si>
  <si>
    <t>11052000436501</t>
  </si>
  <si>
    <t>11052000433501</t>
  </si>
  <si>
    <t>11052000438001</t>
  </si>
  <si>
    <t>11052000433001</t>
  </si>
  <si>
    <t>11052000430201</t>
  </si>
  <si>
    <t>11052000435501</t>
  </si>
  <si>
    <t>11052000435001</t>
  </si>
  <si>
    <t>11052000430001</t>
  </si>
  <si>
    <t>11053000439190</t>
  </si>
  <si>
    <t>11053000439090</t>
  </si>
  <si>
    <t>11053000439191</t>
  </si>
  <si>
    <t>11053000439091</t>
  </si>
  <si>
    <t>11053000439192</t>
  </si>
  <si>
    <t>11053000439092</t>
  </si>
  <si>
    <t>11056000445001</t>
  </si>
  <si>
    <t>11056000445101</t>
  </si>
  <si>
    <t>11059000451001</t>
  </si>
  <si>
    <t>40060000451001</t>
  </si>
  <si>
    <t>76074000414801</t>
  </si>
  <si>
    <t>76075000420001</t>
  </si>
  <si>
    <t>76079000457801</t>
  </si>
  <si>
    <t>12100201500001</t>
  </si>
  <si>
    <t>12100201500002</t>
  </si>
  <si>
    <t>12100201500003</t>
  </si>
  <si>
    <t>12100201500004</t>
  </si>
  <si>
    <t>12100201500023</t>
  </si>
  <si>
    <t>12100301500001</t>
  </si>
  <si>
    <t>12100301500002</t>
  </si>
  <si>
    <t>12100301500003</t>
  </si>
  <si>
    <t>12100401500001</t>
  </si>
  <si>
    <t>12100406500001</t>
  </si>
  <si>
    <t>12100600500001</t>
  </si>
  <si>
    <t>12100601500001</t>
  </si>
  <si>
    <t>12100601500002</t>
  </si>
  <si>
    <t>12100601500003</t>
  </si>
  <si>
    <t>12100602500001</t>
  </si>
  <si>
    <t>12100602700001</t>
  </si>
  <si>
    <t>12100602500002</t>
  </si>
  <si>
    <t>12100602500003</t>
  </si>
  <si>
    <t>12100602700003</t>
  </si>
  <si>
    <t>12100603700001</t>
  </si>
  <si>
    <t>12100603500001</t>
  </si>
  <si>
    <t>12100603500002</t>
  </si>
  <si>
    <t>12100606500001</t>
  </si>
  <si>
    <t>12100606500004</t>
  </si>
  <si>
    <t>12100606500023</t>
  </si>
  <si>
    <t>12100607500001</t>
  </si>
  <si>
    <t>12100609500001</t>
  </si>
  <si>
    <t>12100610500001</t>
  </si>
  <si>
    <t>12100611500001</t>
  </si>
  <si>
    <t>12100611500002</t>
  </si>
  <si>
    <t>12100611500003</t>
  </si>
  <si>
    <t>12100700500003</t>
  </si>
  <si>
    <t>12100701500001</t>
  </si>
  <si>
    <t>12100701500002</t>
  </si>
  <si>
    <t>12100701500003</t>
  </si>
  <si>
    <t>12100703500001</t>
  </si>
  <si>
    <t>12100703500002</t>
  </si>
  <si>
    <t>12100703500003</t>
  </si>
  <si>
    <t>12100703500004</t>
  </si>
  <si>
    <t>12100801500001</t>
  </si>
  <si>
    <t>12100801500003</t>
  </si>
  <si>
    <t>12101001500001</t>
  </si>
  <si>
    <t>12101001500002</t>
  </si>
  <si>
    <t>12101001500003</t>
  </si>
  <si>
    <t>12101200500001</t>
  </si>
  <si>
    <t>12101201500001</t>
  </si>
  <si>
    <t>12101201500002</t>
  </si>
  <si>
    <t>12101201500003</t>
  </si>
  <si>
    <t>12101201500004</t>
  </si>
  <si>
    <t>12101201500008</t>
  </si>
  <si>
    <t>12101201500023</t>
  </si>
  <si>
    <t>12101201500027</t>
  </si>
  <si>
    <t>12101202500001</t>
  </si>
  <si>
    <t>12101202500003</t>
  </si>
  <si>
    <t>12101203500001</t>
  </si>
  <si>
    <t>12101203500002</t>
  </si>
  <si>
    <t>12101203500003</t>
  </si>
  <si>
    <t>12101205500001</t>
  </si>
  <si>
    <t>12101301500001</t>
  </si>
  <si>
    <t>12101301500002</t>
  </si>
  <si>
    <t>12101301500003</t>
  </si>
  <si>
    <t>12101301500004</t>
  </si>
  <si>
    <t>12101301500008</t>
  </si>
  <si>
    <t>12101301500023</t>
  </si>
  <si>
    <t>12101301500027</t>
  </si>
  <si>
    <t>12101302500001</t>
  </si>
  <si>
    <t>12101302700001</t>
  </si>
  <si>
    <t>12101401500001</t>
  </si>
  <si>
    <t>12101401500002</t>
  </si>
  <si>
    <t>12101401500003</t>
  </si>
  <si>
    <t>12101501500001</t>
  </si>
  <si>
    <t>12101501500002</t>
  </si>
  <si>
    <t>12101501500003</t>
  </si>
  <si>
    <t>12101501500004</t>
  </si>
  <si>
    <t>12101501500005</t>
  </si>
  <si>
    <t>12101501500008</t>
  </si>
  <si>
    <t>12101501500027</t>
  </si>
  <si>
    <t>12101603500001</t>
  </si>
  <si>
    <t>12101603500002</t>
  </si>
  <si>
    <t>12101603500003</t>
  </si>
  <si>
    <t>12101603500004</t>
  </si>
  <si>
    <t>12101603500008</t>
  </si>
  <si>
    <t>12101603500027</t>
  </si>
  <si>
    <t>12101604500001</t>
  </si>
  <si>
    <t>12101604500002</t>
  </si>
  <si>
    <t>12101604500003</t>
  </si>
  <si>
    <t>12101604500004</t>
  </si>
  <si>
    <t>12101604500008</t>
  </si>
  <si>
    <t>12101604500023</t>
  </si>
  <si>
    <t>12101605500001</t>
  </si>
  <si>
    <t>12101605500002</t>
  </si>
  <si>
    <t>12101605500004</t>
  </si>
  <si>
    <t>12101605500005</t>
  </si>
  <si>
    <t>12101606500001</t>
  </si>
  <si>
    <t>12101606500002</t>
  </si>
  <si>
    <t>12109000500001</t>
  </si>
  <si>
    <t>12109000700001</t>
  </si>
  <si>
    <t>12109000500002</t>
  </si>
  <si>
    <t>12109000500003</t>
  </si>
  <si>
    <t>12109000500004</t>
  </si>
  <si>
    <t>12109000500007</t>
  </si>
  <si>
    <t>12109000500038</t>
  </si>
  <si>
    <t>12110005500001</t>
  </si>
  <si>
    <t>12110101500001</t>
  </si>
  <si>
    <t>12110101500002</t>
  </si>
  <si>
    <t>12110105500001</t>
  </si>
  <si>
    <t>12110201500001</t>
  </si>
  <si>
    <t>12110201500002</t>
  </si>
  <si>
    <t>12110201500003</t>
  </si>
  <si>
    <t>12110302500002</t>
  </si>
  <si>
    <t>12110302500003</t>
  </si>
  <si>
    <t>12110303500001</t>
  </si>
  <si>
    <t>12110303500002</t>
  </si>
  <si>
    <t>12110303500003</t>
  </si>
  <si>
    <t>12110392500001</t>
  </si>
  <si>
    <t>12110401500001</t>
  </si>
  <si>
    <t>12110402500001</t>
  </si>
  <si>
    <t>12110403500001</t>
  </si>
  <si>
    <t>12110403500002</t>
  </si>
  <si>
    <t>12110404500001</t>
  </si>
  <si>
    <t>12110407500001</t>
  </si>
  <si>
    <t>12110408500001</t>
  </si>
  <si>
    <t>12110409500001</t>
  </si>
  <si>
    <t>12110412500001</t>
  </si>
  <si>
    <t>12110494500001</t>
  </si>
  <si>
    <t>12110494700001</t>
  </si>
  <si>
    <t>12110496500001</t>
  </si>
  <si>
    <t>12110497700001</t>
  </si>
  <si>
    <t>12110497500001</t>
  </si>
  <si>
    <t>12110501700001</t>
  </si>
  <si>
    <t>12110501500001</t>
  </si>
  <si>
    <t>12110501700002</t>
  </si>
  <si>
    <t>12110501500002</t>
  </si>
  <si>
    <t>12110501700003</t>
  </si>
  <si>
    <t>12110501500003</t>
  </si>
  <si>
    <t>12110506500001</t>
  </si>
  <si>
    <t>12110506700001</t>
  </si>
  <si>
    <t>12110510700001</t>
  </si>
  <si>
    <t>12110510500001</t>
  </si>
  <si>
    <t>12110592700001</t>
  </si>
  <si>
    <t>12110592500001</t>
  </si>
  <si>
    <t>12110594500001</t>
  </si>
  <si>
    <t>12110599500001</t>
  </si>
  <si>
    <t>12110955500001</t>
  </si>
  <si>
    <t>12110960500001</t>
  </si>
  <si>
    <t>76120000500001</t>
  </si>
  <si>
    <t>76120010500001</t>
  </si>
  <si>
    <t>76124000500001</t>
  </si>
  <si>
    <t>76124000700001</t>
  </si>
  <si>
    <t>76124010500001</t>
  </si>
  <si>
    <t>76124050500001</t>
  </si>
  <si>
    <t>76125140700001</t>
  </si>
  <si>
    <t>76125140500001</t>
  </si>
  <si>
    <t>76127000500001</t>
  </si>
  <si>
    <t>76127000700001</t>
  </si>
  <si>
    <t>76127005500001</t>
  </si>
  <si>
    <t>76127005700001</t>
  </si>
  <si>
    <t>76127021700001</t>
  </si>
  <si>
    <t>76127021500001</t>
  </si>
  <si>
    <t>12250010500001</t>
  </si>
  <si>
    <t>12300010500001</t>
  </si>
  <si>
    <t>12300010700001</t>
  </si>
  <si>
    <t>12300010500002</t>
  </si>
  <si>
    <t>12300010700002</t>
  </si>
  <si>
    <t>12300010500003</t>
  </si>
  <si>
    <t>12300010700003</t>
  </si>
  <si>
    <t>12300020500001</t>
  </si>
  <si>
    <t>12300020700001</t>
  </si>
  <si>
    <t>12310010500001</t>
  </si>
  <si>
    <t>12310010700001</t>
  </si>
  <si>
    <t>12310011500001</t>
  </si>
  <si>
    <t>12310011700001</t>
  </si>
  <si>
    <t>12310011500002</t>
  </si>
  <si>
    <t>12310011700002</t>
  </si>
  <si>
    <t>12310011500003</t>
  </si>
  <si>
    <t>12310011700003</t>
  </si>
  <si>
    <t>12310011500004</t>
  </si>
  <si>
    <t>12310011700004</t>
  </si>
  <si>
    <t>12310011500007</t>
  </si>
  <si>
    <t>12310011500023</t>
  </si>
  <si>
    <t>12310011500027</t>
  </si>
  <si>
    <t>12310011500038</t>
  </si>
  <si>
    <t>12310015500001</t>
  </si>
  <si>
    <t>12310015700001</t>
  </si>
  <si>
    <t>12310016500001</t>
  </si>
  <si>
    <t>12310016700001</t>
  </si>
  <si>
    <t>12310017500001</t>
  </si>
  <si>
    <t>12310017700001</t>
  </si>
  <si>
    <t>12310020500001</t>
  </si>
  <si>
    <t>12310020700002</t>
  </si>
  <si>
    <t>12310020500003</t>
  </si>
  <si>
    <t>12310020700003</t>
  </si>
  <si>
    <t>12310021500001</t>
  </si>
  <si>
    <t>12310021700001</t>
  </si>
  <si>
    <t>12310022500001</t>
  </si>
  <si>
    <t>12310022700001</t>
  </si>
  <si>
    <t>12310030500001</t>
  </si>
  <si>
    <t>12310030700001</t>
  </si>
  <si>
    <t>12310035500001</t>
  </si>
  <si>
    <t>12310035700001</t>
  </si>
  <si>
    <t>12390010700001</t>
  </si>
  <si>
    <t>12390014700001</t>
  </si>
  <si>
    <t>12390020700001</t>
  </si>
  <si>
    <t>12390024700001</t>
  </si>
  <si>
    <t>12400010500001</t>
  </si>
  <si>
    <t>12400010700001</t>
  </si>
  <si>
    <t>12400015500001</t>
  </si>
  <si>
    <t>12400015700001</t>
  </si>
  <si>
    <t>12400015500002</t>
  </si>
  <si>
    <t>12400015700002</t>
  </si>
  <si>
    <t>12400015500003</t>
  </si>
  <si>
    <t>12400015700003</t>
  </si>
  <si>
    <t>12400020500001</t>
  </si>
  <si>
    <t>12400020700001</t>
  </si>
  <si>
    <t>12400020700002</t>
  </si>
  <si>
    <t>12400020700003</t>
  </si>
  <si>
    <t>12400021500001</t>
  </si>
  <si>
    <t>12400025500001</t>
  </si>
  <si>
    <t>12400025700001</t>
  </si>
  <si>
    <t>12400030500001</t>
  </si>
  <si>
    <t>12400030700001</t>
  </si>
  <si>
    <t>12400030700002</t>
  </si>
  <si>
    <t>12400030700003</t>
  </si>
  <si>
    <t>12400040700001</t>
  </si>
  <si>
    <t>12400040500001</t>
  </si>
  <si>
    <t>12400045500001</t>
  </si>
  <si>
    <t>12400050500001</t>
  </si>
  <si>
    <t>12500010500001</t>
  </si>
  <si>
    <t>12500020500001</t>
  </si>
  <si>
    <t>12500020700001</t>
  </si>
  <si>
    <t>12500022500001</t>
  </si>
  <si>
    <t>12500022700001</t>
  </si>
  <si>
    <t>12500025500001</t>
  </si>
  <si>
    <t>12500025700001</t>
  </si>
  <si>
    <t>12500050500001</t>
  </si>
  <si>
    <t>12500050700001</t>
  </si>
  <si>
    <t>12500051500001</t>
  </si>
  <si>
    <t>12500051700001</t>
  </si>
  <si>
    <t>12500052500001</t>
  </si>
  <si>
    <t>12500052700001</t>
  </si>
  <si>
    <t>12500080700001</t>
  </si>
  <si>
    <t>12500080500001</t>
  </si>
  <si>
    <t>12500082700001</t>
  </si>
  <si>
    <t>12500082500001</t>
  </si>
  <si>
    <t>12500083700001</t>
  </si>
  <si>
    <t>12500083500001</t>
  </si>
  <si>
    <t>12500083700002</t>
  </si>
  <si>
    <t>12500083700003</t>
  </si>
  <si>
    <t>12500084500001</t>
  </si>
  <si>
    <t>12500084700001</t>
  </si>
  <si>
    <t>12500085500001</t>
  </si>
  <si>
    <t>12510010500001</t>
  </si>
  <si>
    <t>12510010700001</t>
  </si>
  <si>
    <t>12510011700001</t>
  </si>
  <si>
    <t>12510011500001</t>
  </si>
  <si>
    <t>12510012500001</t>
  </si>
  <si>
    <t>12510012700001</t>
  </si>
  <si>
    <t>12510013500001</t>
  </si>
  <si>
    <t>12510014500001</t>
  </si>
  <si>
    <t>12510014700001</t>
  </si>
  <si>
    <t>12510015500001</t>
  </si>
  <si>
    <t>12510015700001</t>
  </si>
  <si>
    <t>12510018500001</t>
  </si>
  <si>
    <t>12510018700001</t>
  </si>
  <si>
    <t>12510020500001</t>
  </si>
  <si>
    <t>12510020700001</t>
  </si>
  <si>
    <t>12510025500001</t>
  </si>
  <si>
    <t>12510030500001</t>
  </si>
  <si>
    <t>11510032500001</t>
  </si>
  <si>
    <t>12510035500001</t>
  </si>
  <si>
    <t>12510040500001</t>
  </si>
  <si>
    <t>12510045500001</t>
  </si>
  <si>
    <t>12510050500001</t>
  </si>
  <si>
    <t>12510052500001</t>
  </si>
  <si>
    <t>12510055507301</t>
  </si>
  <si>
    <t>12510060500001</t>
  </si>
  <si>
    <t>12510065500001</t>
  </si>
  <si>
    <t>11510070500001</t>
  </si>
  <si>
    <t>12510075700001</t>
  </si>
  <si>
    <t>12510075500001</t>
  </si>
  <si>
    <t>12510080700001</t>
  </si>
  <si>
    <t>12510080500001</t>
  </si>
  <si>
    <t>11510085700001</t>
  </si>
  <si>
    <t>11510085500001</t>
  </si>
  <si>
    <t>11510090500001</t>
  </si>
  <si>
    <t>11510090500002</t>
  </si>
  <si>
    <t>11510090500003</t>
  </si>
  <si>
    <t>12510099700001</t>
  </si>
  <si>
    <t>12520010500001</t>
  </si>
  <si>
    <t>12520010700001</t>
  </si>
  <si>
    <t>12530005506001</t>
  </si>
  <si>
    <t>12530006506001</t>
  </si>
  <si>
    <t>12530007506001</t>
  </si>
  <si>
    <t>12530008506001</t>
  </si>
  <si>
    <t>12530010506101</t>
  </si>
  <si>
    <t>12530015506001</t>
  </si>
  <si>
    <t>11600010700001</t>
  </si>
  <si>
    <t>11600010500001</t>
  </si>
  <si>
    <t>11610020500001</t>
  </si>
  <si>
    <t>11610020700001</t>
  </si>
  <si>
    <t>11610020500002</t>
  </si>
  <si>
    <t>11610020500003</t>
  </si>
  <si>
    <t>11610020500004</t>
  </si>
  <si>
    <t>11620030500001</t>
  </si>
  <si>
    <t>11620030700001</t>
  </si>
  <si>
    <t>11620030500002</t>
  </si>
  <si>
    <t>11620030700002</t>
  </si>
  <si>
    <t>11620030500003</t>
  </si>
  <si>
    <t>11620030700003</t>
  </si>
  <si>
    <t>11630040500001</t>
  </si>
  <si>
    <t>11630040700001</t>
  </si>
  <si>
    <t>11630040500002</t>
  </si>
  <si>
    <t>11630040500003</t>
  </si>
  <si>
    <t>11640050500001</t>
  </si>
  <si>
    <t>11640050500002</t>
  </si>
  <si>
    <t>11640050500003</t>
  </si>
  <si>
    <t>11640050500004</t>
  </si>
  <si>
    <t>52660304505201</t>
  </si>
  <si>
    <t>52660305505201</t>
  </si>
  <si>
    <t>52660308505201</t>
  </si>
  <si>
    <t>52660310505201</t>
  </si>
  <si>
    <t>52660315505201</t>
  </si>
  <si>
    <t>72710001500001</t>
  </si>
  <si>
    <t>74710020700001</t>
  </si>
  <si>
    <t>11720001500001</t>
  </si>
  <si>
    <t>73720004700001</t>
  </si>
  <si>
    <t>73720006500001</t>
  </si>
  <si>
    <t>73720009500001</t>
  </si>
  <si>
    <t>76720090506101</t>
  </si>
  <si>
    <t>76720090506001</t>
  </si>
  <si>
    <t>76740010700001</t>
  </si>
  <si>
    <t>61820001500001</t>
  </si>
  <si>
    <t>61820002500002</t>
  </si>
  <si>
    <t>61820004500001</t>
  </si>
  <si>
    <t>61820006500001</t>
  </si>
  <si>
    <t>61820009500001</t>
  </si>
  <si>
    <t>61820011500001</t>
  </si>
  <si>
    <t>61820012500001</t>
  </si>
  <si>
    <t>61820013500001</t>
  </si>
  <si>
    <t>61820014500001</t>
  </si>
  <si>
    <t>61820016500001</t>
  </si>
  <si>
    <t>61820021500001</t>
  </si>
  <si>
    <t>61820022500002</t>
  </si>
  <si>
    <t>61820024500001</t>
  </si>
  <si>
    <t>61820026500001</t>
  </si>
  <si>
    <t>61820027500001</t>
  </si>
  <si>
    <t>61820030500003</t>
  </si>
  <si>
    <t>61820031500001</t>
  </si>
  <si>
    <t>61820033500003</t>
  </si>
  <si>
    <t>61820034500001</t>
  </si>
  <si>
    <t>61820038500003</t>
  </si>
  <si>
    <t>61820039500001</t>
  </si>
  <si>
    <t>61820041500001</t>
  </si>
  <si>
    <t>61820043500001</t>
  </si>
  <si>
    <t>61820044500001</t>
  </si>
  <si>
    <t>61820045500003</t>
  </si>
  <si>
    <t>61820046500003</t>
  </si>
  <si>
    <t>61820047500002</t>
  </si>
  <si>
    <t>61820050500001</t>
  </si>
  <si>
    <t>61820053500001</t>
  </si>
  <si>
    <t>61820054500002</t>
  </si>
  <si>
    <t>61820055500002</t>
  </si>
  <si>
    <t>61820056500003</t>
  </si>
  <si>
    <t>61820057500001</t>
  </si>
  <si>
    <t>61820059500001</t>
  </si>
  <si>
    <t>61820062500002</t>
  </si>
  <si>
    <t>61820063500003</t>
  </si>
  <si>
    <t>61820065500001</t>
  </si>
  <si>
    <t>61820077500003</t>
  </si>
  <si>
    <t>61820078500001</t>
  </si>
  <si>
    <t>61820079500001</t>
  </si>
  <si>
    <t>40900010700001</t>
  </si>
  <si>
    <t>40900010500001</t>
  </si>
  <si>
    <t>40900011700001</t>
  </si>
  <si>
    <t>40900011500001</t>
  </si>
  <si>
    <t>40910010700001</t>
  </si>
  <si>
    <t>40910010500001</t>
  </si>
  <si>
    <t>40920500500001</t>
  </si>
  <si>
    <t>40920500700001</t>
  </si>
  <si>
    <t>40930010500001</t>
  </si>
  <si>
    <t>40930020500001</t>
  </si>
  <si>
    <t>40940010500001</t>
  </si>
  <si>
    <t>40960010500001</t>
  </si>
  <si>
    <t>11059000453501</t>
  </si>
  <si>
    <t>11059000453001</t>
  </si>
  <si>
    <t>11059000452001</t>
  </si>
  <si>
    <t>11059000454201</t>
  </si>
  <si>
    <t>11059000459901</t>
  </si>
  <si>
    <t>11059000429901</t>
  </si>
  <si>
    <t>11059000453601</t>
  </si>
  <si>
    <t>11059000450101</t>
  </si>
  <si>
    <t>11059000450001</t>
  </si>
  <si>
    <t>40060000475801</t>
  </si>
  <si>
    <t>40060000479901</t>
  </si>
  <si>
    <t>40060000474001</t>
  </si>
  <si>
    <t>40060000477101</t>
  </si>
  <si>
    <t>40060000474501</t>
  </si>
  <si>
    <t>40060000475701</t>
  </si>
  <si>
    <t>40060000477501</t>
  </si>
  <si>
    <t>40060000477001</t>
  </si>
  <si>
    <t>40060000475601</t>
  </si>
  <si>
    <t>73074000464001</t>
  </si>
  <si>
    <t>76074000414101</t>
  </si>
  <si>
    <t>73074000463601</t>
  </si>
  <si>
    <t>73074000464901</t>
  </si>
  <si>
    <t>76075000421701</t>
  </si>
  <si>
    <t>74075000460001</t>
  </si>
  <si>
    <t>76075000422901</t>
  </si>
  <si>
    <t>76075000424201</t>
  </si>
  <si>
    <t>76075000422801</t>
  </si>
  <si>
    <t>76075000421401</t>
  </si>
  <si>
    <t>72075000462001</t>
  </si>
  <si>
    <t xml:space="preserve"> 52-510085-5052-01</t>
  </si>
  <si>
    <t xml:space="preserve"> 11-510095-5000-01</t>
  </si>
  <si>
    <t>52510085505201</t>
  </si>
  <si>
    <t>11510095500001</t>
  </si>
  <si>
    <t>12-530010-5000-01</t>
  </si>
  <si>
    <t xml:space="preserve"> 12-110407-5000-03</t>
  </si>
  <si>
    <t>100602 Writing Center EP</t>
  </si>
  <si>
    <t>100602 Writing Center UV</t>
  </si>
  <si>
    <t>Manny</t>
  </si>
  <si>
    <t>Manny Ruiz</t>
  </si>
  <si>
    <t>THIS IS NOW COMBINED WITH 12510010</t>
  </si>
  <si>
    <t>Inst Planning</t>
  </si>
  <si>
    <t>&amp; Research</t>
  </si>
  <si>
    <t>510010 Instit Plan &amp; Res</t>
  </si>
  <si>
    <t>BU</t>
  </si>
  <si>
    <t>Reduction Budget Entry</t>
  </si>
  <si>
    <t>12310020</t>
  </si>
  <si>
    <t>12101203</t>
  </si>
  <si>
    <t>12310021</t>
  </si>
  <si>
    <t>12100603</t>
  </si>
  <si>
    <t>12101301</t>
  </si>
  <si>
    <t>12101401</t>
  </si>
  <si>
    <t>12101605</t>
  </si>
  <si>
    <t>12101606</t>
  </si>
  <si>
    <t>12101501</t>
  </si>
  <si>
    <t>12110201</t>
  </si>
  <si>
    <t>12110303</t>
  </si>
  <si>
    <t>12110403</t>
  </si>
  <si>
    <t>12101001</t>
  </si>
  <si>
    <t>12400015</t>
  </si>
  <si>
    <t>12101201</t>
  </si>
  <si>
    <t>12101202</t>
  </si>
  <si>
    <t>12400030</t>
  </si>
  <si>
    <t>12500084</t>
  </si>
  <si>
    <t>12110494</t>
  </si>
  <si>
    <t>12110496</t>
  </si>
  <si>
    <t>12510015</t>
  </si>
  <si>
    <t>12100606</t>
  </si>
  <si>
    <t>12510014</t>
  </si>
  <si>
    <t>3985</t>
  </si>
  <si>
    <t>12110407500003</t>
  </si>
  <si>
    <t>Budget Reduction</t>
  </si>
  <si>
    <t>SWTJC DRAFT OPERATING BUDGET FY 2014 SUMMARY</t>
  </si>
  <si>
    <t>REVISED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</si>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</sst>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#,##0.000"/>
    <numFmt numFmtId="166" formatCode="mm/dd/yy;@"/>
    <numFmt numFmtId="167" formatCode="_(&quot;$&quot;* #,##0.00_);_(&quot;$&quot;* \(#,##0.00\);_(&quot;$&quot;* &quot;-&quot;_);_(@_)"/>
    <numFmt numFmtId="168" formatCode="_(* #,##0.00_);_(* \(#,##0.00\);_(* &quot;-&quot;_);_(@_)"/>
    <numFmt numFmtId="169" formatCode="_(* #,##0_);_(* \(#,##0\);_(* &quot;-&quot;??_);_(@_)"/>
    <numFmt numFmtId="170" formatCode="&quot;$&quot;#,##0"/>
    <numFmt numFmtId="171" formatCode="##\-######\-####\-##"/>
    <numFmt numFmtId="172" formatCode="_(* #,##0.000_);_(* \(#,##0.000\);_(* &quot;-&quot;_);_(@_)"/>
  </numFmts>
  <fonts count="30" x14ac:knownFonts="1">
    <font>
      <sz val="12"/>
      <name val="Arial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7.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0"/>
      <name val="Cambria"/>
      <family val="1"/>
      <scheme val="major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9" fillId="8" borderId="0" applyNumberFormat="0" applyBorder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0" fontId="19" fillId="8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9" fillId="0" borderId="0"/>
    <xf numFmtId="0" fontId="19" fillId="8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520">
    <xf numFmtId="0" fontId="0" fillId="0" borderId="0" xfId="0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" fontId="5" fillId="0" borderId="0" xfId="0" applyNumberFormat="1" applyFont="1" applyAlignment="1"/>
    <xf numFmtId="0" fontId="7" fillId="0" borderId="0" xfId="0" applyNumberFormat="1" applyFont="1" applyAlignment="1"/>
    <xf numFmtId="3" fontId="7" fillId="0" borderId="2" xfId="0" applyNumberFormat="1" applyFont="1" applyBorder="1"/>
    <xf numFmtId="3" fontId="7" fillId="0" borderId="0" xfId="0" applyNumberFormat="1" applyFont="1"/>
    <xf numFmtId="0" fontId="5" fillId="0" borderId="0" xfId="0" applyNumberFormat="1" applyFont="1" applyAlignment="1"/>
    <xf numFmtId="2" fontId="5" fillId="0" borderId="0" xfId="0" applyNumberFormat="1" applyFont="1" applyAlignment="1"/>
    <xf numFmtId="0" fontId="7" fillId="0" borderId="0" xfId="0" applyNumberFormat="1" applyFont="1"/>
    <xf numFmtId="3" fontId="5" fillId="0" borderId="1" xfId="0" applyNumberFormat="1" applyFont="1" applyBorder="1" applyAlignment="1" applyProtection="1">
      <protection locked="0"/>
    </xf>
    <xf numFmtId="3" fontId="7" fillId="0" borderId="1" xfId="0" applyNumberFormat="1" applyFont="1" applyBorder="1"/>
    <xf numFmtId="3" fontId="5" fillId="0" borderId="0" xfId="0" applyNumberFormat="1" applyFont="1" applyAlignment="1">
      <alignment horizontal="left"/>
    </xf>
    <xf numFmtId="164" fontId="7" fillId="0" borderId="0" xfId="0" applyNumberFormat="1" applyFont="1" applyAlignment="1"/>
    <xf numFmtId="4" fontId="7" fillId="0" borderId="0" xfId="0" applyNumberFormat="1" applyFont="1" applyAlignment="1"/>
    <xf numFmtId="164" fontId="7" fillId="0" borderId="0" xfId="0" applyNumberFormat="1" applyFont="1" applyBorder="1" applyAlignment="1"/>
    <xf numFmtId="3" fontId="5" fillId="0" borderId="0" xfId="0" applyNumberFormat="1" applyFont="1" applyBorder="1" applyAlignment="1">
      <alignment horizontal="center"/>
    </xf>
    <xf numFmtId="41" fontId="7" fillId="0" borderId="0" xfId="0" applyNumberFormat="1" applyFont="1"/>
    <xf numFmtId="41" fontId="7" fillId="0" borderId="0" xfId="0" applyNumberFormat="1" applyFont="1" applyAlignment="1"/>
    <xf numFmtId="41" fontId="5" fillId="0" borderId="0" xfId="0" applyNumberFormat="1" applyFont="1" applyAlignment="1"/>
    <xf numFmtId="3" fontId="5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center"/>
    </xf>
    <xf numFmtId="4" fontId="5" fillId="0" borderId="0" xfId="0" applyNumberFormat="1" applyFont="1"/>
    <xf numFmtId="3" fontId="5" fillId="0" borderId="0" xfId="0" applyNumberFormat="1" applyFont="1" applyFill="1" applyAlignment="1"/>
    <xf numFmtId="4" fontId="5" fillId="0" borderId="0" xfId="0" applyNumberFormat="1" applyFont="1" applyFill="1" applyAlignment="1"/>
    <xf numFmtId="0" fontId="8" fillId="0" borderId="0" xfId="0" applyFont="1"/>
    <xf numFmtId="0" fontId="8" fillId="0" borderId="0" xfId="0" applyFont="1" applyAlignment="1">
      <alignment horizontal="right"/>
    </xf>
    <xf numFmtId="43" fontId="7" fillId="0" borderId="0" xfId="0" applyNumberFormat="1" applyFont="1" applyAlignment="1"/>
    <xf numFmtId="3" fontId="7" fillId="0" borderId="0" xfId="0" applyNumberFormat="1" applyFont="1" applyAlignment="1"/>
    <xf numFmtId="41" fontId="7" fillId="0" borderId="0" xfId="0" applyNumberFormat="1" applyFont="1" applyFill="1" applyAlignment="1"/>
    <xf numFmtId="41" fontId="7" fillId="0" borderId="0" xfId="0" applyNumberFormat="1" applyFont="1" applyFill="1"/>
    <xf numFmtId="0" fontId="5" fillId="0" borderId="0" xfId="0" applyNumberFormat="1" applyFont="1" applyFill="1" applyAlignment="1"/>
    <xf numFmtId="0" fontId="7" fillId="0" borderId="0" xfId="0" applyNumberFormat="1" applyFont="1" applyFill="1" applyAlignment="1"/>
    <xf numFmtId="3" fontId="7" fillId="0" borderId="0" xfId="0" applyNumberFormat="1" applyFont="1" applyFill="1" applyProtection="1">
      <protection locked="0"/>
    </xf>
    <xf numFmtId="10" fontId="7" fillId="0" borderId="0" xfId="0" applyNumberFormat="1" applyFont="1" applyAlignment="1"/>
    <xf numFmtId="1" fontId="8" fillId="0" borderId="0" xfId="0" applyNumberFormat="1" applyFont="1"/>
    <xf numFmtId="166" fontId="8" fillId="0" borderId="0" xfId="0" applyNumberFormat="1" applyFont="1"/>
    <xf numFmtId="4" fontId="7" fillId="0" borderId="0" xfId="0" applyNumberFormat="1" applyFont="1" applyFill="1"/>
    <xf numFmtId="0" fontId="0" fillId="0" borderId="0" xfId="0" applyBorder="1"/>
    <xf numFmtId="10" fontId="0" fillId="0" borderId="0" xfId="0" applyNumberFormat="1"/>
    <xf numFmtId="0" fontId="12" fillId="0" borderId="0" xfId="0" applyFont="1"/>
    <xf numFmtId="0" fontId="8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4" fontId="12" fillId="0" borderId="0" xfId="3" applyNumberFormat="1" applyFont="1" applyBorder="1" applyAlignment="1" applyProtection="1"/>
    <xf numFmtId="4" fontId="5" fillId="6" borderId="7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3" fontId="5" fillId="6" borderId="10" xfId="0" applyNumberFormat="1" applyFont="1" applyFill="1" applyBorder="1" applyAlignment="1">
      <alignment horizontal="center"/>
    </xf>
    <xf numFmtId="4" fontId="5" fillId="6" borderId="11" xfId="0" applyNumberFormat="1" applyFont="1" applyFill="1" applyBorder="1" applyAlignment="1">
      <alignment horizontal="center"/>
    </xf>
    <xf numFmtId="4" fontId="5" fillId="6" borderId="3" xfId="0" applyNumberFormat="1" applyFont="1" applyFill="1" applyBorder="1" applyAlignment="1">
      <alignment horizontal="center"/>
    </xf>
    <xf numFmtId="0" fontId="5" fillId="6" borderId="9" xfId="0" quotePrefix="1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/>
    </xf>
    <xf numFmtId="4" fontId="8" fillId="0" borderId="0" xfId="0" applyNumberFormat="1" applyFont="1" applyBorder="1"/>
    <xf numFmtId="0" fontId="13" fillId="0" borderId="0" xfId="0" applyNumberFormat="1" applyFont="1" applyFill="1" applyAlignment="1"/>
    <xf numFmtId="3" fontId="13" fillId="0" borderId="0" xfId="0" applyNumberFormat="1" applyFont="1" applyFill="1" applyAlignment="1"/>
    <xf numFmtId="0" fontId="10" fillId="0" borderId="0" xfId="0" applyNumberFormat="1" applyFont="1" applyAlignment="1"/>
    <xf numFmtId="3" fontId="5" fillId="0" borderId="0" xfId="0" applyNumberFormat="1" applyFont="1" applyFill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41" fontId="0" fillId="0" borderId="0" xfId="0" applyNumberFormat="1"/>
    <xf numFmtId="41" fontId="0" fillId="0" borderId="0" xfId="0" applyNumberFormat="1" applyBorder="1"/>
    <xf numFmtId="37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left" indent="2"/>
    </xf>
    <xf numFmtId="41" fontId="13" fillId="0" borderId="0" xfId="0" applyNumberFormat="1" applyFont="1" applyAlignment="1">
      <alignment horizontal="center"/>
    </xf>
    <xf numFmtId="41" fontId="7" fillId="0" borderId="0" xfId="0" applyNumberFormat="1" applyFont="1" applyFill="1" applyProtection="1">
      <protection locked="0"/>
    </xf>
    <xf numFmtId="41" fontId="5" fillId="0" borderId="0" xfId="0" applyNumberFormat="1" applyFont="1" applyFill="1" applyAlignment="1" applyProtection="1">
      <protection locked="0"/>
    </xf>
    <xf numFmtId="41" fontId="7" fillId="0" borderId="0" xfId="0" applyNumberFormat="1" applyFont="1" applyBorder="1"/>
    <xf numFmtId="42" fontId="5" fillId="0" borderId="0" xfId="0" applyNumberFormat="1" applyFont="1" applyAlignment="1" applyProtection="1">
      <protection locked="0"/>
    </xf>
    <xf numFmtId="42" fontId="5" fillId="0" borderId="0" xfId="0" applyNumberFormat="1" applyFont="1" applyAlignment="1"/>
    <xf numFmtId="42" fontId="7" fillId="0" borderId="0" xfId="0" applyNumberFormat="1" applyFont="1"/>
    <xf numFmtId="0" fontId="16" fillId="0" borderId="0" xfId="0" applyFont="1" applyBorder="1" applyAlignment="1">
      <alignment horizontal="center"/>
    </xf>
    <xf numFmtId="0" fontId="8" fillId="0" borderId="0" xfId="0" applyNumberFormat="1" applyFont="1" applyFill="1"/>
    <xf numFmtId="0" fontId="8" fillId="0" borderId="0" xfId="0" applyNumberFormat="1" applyFont="1"/>
    <xf numFmtId="0" fontId="8" fillId="0" borderId="0" xfId="0" applyNumberFormat="1" applyFont="1" applyBorder="1"/>
    <xf numFmtId="3" fontId="0" fillId="0" borderId="0" xfId="0" applyNumberFormat="1" applyAlignment="1"/>
    <xf numFmtId="0" fontId="5" fillId="7" borderId="9" xfId="0" applyNumberFormat="1" applyFont="1" applyFill="1" applyBorder="1" applyAlignment="1">
      <alignment horizontal="center"/>
    </xf>
    <xf numFmtId="3" fontId="0" fillId="7" borderId="10" xfId="0" applyNumberFormat="1" applyFill="1" applyBorder="1" applyAlignment="1">
      <alignment horizontal="center"/>
    </xf>
    <xf numFmtId="3" fontId="0" fillId="0" borderId="0" xfId="0" applyNumberFormat="1" applyFill="1" applyAlignment="1"/>
    <xf numFmtId="0" fontId="0" fillId="0" borderId="0" xfId="0" applyNumberFormat="1" applyAlignment="1"/>
    <xf numFmtId="43" fontId="7" fillId="0" borderId="0" xfId="2" applyFont="1" applyFill="1" applyAlignment="1"/>
    <xf numFmtId="43" fontId="7" fillId="0" borderId="0" xfId="2" applyFont="1" applyFill="1"/>
    <xf numFmtId="4" fontId="12" fillId="0" borderId="0" xfId="3" applyNumberFormat="1" applyFont="1" applyAlignment="1" applyProtection="1"/>
    <xf numFmtId="4" fontId="12" fillId="0" borderId="0" xfId="3" quotePrefix="1" applyNumberFormat="1" applyFont="1" applyAlignment="1" applyProtection="1"/>
    <xf numFmtId="4" fontId="0" fillId="0" borderId="0" xfId="0" applyNumberFormat="1"/>
    <xf numFmtId="0" fontId="12" fillId="0" borderId="0" xfId="0" applyFont="1" applyBorder="1"/>
    <xf numFmtId="4" fontId="12" fillId="0" borderId="0" xfId="3" applyNumberFormat="1" applyFont="1" applyFill="1" applyAlignment="1" applyProtection="1"/>
    <xf numFmtId="3" fontId="10" fillId="0" borderId="0" xfId="0" applyNumberFormat="1" applyFont="1" applyFill="1" applyAlignment="1"/>
    <xf numFmtId="4" fontId="7" fillId="0" borderId="0" xfId="0" applyNumberFormat="1" applyFont="1" applyFill="1" applyAlignment="1"/>
    <xf numFmtId="43" fontId="7" fillId="0" borderId="0" xfId="0" applyNumberFormat="1" applyFont="1" applyFill="1" applyAlignment="1"/>
    <xf numFmtId="3" fontId="0" fillId="0" borderId="0" xfId="0" applyNumberFormat="1" applyFill="1" applyAlignment="1">
      <alignment horizontal="left" indent="1"/>
    </xf>
    <xf numFmtId="43" fontId="8" fillId="0" borderId="5" xfId="0" applyNumberFormat="1" applyFont="1" applyBorder="1"/>
    <xf numFmtId="167" fontId="0" fillId="0" borderId="0" xfId="0" applyNumberFormat="1"/>
    <xf numFmtId="167" fontId="0" fillId="0" borderId="5" xfId="0" applyNumberFormat="1" applyBorder="1"/>
    <xf numFmtId="167" fontId="0" fillId="0" borderId="0" xfId="0" applyNumberFormat="1" applyBorder="1"/>
    <xf numFmtId="43" fontId="0" fillId="0" borderId="0" xfId="2" applyFont="1"/>
    <xf numFmtId="43" fontId="0" fillId="0" borderId="3" xfId="2" applyFont="1" applyBorder="1"/>
    <xf numFmtId="168" fontId="0" fillId="0" borderId="0" xfId="0" applyNumberFormat="1"/>
    <xf numFmtId="168" fontId="0" fillId="0" borderId="3" xfId="0" applyNumberFormat="1" applyBorder="1"/>
    <xf numFmtId="168" fontId="0" fillId="0" borderId="5" xfId="0" applyNumberFormat="1" applyBorder="1"/>
    <xf numFmtId="168" fontId="0" fillId="0" borderId="0" xfId="0" applyNumberFormat="1" applyBorder="1"/>
    <xf numFmtId="0" fontId="10" fillId="0" borderId="0" xfId="0" applyFont="1"/>
    <xf numFmtId="43" fontId="8" fillId="0" borderId="0" xfId="0" applyNumberFormat="1" applyFont="1"/>
    <xf numFmtId="169" fontId="7" fillId="0" borderId="0" xfId="0" applyNumberFormat="1" applyFont="1" applyAlignment="1"/>
    <xf numFmtId="168" fontId="7" fillId="0" borderId="0" xfId="0" applyNumberFormat="1" applyFont="1" applyAlignment="1"/>
    <xf numFmtId="3" fontId="18" fillId="0" borderId="0" xfId="0" applyNumberFormat="1" applyFont="1" applyFill="1" applyAlignment="1"/>
    <xf numFmtId="4" fontId="12" fillId="0" borderId="0" xfId="3" applyNumberFormat="1" applyFont="1" applyAlignment="1" applyProtection="1">
      <protection locked="0"/>
    </xf>
    <xf numFmtId="0" fontId="20" fillId="0" borderId="0" xfId="0" applyFont="1"/>
    <xf numFmtId="43" fontId="20" fillId="0" borderId="0" xfId="0" applyNumberFormat="1" applyFont="1"/>
    <xf numFmtId="0" fontId="21" fillId="0" borderId="0" xfId="0" applyFont="1" applyFill="1"/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0" fillId="0" borderId="0" xfId="0" applyFont="1" applyAlignment="1">
      <alignment vertical="center" textRotation="255"/>
    </xf>
    <xf numFmtId="43" fontId="20" fillId="0" borderId="3" xfId="0" applyNumberFormat="1" applyFont="1" applyBorder="1"/>
    <xf numFmtId="43" fontId="20" fillId="0" borderId="18" xfId="0" applyNumberFormat="1" applyFont="1" applyFill="1" applyBorder="1" applyAlignment="1" applyProtection="1"/>
    <xf numFmtId="0" fontId="22" fillId="0" borderId="0" xfId="0" applyFont="1" applyFill="1" applyAlignment="1">
      <alignment vertical="center" textRotation="255"/>
    </xf>
    <xf numFmtId="43" fontId="20" fillId="0" borderId="18" xfId="0" applyNumberFormat="1" applyFont="1" applyBorder="1"/>
    <xf numFmtId="43" fontId="20" fillId="0" borderId="4" xfId="0" applyNumberFormat="1" applyFont="1" applyBorder="1"/>
    <xf numFmtId="0" fontId="21" fillId="9" borderId="0" xfId="0" applyFont="1" applyFill="1" applyAlignment="1">
      <alignment horizontal="left"/>
    </xf>
    <xf numFmtId="0" fontId="20" fillId="9" borderId="0" xfId="0" applyFont="1" applyFill="1"/>
    <xf numFmtId="43" fontId="20" fillId="9" borderId="0" xfId="0" applyNumberFormat="1" applyFont="1" applyFill="1"/>
    <xf numFmtId="0" fontId="21" fillId="9" borderId="0" xfId="0" applyFont="1" applyFill="1"/>
    <xf numFmtId="10" fontId="20" fillId="0" borderId="0" xfId="4" applyNumberFormat="1" applyFont="1"/>
    <xf numFmtId="0" fontId="23" fillId="8" borderId="0" xfId="1" applyFont="1" applyAlignment="1">
      <alignment horizontal="center"/>
    </xf>
    <xf numFmtId="0" fontId="23" fillId="8" borderId="0" xfId="1" applyFont="1"/>
    <xf numFmtId="43" fontId="23" fillId="8" borderId="18" xfId="1" applyNumberFormat="1" applyFont="1" applyBorder="1"/>
    <xf numFmtId="43" fontId="23" fillId="8" borderId="0" xfId="1" applyNumberFormat="1" applyFont="1"/>
    <xf numFmtId="43" fontId="23" fillId="8" borderId="3" xfId="1" applyNumberFormat="1" applyFont="1" applyBorder="1"/>
    <xf numFmtId="10" fontId="23" fillId="8" borderId="0" xfId="1" applyNumberFormat="1" applyFont="1"/>
    <xf numFmtId="43" fontId="23" fillId="8" borderId="4" xfId="1" applyNumberFormat="1" applyFont="1" applyBorder="1"/>
    <xf numFmtId="0" fontId="22" fillId="0" borderId="0" xfId="0" applyFont="1"/>
    <xf numFmtId="43" fontId="8" fillId="0" borderId="0" xfId="2" applyFont="1" applyBorder="1"/>
    <xf numFmtId="43" fontId="8" fillId="0" borderId="0" xfId="0" applyNumberFormat="1" applyFont="1" applyFill="1"/>
    <xf numFmtId="41" fontId="0" fillId="0" borderId="0" xfId="0" applyNumberFormat="1" applyFill="1"/>
    <xf numFmtId="0" fontId="0" fillId="0" borderId="0" xfId="0" applyFill="1"/>
    <xf numFmtId="165" fontId="5" fillId="0" borderId="0" xfId="0" applyNumberFormat="1" applyFont="1" applyFill="1"/>
    <xf numFmtId="37" fontId="4" fillId="0" borderId="0" xfId="0" applyNumberFormat="1" applyFont="1" applyAlignment="1">
      <alignment horizontal="left"/>
    </xf>
    <xf numFmtId="0" fontId="5" fillId="0" borderId="0" xfId="0" applyFont="1"/>
    <xf numFmtId="170" fontId="0" fillId="0" borderId="0" xfId="0" applyNumberFormat="1"/>
    <xf numFmtId="170" fontId="0" fillId="0" borderId="4" xfId="0" applyNumberFormat="1" applyBorder="1"/>
    <xf numFmtId="3" fontId="0" fillId="0" borderId="3" xfId="0" applyNumberFormat="1" applyBorder="1"/>
    <xf numFmtId="3" fontId="0" fillId="0" borderId="0" xfId="0" applyNumberFormat="1"/>
    <xf numFmtId="0" fontId="8" fillId="12" borderId="0" xfId="0" applyFont="1" applyFill="1"/>
    <xf numFmtId="0" fontId="8" fillId="12" borderId="0" xfId="0" applyNumberFormat="1" applyFont="1" applyFill="1"/>
    <xf numFmtId="43" fontId="16" fillId="0" borderId="0" xfId="2" applyFont="1" applyBorder="1" applyAlignment="1">
      <alignment horizontal="center"/>
    </xf>
    <xf numFmtId="43" fontId="8" fillId="0" borderId="0" xfId="2" applyFont="1"/>
    <xf numFmtId="43" fontId="12" fillId="0" borderId="0" xfId="2" applyFont="1"/>
    <xf numFmtId="43" fontId="8" fillId="0" borderId="5" xfId="2" applyFont="1" applyBorder="1"/>
    <xf numFmtId="0" fontId="5" fillId="11" borderId="0" xfId="0" applyNumberFormat="1" applyFont="1" applyFill="1" applyAlignment="1">
      <alignment horizontal="center"/>
    </xf>
    <xf numFmtId="0" fontId="5" fillId="13" borderId="0" xfId="0" applyNumberFormat="1" applyFont="1" applyFill="1" applyAlignment="1">
      <alignment horizontal="center"/>
    </xf>
    <xf numFmtId="3" fontId="5" fillId="11" borderId="0" xfId="0" applyNumberFormat="1" applyFont="1" applyFill="1" applyAlignment="1">
      <alignment horizontal="center"/>
    </xf>
    <xf numFmtId="3" fontId="5" fillId="15" borderId="0" xfId="0" applyNumberFormat="1" applyFont="1" applyFill="1" applyAlignment="1">
      <alignment horizontal="center"/>
    </xf>
    <xf numFmtId="3" fontId="5" fillId="16" borderId="0" xfId="0" applyNumberFormat="1" applyFont="1" applyFill="1" applyAlignment="1">
      <alignment horizontal="center"/>
    </xf>
    <xf numFmtId="3" fontId="0" fillId="13" borderId="0" xfId="0" applyNumberFormat="1" applyFill="1" applyAlignment="1">
      <alignment horizontal="center"/>
    </xf>
    <xf numFmtId="3" fontId="5" fillId="13" borderId="0" xfId="0" applyNumberFormat="1" applyFont="1" applyFill="1" applyAlignment="1">
      <alignment horizontal="center"/>
    </xf>
    <xf numFmtId="4" fontId="5" fillId="15" borderId="0" xfId="0" applyNumberFormat="1" applyFont="1" applyFill="1" applyAlignment="1">
      <alignment horizontal="center"/>
    </xf>
    <xf numFmtId="4" fontId="0" fillId="13" borderId="0" xfId="0" applyNumberFormat="1" applyFill="1" applyAlignment="1">
      <alignment horizontal="center"/>
    </xf>
    <xf numFmtId="3" fontId="5" fillId="17" borderId="0" xfId="0" applyNumberFormat="1" applyFont="1" applyFill="1" applyAlignment="1">
      <alignment horizontal="center"/>
    </xf>
    <xf numFmtId="3" fontId="5" fillId="9" borderId="0" xfId="0" applyNumberFormat="1" applyFont="1" applyFill="1" applyAlignment="1">
      <alignment horizontal="center"/>
    </xf>
    <xf numFmtId="3" fontId="5" fillId="2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18" borderId="0" xfId="0" applyNumberFormat="1" applyFont="1" applyFill="1" applyAlignment="1">
      <alignment horizontal="center"/>
    </xf>
    <xf numFmtId="3" fontId="5" fillId="19" borderId="0" xfId="0" applyNumberFormat="1" applyFont="1" applyFill="1" applyAlignment="1">
      <alignment horizontal="center"/>
    </xf>
    <xf numFmtId="3" fontId="5" fillId="21" borderId="0" xfId="0" applyNumberFormat="1" applyFont="1" applyFill="1" applyAlignment="1">
      <alignment horizontal="center"/>
    </xf>
    <xf numFmtId="3" fontId="5" fillId="12" borderId="0" xfId="0" applyNumberFormat="1" applyFont="1" applyFill="1" applyAlignment="1">
      <alignment horizontal="center"/>
    </xf>
    <xf numFmtId="3" fontId="5" fillId="14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3" fontId="5" fillId="23" borderId="0" xfId="0" applyNumberFormat="1" applyFont="1" applyFill="1" applyAlignment="1">
      <alignment horizontal="center"/>
    </xf>
    <xf numFmtId="3" fontId="5" fillId="22" borderId="0" xfId="0" applyNumberFormat="1" applyFont="1" applyFill="1" applyAlignment="1">
      <alignment horizontal="center"/>
    </xf>
    <xf numFmtId="3" fontId="0" fillId="22" borderId="0" xfId="0" applyNumberFormat="1" applyFill="1" applyAlignment="1">
      <alignment horizontal="center"/>
    </xf>
    <xf numFmtId="0" fontId="5" fillId="11" borderId="0" xfId="0" applyNumberFormat="1" applyFont="1" applyFill="1" applyAlignment="1"/>
    <xf numFmtId="4" fontId="5" fillId="0" borderId="0" xfId="0" applyNumberFormat="1" applyFont="1" applyFill="1"/>
    <xf numFmtId="10" fontId="7" fillId="0" borderId="0" xfId="4" applyNumberFormat="1" applyFont="1" applyFill="1" applyAlignment="1"/>
    <xf numFmtId="43" fontId="7" fillId="0" borderId="0" xfId="2" applyFont="1" applyBorder="1" applyAlignment="1"/>
    <xf numFmtId="41" fontId="5" fillId="0" borderId="0" xfId="0" applyNumberFormat="1" applyFont="1" applyFill="1"/>
    <xf numFmtId="0" fontId="5" fillId="6" borderId="16" xfId="0" applyNumberFormat="1" applyFont="1" applyFill="1" applyBorder="1" applyAlignment="1"/>
    <xf numFmtId="0" fontId="0" fillId="0" borderId="0" xfId="0" applyAlignment="1">
      <alignment horizontal="center"/>
    </xf>
    <xf numFmtId="44" fontId="0" fillId="0" borderId="0" xfId="5" applyFont="1" applyAlignment="1">
      <alignment horizontal="center"/>
    </xf>
    <xf numFmtId="169" fontId="0" fillId="0" borderId="0" xfId="2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" fontId="5" fillId="0" borderId="0" xfId="0" applyNumberFormat="1" applyFont="1" applyBorder="1"/>
    <xf numFmtId="0" fontId="0" fillId="0" borderId="0" xfId="0" applyNumberFormat="1" applyFill="1" applyAlignment="1"/>
    <xf numFmtId="43" fontId="7" fillId="0" borderId="1" xfId="2" applyFont="1" applyFill="1" applyBorder="1"/>
    <xf numFmtId="3" fontId="7" fillId="0" borderId="1" xfId="0" applyNumberFormat="1" applyFont="1" applyFill="1" applyBorder="1"/>
    <xf numFmtId="3" fontId="7" fillId="0" borderId="0" xfId="0" applyNumberFormat="1" applyFont="1" applyFill="1" applyBorder="1"/>
    <xf numFmtId="3" fontId="13" fillId="0" borderId="0" xfId="0" applyNumberFormat="1" applyFont="1" applyFill="1"/>
    <xf numFmtId="3" fontId="7" fillId="0" borderId="0" xfId="0" applyNumberFormat="1" applyFont="1" applyFill="1"/>
    <xf numFmtId="0" fontId="10" fillId="0" borderId="0" xfId="0" applyNumberFormat="1" applyFont="1" applyFill="1" applyAlignment="1"/>
    <xf numFmtId="164" fontId="5" fillId="0" borderId="0" xfId="0" applyNumberFormat="1" applyFont="1" applyFill="1" applyAlignment="1"/>
    <xf numFmtId="3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/>
    <xf numFmtId="4" fontId="13" fillId="0" borderId="0" xfId="0" applyNumberFormat="1" applyFont="1" applyFill="1"/>
    <xf numFmtId="41" fontId="10" fillId="0" borderId="0" xfId="0" applyNumberFormat="1" applyFont="1" applyFill="1" applyAlignment="1"/>
    <xf numFmtId="43" fontId="10" fillId="0" borderId="0" xfId="2" applyFont="1" applyFill="1" applyAlignment="1"/>
    <xf numFmtId="43" fontId="10" fillId="0" borderId="0" xfId="2" applyFont="1" applyFill="1"/>
    <xf numFmtId="41" fontId="10" fillId="0" borderId="0" xfId="0" applyNumberFormat="1" applyFont="1" applyFill="1"/>
    <xf numFmtId="10" fontId="10" fillId="0" borderId="0" xfId="4" applyNumberFormat="1" applyFont="1" applyFill="1" applyAlignment="1"/>
    <xf numFmtId="43" fontId="7" fillId="0" borderId="4" xfId="2" applyFont="1" applyFill="1" applyBorder="1"/>
    <xf numFmtId="41" fontId="7" fillId="0" borderId="4" xfId="0" applyNumberFormat="1" applyFont="1" applyFill="1" applyBorder="1"/>
    <xf numFmtId="4" fontId="5" fillId="24" borderId="0" xfId="0" applyNumberFormat="1" applyFont="1" applyFill="1" applyAlignment="1"/>
    <xf numFmtId="0" fontId="5" fillId="25" borderId="0" xfId="0" applyNumberFormat="1" applyFont="1" applyFill="1" applyAlignment="1"/>
    <xf numFmtId="0" fontId="5" fillId="12" borderId="0" xfId="0" applyFont="1" applyFill="1" applyAlignment="1"/>
    <xf numFmtId="0" fontId="5" fillId="15" borderId="0" xfId="0" applyNumberFormat="1" applyFont="1" applyFill="1" applyAlignment="1">
      <alignment horizontal="center"/>
    </xf>
    <xf numFmtId="0" fontId="5" fillId="18" borderId="0" xfId="0" applyNumberFormat="1" applyFont="1" applyFill="1" applyAlignment="1">
      <alignment horizontal="center"/>
    </xf>
    <xf numFmtId="4" fontId="5" fillId="12" borderId="4" xfId="0" applyNumberFormat="1" applyFont="1" applyFill="1" applyBorder="1"/>
    <xf numFmtId="0" fontId="5" fillId="21" borderId="0" xfId="0" applyNumberFormat="1" applyFont="1" applyFill="1" applyAlignment="1">
      <alignment horizontal="center"/>
    </xf>
    <xf numFmtId="4" fontId="5" fillId="0" borderId="0" xfId="0" applyNumberFormat="1" applyFont="1" applyFill="1" applyBorder="1"/>
    <xf numFmtId="3" fontId="5" fillId="26" borderId="0" xfId="0" applyNumberFormat="1" applyFont="1" applyFill="1" applyAlignment="1"/>
    <xf numFmtId="4" fontId="5" fillId="26" borderId="0" xfId="0" applyNumberFormat="1" applyFont="1" applyFill="1" applyAlignment="1"/>
    <xf numFmtId="3" fontId="0" fillId="26" borderId="0" xfId="0" applyNumberFormat="1" applyFill="1" applyAlignment="1"/>
    <xf numFmtId="43" fontId="7" fillId="0" borderId="0" xfId="4" applyNumberFormat="1" applyFont="1" applyFill="1" applyAlignment="1"/>
    <xf numFmtId="44" fontId="7" fillId="0" borderId="0" xfId="5" applyFont="1" applyFill="1" applyAlignment="1"/>
    <xf numFmtId="0" fontId="5" fillId="6" borderId="12" xfId="0" applyNumberFormat="1" applyFont="1" applyFill="1" applyBorder="1" applyAlignment="1">
      <alignment horizontal="center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3" fontId="5" fillId="6" borderId="0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6" borderId="14" xfId="0" applyNumberFormat="1" applyFont="1" applyFill="1" applyBorder="1" applyAlignment="1"/>
    <xf numFmtId="0" fontId="5" fillId="23" borderId="0" xfId="0" applyNumberFormat="1" applyFont="1" applyFill="1" applyAlignment="1">
      <alignment horizontal="center"/>
    </xf>
    <xf numFmtId="0" fontId="5" fillId="14" borderId="0" xfId="0" applyNumberFormat="1" applyFont="1" applyFill="1" applyAlignment="1">
      <alignment horizontal="center"/>
    </xf>
    <xf numFmtId="0" fontId="5" fillId="12" borderId="0" xfId="0" applyNumberFormat="1" applyFont="1" applyFill="1" applyAlignment="1">
      <alignment horizontal="center"/>
    </xf>
    <xf numFmtId="0" fontId="5" fillId="6" borderId="7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/>
    </xf>
    <xf numFmtId="4" fontId="5" fillId="6" borderId="8" xfId="0" applyNumberFormat="1" applyFont="1" applyFill="1" applyBorder="1" applyAlignment="1">
      <alignment horizontal="center"/>
    </xf>
    <xf numFmtId="4" fontId="5" fillId="7" borderId="11" xfId="0" applyNumberFormat="1" applyFont="1" applyFill="1" applyBorder="1" applyAlignment="1">
      <alignment horizontal="center"/>
    </xf>
    <xf numFmtId="0" fontId="5" fillId="19" borderId="0" xfId="0" applyNumberFormat="1" applyFont="1" applyFill="1" applyAlignment="1">
      <alignment horizontal="center"/>
    </xf>
    <xf numFmtId="0" fontId="5" fillId="22" borderId="0" xfId="0" applyNumberFormat="1" applyFont="1" applyFill="1" applyAlignment="1">
      <alignment horizontal="center"/>
    </xf>
    <xf numFmtId="0" fontId="5" fillId="16" borderId="0" xfId="0" applyNumberFormat="1" applyFont="1" applyFill="1" applyAlignment="1">
      <alignment horizontal="center"/>
    </xf>
    <xf numFmtId="4" fontId="5" fillId="24" borderId="0" xfId="0" applyNumberFormat="1" applyFont="1" applyFill="1" applyBorder="1"/>
    <xf numFmtId="4" fontId="5" fillId="25" borderId="0" xfId="0" applyNumberFormat="1" applyFont="1" applyFill="1" applyBorder="1"/>
    <xf numFmtId="0" fontId="5" fillId="26" borderId="0" xfId="0" applyNumberFormat="1" applyFont="1" applyFill="1" applyAlignment="1"/>
    <xf numFmtId="4" fontId="5" fillId="0" borderId="3" xfId="0" applyNumberFormat="1" applyFont="1" applyFill="1" applyBorder="1"/>
    <xf numFmtId="0" fontId="5" fillId="10" borderId="0" xfId="0" applyNumberFormat="1" applyFont="1" applyFill="1" applyBorder="1" applyAlignment="1"/>
    <xf numFmtId="0" fontId="0" fillId="0" borderId="0" xfId="0" applyNumberFormat="1" applyFill="1" applyAlignment="1">
      <alignment horizontal="center"/>
    </xf>
    <xf numFmtId="4" fontId="5" fillId="11" borderId="0" xfId="0" applyNumberFormat="1" applyFont="1" applyFill="1" applyAlignment="1"/>
    <xf numFmtId="4" fontId="5" fillId="11" borderId="0" xfId="0" applyNumberFormat="1" applyFont="1" applyFill="1"/>
    <xf numFmtId="4" fontId="5" fillId="0" borderId="4" xfId="0" applyNumberFormat="1" applyFont="1" applyFill="1" applyBorder="1"/>
    <xf numFmtId="43" fontId="5" fillId="0" borderId="0" xfId="0" applyNumberFormat="1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10" fontId="5" fillId="0" borderId="0" xfId="4" applyNumberFormat="1" applyFont="1" applyAlignment="1"/>
    <xf numFmtId="43" fontId="5" fillId="0" borderId="0" xfId="0" applyNumberFormat="1" applyFont="1" applyAlignment="1"/>
    <xf numFmtId="0" fontId="5" fillId="12" borderId="0" xfId="0" applyFont="1" applyFill="1" applyAlignment="1">
      <alignment horizontal="center"/>
    </xf>
    <xf numFmtId="4" fontId="5" fillId="12" borderId="0" xfId="0" applyNumberFormat="1" applyFont="1" applyFill="1" applyAlignment="1"/>
    <xf numFmtId="0" fontId="5" fillId="12" borderId="0" xfId="0" applyNumberFormat="1" applyFont="1" applyFill="1" applyAlignment="1"/>
    <xf numFmtId="43" fontId="5" fillId="0" borderId="0" xfId="0" applyNumberFormat="1" applyFont="1"/>
    <xf numFmtId="42" fontId="7" fillId="0" borderId="0" xfId="0" applyNumberFormat="1" applyFont="1" applyFill="1" applyProtection="1">
      <protection locked="0"/>
    </xf>
    <xf numFmtId="41" fontId="5" fillId="0" borderId="0" xfId="0" applyNumberFormat="1" applyFont="1" applyFill="1" applyProtection="1">
      <protection locked="0"/>
    </xf>
    <xf numFmtId="41" fontId="7" fillId="0" borderId="0" xfId="0" applyNumberFormat="1" applyFont="1" applyFill="1" applyBorder="1"/>
    <xf numFmtId="41" fontId="9" fillId="0" borderId="0" xfId="0" applyNumberFormat="1" applyFont="1" applyFill="1" applyAlignment="1" applyProtection="1">
      <protection locked="0"/>
    </xf>
    <xf numFmtId="3" fontId="5" fillId="0" borderId="0" xfId="0" applyNumberFormat="1" applyFont="1" applyFill="1" applyAlignment="1"/>
    <xf numFmtId="4" fontId="5" fillId="0" borderId="0" xfId="0" applyNumberFormat="1" applyFont="1" applyFill="1" applyAlignment="1"/>
    <xf numFmtId="164" fontId="5" fillId="0" borderId="0" xfId="0" applyNumberFormat="1" applyFont="1" applyFill="1" applyAlignment="1"/>
    <xf numFmtId="41" fontId="5" fillId="0" borderId="0" xfId="0" applyNumberFormat="1" applyFont="1" applyFill="1" applyAlignment="1"/>
    <xf numFmtId="0" fontId="5" fillId="0" borderId="0" xfId="0" applyNumberFormat="1" applyFont="1" applyFill="1" applyAlignment="1"/>
    <xf numFmtId="4" fontId="5" fillId="0" borderId="0" xfId="0" applyNumberFormat="1" applyFont="1" applyFill="1"/>
    <xf numFmtId="3" fontId="0" fillId="0" borderId="0" xfId="0" applyNumberFormat="1" applyFill="1" applyAlignment="1"/>
    <xf numFmtId="43" fontId="5" fillId="0" borderId="0" xfId="2" applyFont="1" applyFill="1"/>
    <xf numFmtId="43" fontId="5" fillId="0" borderId="0" xfId="2" applyFont="1" applyFill="1" applyAlignment="1"/>
    <xf numFmtId="43" fontId="5" fillId="0" borderId="0" xfId="2" applyFont="1" applyFill="1" applyAlignment="1" applyProtection="1"/>
    <xf numFmtId="0" fontId="17" fillId="0" borderId="0" xfId="0" applyNumberFormat="1" applyFont="1" applyFill="1" applyAlignment="1"/>
    <xf numFmtId="10" fontId="5" fillId="0" borderId="0" xfId="4" applyNumberFormat="1" applyFont="1" applyFill="1" applyAlignment="1"/>
    <xf numFmtId="0" fontId="0" fillId="0" borderId="0" xfId="0" applyNumberFormat="1" applyFill="1" applyAlignment="1"/>
    <xf numFmtId="43" fontId="0" fillId="0" borderId="0" xfId="2" applyFont="1" applyFill="1" applyAlignment="1">
      <alignment horizontal="centerContinuous"/>
    </xf>
    <xf numFmtId="43" fontId="5" fillId="0" borderId="0" xfId="2" applyFont="1" applyFill="1" applyAlignment="1">
      <alignment horizontal="centerContinuous"/>
    </xf>
    <xf numFmtId="3" fontId="5" fillId="0" borderId="0" xfId="0" applyNumberFormat="1" applyFont="1" applyFill="1" applyAlignment="1">
      <alignment horizontal="centerContinuous"/>
    </xf>
    <xf numFmtId="3" fontId="5" fillId="0" borderId="3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3" fontId="5" fillId="0" borderId="0" xfId="0" quotePrefix="1" applyNumberFormat="1" applyFont="1" applyFill="1" applyAlignment="1"/>
    <xf numFmtId="3" fontId="5" fillId="0" borderId="0" xfId="0" applyNumberFormat="1" applyFont="1" applyFill="1" applyAlignment="1">
      <alignment horizontal="left"/>
    </xf>
    <xf numFmtId="43" fontId="5" fillId="0" borderId="4" xfId="2" applyFont="1" applyFill="1" applyBorder="1"/>
    <xf numFmtId="43" fontId="4" fillId="0" borderId="19" xfId="2" applyFont="1" applyFill="1" applyBorder="1" applyAlignment="1"/>
    <xf numFmtId="3" fontId="5" fillId="27" borderId="0" xfId="0" applyNumberFormat="1" applyFont="1" applyFill="1" applyAlignment="1"/>
    <xf numFmtId="3" fontId="5" fillId="26" borderId="0" xfId="0" applyNumberFormat="1" applyFont="1" applyFill="1" applyAlignment="1">
      <alignment horizontal="center"/>
    </xf>
    <xf numFmtId="4" fontId="5" fillId="11" borderId="0" xfId="0" applyNumberFormat="1" applyFont="1" applyFill="1" applyBorder="1"/>
    <xf numFmtId="172" fontId="7" fillId="0" borderId="0" xfId="0" applyNumberFormat="1" applyFont="1" applyAlignment="1"/>
    <xf numFmtId="4" fontId="0" fillId="0" borderId="0" xfId="0" applyNumberFormat="1" applyBorder="1"/>
    <xf numFmtId="0" fontId="5" fillId="6" borderId="12" xfId="0" applyNumberFormat="1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0" fontId="5" fillId="18" borderId="9" xfId="0" applyNumberFormat="1" applyFont="1" applyFill="1" applyBorder="1" applyAlignment="1">
      <alignment horizontal="center"/>
    </xf>
    <xf numFmtId="3" fontId="5" fillId="18" borderId="10" xfId="0" applyNumberFormat="1" applyFont="1" applyFill="1" applyBorder="1" applyAlignment="1">
      <alignment horizontal="center"/>
    </xf>
    <xf numFmtId="4" fontId="5" fillId="18" borderId="11" xfId="0" applyNumberFormat="1" applyFont="1" applyFill="1" applyBorder="1" applyAlignment="1">
      <alignment horizontal="center"/>
    </xf>
    <xf numFmtId="4" fontId="5" fillId="18" borderId="0" xfId="0" applyNumberFormat="1" applyFont="1" applyFill="1" applyAlignment="1"/>
    <xf numFmtId="4" fontId="5" fillId="18" borderId="0" xfId="0" applyNumberFormat="1" applyFont="1" applyFill="1"/>
    <xf numFmtId="3" fontId="0" fillId="18" borderId="0" xfId="0" applyNumberFormat="1" applyFill="1" applyAlignment="1"/>
    <xf numFmtId="0" fontId="5" fillId="18" borderId="0" xfId="0" applyNumberFormat="1" applyFont="1" applyFill="1" applyAlignment="1"/>
    <xf numFmtId="3" fontId="5" fillId="18" borderId="0" xfId="0" applyNumberFormat="1" applyFont="1" applyFill="1" applyAlignment="1"/>
    <xf numFmtId="0" fontId="5" fillId="0" borderId="0" xfId="8"/>
    <xf numFmtId="0" fontId="14" fillId="0" borderId="6" xfId="8" applyFont="1" applyBorder="1" applyAlignment="1">
      <alignment horizontal="center"/>
    </xf>
    <xf numFmtId="0" fontId="14" fillId="0" borderId="0" xfId="8" applyFont="1" applyBorder="1" applyAlignment="1">
      <alignment horizontal="right"/>
    </xf>
    <xf numFmtId="0" fontId="16" fillId="0" borderId="0" xfId="8" applyFont="1" applyBorder="1" applyAlignment="1">
      <alignment horizontal="right"/>
    </xf>
    <xf numFmtId="0" fontId="8" fillId="2" borderId="0" xfId="8" applyFont="1" applyFill="1" applyAlignment="1">
      <alignment horizontal="right"/>
    </xf>
    <xf numFmtId="0" fontId="8" fillId="3" borderId="0" xfId="8" applyFont="1" applyFill="1" applyAlignment="1">
      <alignment horizontal="right"/>
    </xf>
    <xf numFmtId="0" fontId="8" fillId="4" borderId="0" xfId="8" applyFont="1" applyFill="1" applyAlignment="1">
      <alignment horizontal="right"/>
    </xf>
    <xf numFmtId="0" fontId="8" fillId="0" borderId="0" xfId="8" applyFont="1" applyBorder="1" applyAlignment="1">
      <alignment horizontal="right"/>
    </xf>
    <xf numFmtId="0" fontId="8" fillId="0" borderId="0" xfId="8" quotePrefix="1" applyFont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0" fontId="8" fillId="0" borderId="0" xfId="8" quotePrefix="1" applyFont="1" applyFill="1" applyAlignment="1">
      <alignment horizontal="center"/>
    </xf>
    <xf numFmtId="1" fontId="14" fillId="0" borderId="0" xfId="8" applyNumberFormat="1" applyFont="1" applyFill="1" applyBorder="1" applyAlignment="1">
      <alignment horizontal="center"/>
    </xf>
    <xf numFmtId="1" fontId="8" fillId="0" borderId="0" xfId="8" applyNumberFormat="1" applyFont="1" applyFill="1" applyAlignment="1">
      <alignment horizontal="center"/>
    </xf>
    <xf numFmtId="1" fontId="8" fillId="0" borderId="0" xfId="8" quotePrefix="1" applyNumberFormat="1" applyFont="1" applyFill="1" applyAlignment="1">
      <alignment horizontal="center"/>
    </xf>
    <xf numFmtId="1" fontId="8" fillId="0" borderId="0" xfId="8" quotePrefix="1" applyNumberFormat="1" applyFont="1" applyFill="1" applyBorder="1" applyAlignment="1">
      <alignment horizontal="center"/>
    </xf>
    <xf numFmtId="0" fontId="8" fillId="5" borderId="0" xfId="8" applyFont="1" applyFill="1" applyAlignment="1">
      <alignment horizontal="right"/>
    </xf>
    <xf numFmtId="0" fontId="8" fillId="0" borderId="0" xfId="8" applyFont="1" applyBorder="1" applyAlignment="1">
      <alignment horizontal="center"/>
    </xf>
    <xf numFmtId="0" fontId="5" fillId="0" borderId="0" xfId="8" applyBorder="1" applyAlignment="1">
      <alignment horizontal="center" vertical="center" wrapText="1"/>
    </xf>
    <xf numFmtId="0" fontId="14" fillId="0" borderId="6" xfId="8" applyFont="1" applyFill="1" applyBorder="1" applyAlignment="1">
      <alignment horizontal="center"/>
    </xf>
    <xf numFmtId="0" fontId="8" fillId="0" borderId="0" xfId="8" applyFont="1" applyFill="1" applyBorder="1" applyAlignment="1">
      <alignment horizontal="right"/>
    </xf>
    <xf numFmtId="0" fontId="8" fillId="0" borderId="0" xfId="8" quotePrefix="1" applyFont="1" applyFill="1" applyBorder="1" applyAlignment="1">
      <alignment horizontal="center"/>
    </xf>
    <xf numFmtId="3" fontId="8" fillId="0" borderId="0" xfId="8" applyNumberFormat="1" applyFont="1" applyFill="1" applyAlignment="1">
      <alignment horizontal="center"/>
    </xf>
    <xf numFmtId="10" fontId="0" fillId="0" borderId="0" xfId="4" applyNumberFormat="1" applyFont="1" applyBorder="1"/>
    <xf numFmtId="44" fontId="0" fillId="0" borderId="0" xfId="5" applyFont="1" applyBorder="1" applyAlignment="1">
      <alignment horizontal="center"/>
    </xf>
    <xf numFmtId="169" fontId="0" fillId="0" borderId="0" xfId="2" applyNumberFormat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7" fillId="0" borderId="0" xfId="0" applyNumberFormat="1" applyFont="1" applyBorder="1" applyAlignment="1"/>
    <xf numFmtId="3" fontId="8" fillId="0" borderId="0" xfId="0" applyNumberFormat="1" applyFont="1" applyFill="1"/>
    <xf numFmtId="39" fontId="8" fillId="0" borderId="0" xfId="0" applyNumberFormat="1" applyFont="1" applyFill="1"/>
    <xf numFmtId="39" fontId="8" fillId="12" borderId="0" xfId="0" applyNumberFormat="1" applyFont="1" applyFill="1"/>
    <xf numFmtId="39" fontId="8" fillId="0" borderId="0" xfId="0" applyNumberFormat="1" applyFont="1" applyFill="1" applyBorder="1"/>
    <xf numFmtId="39" fontId="8" fillId="0" borderId="0" xfId="2" applyNumberFormat="1" applyFont="1" applyBorder="1"/>
    <xf numFmtId="3" fontId="8" fillId="0" borderId="0" xfId="0" applyNumberFormat="1" applyFont="1" applyFill="1" applyAlignment="1">
      <alignment horizontal="right"/>
    </xf>
    <xf numFmtId="171" fontId="5" fillId="0" borderId="0" xfId="0" applyNumberFormat="1" applyFont="1"/>
    <xf numFmtId="39" fontId="8" fillId="0" borderId="0" xfId="0" applyNumberFormat="1" applyFont="1" applyFill="1" applyAlignment="1">
      <alignment horizontal="right"/>
    </xf>
    <xf numFmtId="1" fontId="8" fillId="0" borderId="0" xfId="0" applyNumberFormat="1" applyFont="1" applyAlignment="1">
      <alignment horizontal="right"/>
    </xf>
    <xf numFmtId="39" fontId="8" fillId="12" borderId="0" xfId="0" applyNumberFormat="1" applyFont="1" applyFill="1" applyAlignment="1">
      <alignment horizontal="right"/>
    </xf>
    <xf numFmtId="39" fontId="8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39" fontId="7" fillId="0" borderId="0" xfId="0" applyNumberFormat="1" applyFont="1" applyAlignment="1">
      <alignment horizontal="right"/>
    </xf>
    <xf numFmtId="1" fontId="8" fillId="0" borderId="0" xfId="8" applyNumberFormat="1" applyFont="1" applyFill="1" applyAlignment="1">
      <alignment horizontal="left"/>
    </xf>
    <xf numFmtId="4" fontId="12" fillId="0" borderId="0" xfId="3" applyNumberFormat="1" applyFont="1" applyFill="1" applyBorder="1" applyAlignment="1" applyProtection="1"/>
    <xf numFmtId="43" fontId="5" fillId="11" borderId="0" xfId="2" applyFont="1" applyFill="1"/>
    <xf numFmtId="40" fontId="5" fillId="0" borderId="0" xfId="0" applyNumberFormat="1" applyFont="1" applyAlignment="1"/>
    <xf numFmtId="0" fontId="8" fillId="0" borderId="0" xfId="8" applyNumberFormat="1" applyFont="1" applyFill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3" fontId="5" fillId="14" borderId="0" xfId="0" applyNumberFormat="1" applyFont="1" applyFill="1" applyAlignment="1"/>
    <xf numFmtId="0" fontId="5" fillId="28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3" fontId="4" fillId="0" borderId="0" xfId="0" applyNumberFormat="1" applyFont="1" applyFill="1" applyAlignment="1"/>
    <xf numFmtId="0" fontId="0" fillId="0" borderId="0" xfId="0"/>
    <xf numFmtId="4" fontId="5" fillId="0" borderId="0" xfId="0" applyNumberFormat="1" applyFont="1"/>
    <xf numFmtId="4" fontId="5" fillId="11" borderId="0" xfId="0" applyNumberFormat="1" applyFont="1" applyFill="1" applyAlignment="1"/>
    <xf numFmtId="41" fontId="5" fillId="18" borderId="0" xfId="0" applyNumberFormat="1" applyFont="1" applyFill="1" applyProtection="1">
      <protection locked="0"/>
    </xf>
    <xf numFmtId="41" fontId="7" fillId="18" borderId="0" xfId="0" applyNumberFormat="1" applyFont="1" applyFill="1" applyProtection="1">
      <protection locked="0"/>
    </xf>
    <xf numFmtId="0" fontId="8" fillId="24" borderId="0" xfId="8" applyFont="1" applyFill="1" applyAlignment="1">
      <alignment horizontal="right"/>
    </xf>
    <xf numFmtId="0" fontId="8" fillId="29" borderId="0" xfId="8" applyFont="1" applyFill="1" applyAlignment="1">
      <alignment horizontal="right"/>
    </xf>
    <xf numFmtId="0" fontId="8" fillId="30" borderId="0" xfId="8" applyFont="1" applyFill="1" applyAlignment="1">
      <alignment horizontal="right"/>
    </xf>
    <xf numFmtId="0" fontId="8" fillId="11" borderId="0" xfId="8" applyFont="1" applyFill="1" applyAlignment="1">
      <alignment horizontal="right"/>
    </xf>
    <xf numFmtId="0" fontId="8" fillId="31" borderId="0" xfId="8" applyFont="1" applyFill="1" applyAlignment="1">
      <alignment horizontal="right"/>
    </xf>
    <xf numFmtId="0" fontId="8" fillId="32" borderId="0" xfId="8" applyFont="1" applyFill="1" applyAlignment="1">
      <alignment horizontal="right"/>
    </xf>
    <xf numFmtId="0" fontId="8" fillId="26" borderId="0" xfId="8" applyFont="1" applyFill="1" applyAlignment="1">
      <alignment horizontal="right"/>
    </xf>
    <xf numFmtId="0" fontId="8" fillId="16" borderId="0" xfId="8" applyFont="1" applyFill="1" applyAlignment="1">
      <alignment horizontal="right"/>
    </xf>
    <xf numFmtId="0" fontId="16" fillId="0" borderId="0" xfId="8" applyFont="1" applyFill="1" applyBorder="1" applyAlignment="1">
      <alignment horizontal="center"/>
    </xf>
    <xf numFmtId="43" fontId="8" fillId="0" borderId="0" xfId="0" applyNumberFormat="1" applyFont="1" applyBorder="1"/>
    <xf numFmtId="43" fontId="8" fillId="22" borderId="0" xfId="0" applyNumberFormat="1" applyFont="1" applyFill="1" applyBorder="1"/>
    <xf numFmtId="43" fontId="8" fillId="22" borderId="0" xfId="0" applyNumberFormat="1" applyFont="1" applyFill="1"/>
    <xf numFmtId="0" fontId="8" fillId="0" borderId="0" xfId="0" applyFont="1" applyBorder="1"/>
    <xf numFmtId="43" fontId="5" fillId="16" borderId="0" xfId="2" applyFont="1" applyFill="1"/>
    <xf numFmtId="43" fontId="5" fillId="16" borderId="0" xfId="2" applyFont="1" applyFill="1" applyAlignment="1"/>
    <xf numFmtId="41" fontId="7" fillId="9" borderId="0" xfId="0" applyNumberFormat="1" applyFont="1" applyFill="1"/>
    <xf numFmtId="41" fontId="7" fillId="9" borderId="0" xfId="0" applyNumberFormat="1" applyFont="1" applyFill="1" applyBorder="1"/>
    <xf numFmtId="167" fontId="0" fillId="0" borderId="0" xfId="0" applyNumberFormat="1" applyFill="1"/>
    <xf numFmtId="43" fontId="0" fillId="0" borderId="0" xfId="2" applyFont="1" applyFill="1"/>
    <xf numFmtId="43" fontId="0" fillId="0" borderId="3" xfId="2" applyFont="1" applyFill="1" applyBorder="1"/>
    <xf numFmtId="167" fontId="0" fillId="0" borderId="5" xfId="0" applyNumberFormat="1" applyFill="1" applyBorder="1"/>
    <xf numFmtId="167" fontId="0" fillId="0" borderId="0" xfId="0" applyNumberFormat="1" applyFill="1" applyBorder="1"/>
    <xf numFmtId="0" fontId="5" fillId="6" borderId="14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4" fontId="0" fillId="0" borderId="0" xfId="0" applyNumberFormat="1" applyFill="1" applyAlignment="1"/>
    <xf numFmtId="0" fontId="8" fillId="0" borderId="0" xfId="0" quotePrefix="1" applyFont="1"/>
    <xf numFmtId="0" fontId="8" fillId="0" borderId="0" xfId="0" applyNumberFormat="1" applyFont="1" applyFill="1" applyAlignment="1">
      <alignment horizontal="right"/>
    </xf>
    <xf numFmtId="39" fontId="8" fillId="0" borderId="0" xfId="0" quotePrefix="1" applyNumberFormat="1" applyFont="1" applyFill="1" applyAlignment="1">
      <alignment horizontal="right"/>
    </xf>
    <xf numFmtId="40" fontId="28" fillId="0" borderId="0" xfId="0" applyNumberFormat="1" applyFont="1"/>
    <xf numFmtId="40" fontId="7" fillId="0" borderId="0" xfId="0" applyNumberFormat="1" applyFont="1"/>
    <xf numFmtId="40" fontId="7" fillId="0" borderId="0" xfId="0" applyNumberFormat="1" applyFont="1" applyAlignment="1">
      <alignment horizontal="right"/>
    </xf>
    <xf numFmtId="40" fontId="7" fillId="18" borderId="0" xfId="0" applyNumberFormat="1" applyFont="1" applyFill="1"/>
    <xf numFmtId="40" fontId="7" fillId="0" borderId="0" xfId="0" applyNumberFormat="1" applyFont="1" applyAlignment="1"/>
    <xf numFmtId="40" fontId="5" fillId="0" borderId="0" xfId="2" applyNumberFormat="1" applyFont="1" applyBorder="1" applyAlignment="1"/>
    <xf numFmtId="40" fontId="7" fillId="0" borderId="0" xfId="0" applyNumberFormat="1" applyFont="1" applyBorder="1" applyAlignment="1"/>
    <xf numFmtId="40" fontId="7" fillId="0" borderId="0" xfId="2" applyNumberFormat="1" applyFont="1" applyBorder="1" applyAlignment="1"/>
    <xf numFmtId="40" fontId="5" fillId="0" borderId="0" xfId="0" quotePrefix="1" applyNumberFormat="1" applyFont="1" applyAlignment="1"/>
    <xf numFmtId="40" fontId="5" fillId="0" borderId="0" xfId="0" applyNumberFormat="1" applyFont="1" applyBorder="1" applyAlignment="1"/>
    <xf numFmtId="40" fontId="5" fillId="18" borderId="0" xfId="0" applyNumberFormat="1" applyFont="1" applyFill="1"/>
    <xf numFmtId="40" fontId="7" fillId="0" borderId="0" xfId="2" applyNumberFormat="1" applyFont="1" applyBorder="1"/>
    <xf numFmtId="40" fontId="5" fillId="0" borderId="0" xfId="0" applyNumberFormat="1" applyFont="1"/>
    <xf numFmtId="40" fontId="5" fillId="0" borderId="0" xfId="0" applyNumberFormat="1" applyFont="1" applyAlignment="1">
      <alignment horizontal="left"/>
    </xf>
    <xf numFmtId="40" fontId="5" fillId="0" borderId="0" xfId="2" applyNumberFormat="1" applyFont="1" applyAlignment="1">
      <alignment horizontal="left"/>
    </xf>
    <xf numFmtId="40" fontId="10" fillId="0" borderId="0" xfId="0" quotePrefix="1" applyNumberFormat="1" applyFont="1" applyAlignment="1"/>
    <xf numFmtId="40" fontId="10" fillId="0" borderId="0" xfId="0" applyNumberFormat="1" applyFont="1" applyAlignment="1"/>
    <xf numFmtId="40" fontId="5" fillId="18" borderId="0" xfId="0" applyNumberFormat="1" applyFont="1" applyFill="1" applyAlignment="1"/>
    <xf numFmtId="40" fontId="7" fillId="0" borderId="1" xfId="0" applyNumberFormat="1" applyFont="1" applyBorder="1"/>
    <xf numFmtId="40" fontId="7" fillId="0" borderId="2" xfId="0" applyNumberFormat="1" applyFont="1" applyBorder="1"/>
    <xf numFmtId="40" fontId="7" fillId="0" borderId="0" xfId="4" applyNumberFormat="1" applyFont="1" applyBorder="1" applyAlignment="1"/>
    <xf numFmtId="40" fontId="4" fillId="0" borderId="0" xfId="2" applyNumberFormat="1" applyFont="1" applyBorder="1"/>
    <xf numFmtId="40" fontId="7" fillId="0" borderId="0" xfId="0" applyNumberFormat="1" applyFont="1" applyAlignment="1">
      <alignment horizontal="left"/>
    </xf>
    <xf numFmtId="40" fontId="7" fillId="0" borderId="0" xfId="0" applyNumberFormat="1" applyFont="1" applyBorder="1"/>
    <xf numFmtId="40" fontId="5" fillId="0" borderId="2" xfId="0" applyNumberFormat="1" applyFont="1" applyBorder="1" applyAlignment="1"/>
    <xf numFmtId="40" fontId="7" fillId="0" borderId="2" xfId="0" applyNumberFormat="1" applyFont="1" applyBorder="1" applyAlignment="1">
      <alignment horizontal="right"/>
    </xf>
    <xf numFmtId="40" fontId="5" fillId="0" borderId="5" xfId="0" applyNumberFormat="1" applyFont="1" applyBorder="1" applyAlignment="1"/>
    <xf numFmtId="40" fontId="5" fillId="0" borderId="0" xfId="0" quotePrefix="1" applyNumberFormat="1" applyFont="1" applyAlignment="1">
      <alignment horizontal="left"/>
    </xf>
    <xf numFmtId="40" fontId="4" fillId="0" borderId="0" xfId="4" applyNumberFormat="1" applyFont="1" applyBorder="1" applyAlignment="1"/>
    <xf numFmtId="40" fontId="0" fillId="0" borderId="0" xfId="0" quotePrefix="1" applyNumberFormat="1" applyAlignment="1"/>
    <xf numFmtId="40" fontId="7" fillId="0" borderId="20" xfId="0" applyNumberFormat="1" applyFont="1" applyBorder="1" applyAlignment="1"/>
    <xf numFmtId="40" fontId="7" fillId="0" borderId="20" xfId="0" applyNumberFormat="1" applyFont="1" applyBorder="1"/>
    <xf numFmtId="40" fontId="7" fillId="0" borderId="4" xfId="0" applyNumberFormat="1" applyFont="1" applyBorder="1"/>
    <xf numFmtId="40" fontId="4" fillId="0" borderId="0" xfId="2" applyNumberFormat="1" applyFont="1" applyBorder="1" applyAlignment="1"/>
    <xf numFmtId="40" fontId="5" fillId="0" borderId="1" xfId="0" applyNumberFormat="1" applyFont="1" applyBorder="1" applyAlignment="1"/>
    <xf numFmtId="40" fontId="5" fillId="0" borderId="4" xfId="0" applyNumberFormat="1" applyFont="1" applyBorder="1" applyAlignment="1"/>
    <xf numFmtId="40" fontId="5" fillId="0" borderId="0" xfId="0" applyNumberFormat="1" applyFont="1" applyAlignment="1">
      <alignment horizontal="right"/>
    </xf>
    <xf numFmtId="40" fontId="7" fillId="0" borderId="1" xfId="0" applyNumberFormat="1" applyFont="1" applyBorder="1" applyAlignment="1">
      <alignment horizontal="right"/>
    </xf>
    <xf numFmtId="40" fontId="5" fillId="0" borderId="4" xfId="0" applyNumberFormat="1" applyFont="1" applyBorder="1" applyAlignment="1">
      <alignment horizontal="right"/>
    </xf>
    <xf numFmtId="40" fontId="5" fillId="0" borderId="0" xfId="0" applyNumberFormat="1" applyFont="1" applyBorder="1" applyAlignment="1">
      <alignment horizontal="right"/>
    </xf>
    <xf numFmtId="40" fontId="7" fillId="0" borderId="0" xfId="0" applyNumberFormat="1" applyFon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0" xfId="0" applyNumberFormat="1" applyAlignment="1"/>
    <xf numFmtId="40" fontId="5" fillId="0" borderId="0" xfId="2" applyNumberFormat="1" applyFont="1" applyBorder="1"/>
    <xf numFmtId="40" fontId="5" fillId="0" borderId="0" xfId="0" applyNumberFormat="1" applyFont="1" applyBorder="1"/>
    <xf numFmtId="40" fontId="5" fillId="0" borderId="0" xfId="0" quotePrefix="1" applyNumberFormat="1" applyFont="1" applyAlignment="1">
      <alignment horizontal="right"/>
    </xf>
    <xf numFmtId="40" fontId="7" fillId="0" borderId="3" xfId="0" applyNumberFormat="1" applyFont="1" applyBorder="1" applyAlignment="1">
      <alignment horizontal="right"/>
    </xf>
    <xf numFmtId="40" fontId="7" fillId="0" borderId="3" xfId="0" applyNumberFormat="1" applyFont="1" applyBorder="1"/>
    <xf numFmtId="40" fontId="5" fillId="0" borderId="0" xfId="0" quotePrefix="1" applyNumberFormat="1" applyFont="1" applyBorder="1" applyAlignment="1"/>
    <xf numFmtId="40" fontId="4" fillId="0" borderId="0" xfId="0" applyNumberFormat="1" applyFont="1" applyBorder="1" applyAlignment="1"/>
    <xf numFmtId="40" fontId="4" fillId="0" borderId="0" xfId="0" applyNumberFormat="1" applyFont="1" applyAlignment="1"/>
    <xf numFmtId="40" fontId="7" fillId="0" borderId="0" xfId="0" applyNumberFormat="1" applyFont="1" applyFill="1"/>
    <xf numFmtId="40" fontId="5" fillId="0" borderId="0" xfId="0" applyNumberFormat="1" applyFont="1" applyAlignment="1">
      <alignment horizontal="center"/>
    </xf>
    <xf numFmtId="40" fontId="7" fillId="0" borderId="0" xfId="0" applyNumberFormat="1" applyFont="1" applyAlignment="1">
      <alignment horizontal="center"/>
    </xf>
    <xf numFmtId="40" fontId="5" fillId="0" borderId="0" xfId="0" applyNumberFormat="1" applyFont="1" applyBorder="1" applyAlignment="1">
      <alignment horizontal="center"/>
    </xf>
    <xf numFmtId="40" fontId="7" fillId="18" borderId="0" xfId="0" applyNumberFormat="1" applyFont="1" applyFill="1" applyAlignment="1"/>
    <xf numFmtId="40" fontId="5" fillId="0" borderId="20" xfId="0" applyNumberFormat="1" applyFont="1" applyBorder="1" applyAlignment="1"/>
    <xf numFmtId="40" fontId="28" fillId="14" borderId="0" xfId="0" applyNumberFormat="1" applyFont="1" applyFill="1"/>
    <xf numFmtId="40" fontId="28" fillId="0" borderId="0" xfId="0" applyNumberFormat="1" applyFont="1" applyAlignment="1"/>
    <xf numFmtId="40" fontId="28" fillId="0" borderId="1" xfId="0" applyNumberFormat="1" applyFont="1" applyBorder="1" applyAlignment="1"/>
    <xf numFmtId="40" fontId="7" fillId="18" borderId="21" xfId="0" applyNumberFormat="1" applyFont="1" applyFill="1" applyBorder="1"/>
    <xf numFmtId="40" fontId="7" fillId="0" borderId="21" xfId="0" applyNumberFormat="1" applyFont="1" applyBorder="1"/>
    <xf numFmtId="40" fontId="5" fillId="18" borderId="4" xfId="0" applyNumberFormat="1" applyFont="1" applyFill="1" applyBorder="1" applyAlignment="1"/>
    <xf numFmtId="40" fontId="7" fillId="0" borderId="0" xfId="0" applyNumberFormat="1" applyFont="1" applyBorder="1" applyAlignment="1">
      <alignment horizontal="center"/>
    </xf>
    <xf numFmtId="40" fontId="7" fillId="11" borderId="0" xfId="0" applyNumberFormat="1" applyFont="1" applyFill="1"/>
    <xf numFmtId="40" fontId="5" fillId="0" borderId="0" xfId="0" applyNumberFormat="1" applyFont="1" applyBorder="1" applyAlignment="1">
      <alignment horizontal="left"/>
    </xf>
    <xf numFmtId="40" fontId="7" fillId="0" borderId="0" xfId="0" quotePrefix="1" applyNumberFormat="1" applyFont="1" applyAlignment="1"/>
    <xf numFmtId="40" fontId="7" fillId="0" borderId="0" xfId="0" quotePrefix="1" applyNumberFormat="1" applyFont="1" applyBorder="1" applyAlignment="1"/>
    <xf numFmtId="40" fontId="5" fillId="18" borderId="0" xfId="0" applyNumberFormat="1" applyFont="1" applyFill="1" applyAlignment="1">
      <alignment horizontal="right"/>
    </xf>
    <xf numFmtId="40" fontId="5" fillId="0" borderId="1" xfId="0" applyNumberFormat="1" applyFont="1" applyBorder="1" applyAlignment="1">
      <alignment horizontal="right"/>
    </xf>
    <xf numFmtId="40" fontId="5" fillId="0" borderId="0" xfId="0" applyNumberFormat="1" applyFont="1" applyAlignment="1">
      <alignment horizontal="centerContinuous"/>
    </xf>
    <xf numFmtId="40" fontId="5" fillId="0" borderId="2" xfId="0" applyNumberFormat="1" applyFont="1" applyBorder="1" applyAlignment="1">
      <alignment horizontal="right"/>
    </xf>
    <xf numFmtId="40" fontId="5" fillId="0" borderId="0" xfId="0" quotePrefix="1" applyNumberFormat="1" applyFont="1" applyFill="1" applyAlignment="1"/>
    <xf numFmtId="40" fontId="5" fillId="0" borderId="0" xfId="0" quotePrefix="1" applyNumberFormat="1" applyFont="1" applyFill="1" applyBorder="1" applyAlignment="1"/>
    <xf numFmtId="40" fontId="0" fillId="0" borderId="0" xfId="0" applyNumberFormat="1" applyFill="1" applyAlignment="1">
      <alignment horizontal="left"/>
    </xf>
    <xf numFmtId="40" fontId="0" fillId="0" borderId="0" xfId="0" applyNumberFormat="1" applyFill="1" applyBorder="1" applyAlignment="1"/>
    <xf numFmtId="40" fontId="0" fillId="0" borderId="0" xfId="0" applyNumberFormat="1" applyFill="1" applyAlignment="1"/>
    <xf numFmtId="40" fontId="5" fillId="0" borderId="0" xfId="0" applyNumberFormat="1" applyFont="1" applyFill="1" applyAlignment="1">
      <alignment horizontal="left"/>
    </xf>
    <xf numFmtId="40" fontId="5" fillId="0" borderId="0" xfId="0" applyNumberFormat="1" applyFont="1" applyFill="1" applyBorder="1" applyAlignment="1"/>
    <xf numFmtId="40" fontId="5" fillId="0" borderId="0" xfId="0" applyNumberFormat="1" applyFont="1" applyFill="1" applyAlignment="1"/>
    <xf numFmtId="40" fontId="7" fillId="0" borderId="0" xfId="0" quotePrefix="1" applyNumberFormat="1" applyFont="1" applyBorder="1" applyAlignment="1">
      <alignment horizontal="left"/>
    </xf>
    <xf numFmtId="40" fontId="28" fillId="0" borderId="0" xfId="0" quotePrefix="1" applyNumberFormat="1" applyFont="1" applyBorder="1" applyAlignment="1"/>
    <xf numFmtId="40" fontId="28" fillId="0" borderId="0" xfId="0" applyNumberFormat="1" applyFont="1" applyBorder="1" applyAlignment="1"/>
    <xf numFmtId="40" fontId="7" fillId="0" borderId="3" xfId="0" applyNumberFormat="1" applyFont="1" applyBorder="1" applyAlignment="1"/>
    <xf numFmtId="40" fontId="7" fillId="0" borderId="4" xfId="0" applyNumberFormat="1" applyFont="1" applyBorder="1" applyAlignment="1"/>
    <xf numFmtId="40" fontId="7" fillId="0" borderId="4" xfId="0" applyNumberFormat="1" applyFont="1" applyBorder="1" applyAlignment="1">
      <alignment horizontal="right"/>
    </xf>
    <xf numFmtId="40" fontId="0" fillId="0" borderId="0" xfId="0" applyNumberFormat="1" applyBorder="1" applyAlignment="1"/>
    <xf numFmtId="40" fontId="0" fillId="0" borderId="0" xfId="0" applyNumberFormat="1"/>
    <xf numFmtId="40" fontId="7" fillId="0" borderId="0" xfId="0" applyNumberFormat="1" applyFont="1" applyFill="1" applyAlignment="1">
      <alignment horizontal="right"/>
    </xf>
    <xf numFmtId="40" fontId="0" fillId="0" borderId="0" xfId="0" quotePrefix="1" applyNumberFormat="1" applyAlignment="1">
      <alignment horizontal="left"/>
    </xf>
    <xf numFmtId="40" fontId="7" fillId="0" borderId="0" xfId="0" applyNumberFormat="1" applyFont="1" applyFill="1" applyAlignment="1"/>
    <xf numFmtId="40" fontId="7" fillId="15" borderId="0" xfId="0" applyNumberFormat="1" applyFont="1" applyFill="1" applyAlignment="1"/>
    <xf numFmtId="40" fontId="5" fillId="15" borderId="0" xfId="0" applyNumberFormat="1" applyFont="1" applyFill="1" applyAlignment="1"/>
    <xf numFmtId="40" fontId="5" fillId="0" borderId="17" xfId="0" applyNumberFormat="1" applyFont="1" applyBorder="1" applyAlignment="1"/>
    <xf numFmtId="40" fontId="5" fillId="0" borderId="17" xfId="0" applyNumberFormat="1" applyFont="1" applyBorder="1" applyAlignment="1">
      <alignment horizontal="right"/>
    </xf>
    <xf numFmtId="40" fontId="7" fillId="18" borderId="0" xfId="0" applyNumberFormat="1" applyFont="1" applyFill="1" applyAlignment="1">
      <alignment horizontal="right"/>
    </xf>
    <xf numFmtId="40" fontId="7" fillId="0" borderId="13" xfId="0" applyNumberFormat="1" applyFont="1" applyBorder="1" applyAlignment="1"/>
    <xf numFmtId="40" fontId="7" fillId="0" borderId="13" xfId="0" applyNumberFormat="1" applyFont="1" applyBorder="1" applyAlignment="1">
      <alignment horizontal="right"/>
    </xf>
    <xf numFmtId="40" fontId="7" fillId="11" borderId="0" xfId="0" applyNumberFormat="1" applyFont="1" applyFill="1" applyAlignment="1">
      <alignment horizontal="right"/>
    </xf>
    <xf numFmtId="40" fontId="5" fillId="0" borderId="0" xfId="0" quotePrefix="1" applyNumberFormat="1" applyFont="1" applyBorder="1" applyAlignment="1">
      <alignment horizontal="right"/>
    </xf>
    <xf numFmtId="40" fontId="10" fillId="0" borderId="0" xfId="0" quotePrefix="1" applyNumberFormat="1" applyFont="1" applyBorder="1" applyAlignment="1"/>
    <xf numFmtId="40" fontId="10" fillId="0" borderId="0" xfId="0" quotePrefix="1" applyNumberFormat="1" applyFont="1" applyBorder="1" applyAlignment="1">
      <alignment horizontal="right"/>
    </xf>
    <xf numFmtId="40" fontId="10" fillId="0" borderId="0" xfId="0" applyNumberFormat="1" applyFont="1" applyBorder="1" applyAlignment="1"/>
    <xf numFmtId="40" fontId="10" fillId="0" borderId="0" xfId="0" applyNumberFormat="1" applyFont="1" applyBorder="1" applyAlignment="1">
      <alignment horizontal="right"/>
    </xf>
    <xf numFmtId="40" fontId="7" fillId="0" borderId="0" xfId="0" quotePrefix="1" applyNumberFormat="1" applyFont="1" applyFill="1" applyBorder="1" applyAlignment="1"/>
    <xf numFmtId="40" fontId="0" fillId="0" borderId="0" xfId="0" quotePrefix="1" applyNumberFormat="1" applyBorder="1" applyAlignment="1"/>
    <xf numFmtId="40" fontId="5" fillId="0" borderId="0" xfId="0" quotePrefix="1" applyNumberFormat="1" applyFont="1" applyBorder="1" applyAlignment="1">
      <alignment horizontal="left"/>
    </xf>
    <xf numFmtId="40" fontId="5" fillId="11" borderId="0" xfId="0" applyNumberFormat="1" applyFont="1" applyFill="1" applyBorder="1" applyAlignment="1"/>
    <xf numFmtId="40" fontId="5" fillId="0" borderId="21" xfId="0" applyNumberFormat="1" applyFont="1" applyFill="1" applyBorder="1" applyAlignment="1"/>
    <xf numFmtId="40" fontId="5" fillId="0" borderId="21" xfId="0" applyNumberFormat="1" applyFont="1" applyBorder="1" applyAlignment="1"/>
    <xf numFmtId="40" fontId="7" fillId="0" borderId="0" xfId="0" quotePrefix="1" applyNumberFormat="1" applyFont="1" applyAlignment="1">
      <alignment horizontal="left"/>
    </xf>
    <xf numFmtId="40" fontId="5" fillId="11" borderId="0" xfId="0" applyNumberFormat="1" applyFont="1" applyFill="1" applyAlignment="1"/>
    <xf numFmtId="40" fontId="5" fillId="11" borderId="0" xfId="0" applyNumberFormat="1" applyFont="1" applyFill="1" applyAlignment="1">
      <alignment horizontal="right"/>
    </xf>
    <xf numFmtId="40" fontId="5" fillId="0" borderId="0" xfId="2" quotePrefix="1" applyNumberFormat="1" applyFont="1" applyAlignment="1">
      <alignment horizontal="left"/>
    </xf>
    <xf numFmtId="40" fontId="5" fillId="15" borderId="0" xfId="0" quotePrefix="1" applyNumberFormat="1" applyFont="1" applyFill="1" applyAlignment="1">
      <alignment horizontal="left"/>
    </xf>
    <xf numFmtId="40" fontId="5" fillId="0" borderId="0" xfId="0" applyNumberFormat="1" applyFont="1" applyFill="1" applyBorder="1"/>
    <xf numFmtId="38" fontId="7" fillId="0" borderId="0" xfId="0" applyNumberFormat="1" applyFont="1" applyFill="1" applyProtection="1">
      <protection locked="0"/>
    </xf>
    <xf numFmtId="0" fontId="28" fillId="21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3" fillId="8" borderId="0" xfId="1" applyFont="1" applyAlignment="1" applyProtection="1">
      <alignment horizontal="center"/>
      <protection locked="0"/>
    </xf>
    <xf numFmtId="0" fontId="23" fillId="8" borderId="0" xfId="1" applyFont="1" applyAlignment="1">
      <alignment horizontal="center" vertical="center" textRotation="255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8" applyFont="1" applyBorder="1" applyAlignment="1">
      <alignment horizontal="center" vertical="center" wrapText="1"/>
    </xf>
    <xf numFmtId="0" fontId="5" fillId="0" borderId="0" xfId="8" applyBorder="1" applyAlignment="1">
      <alignment horizontal="center" vertical="center" wrapText="1"/>
    </xf>
    <xf numFmtId="0" fontId="16" fillId="0" borderId="0" xfId="8" applyFont="1" applyFill="1" applyBorder="1" applyAlignment="1">
      <alignment horizontal="center"/>
    </xf>
    <xf numFmtId="0" fontId="14" fillId="0" borderId="0" xfId="8" applyFont="1" applyBorder="1" applyAlignment="1">
      <alignment horizontal="center" vertical="center"/>
    </xf>
    <xf numFmtId="0" fontId="5" fillId="0" borderId="0" xfId="8" applyBorder="1" applyAlignment="1">
      <alignment wrapText="1"/>
    </xf>
    <xf numFmtId="0" fontId="14" fillId="0" borderId="0" xfId="8" applyFont="1" applyAlignment="1">
      <alignment horizontal="center" vertical="center" wrapText="1"/>
    </xf>
    <xf numFmtId="40" fontId="5" fillId="0" borderId="0" xfId="0" applyNumberFormat="1" applyFont="1" applyAlignment="1">
      <alignment horizontal="center"/>
    </xf>
    <xf numFmtId="40" fontId="27" fillId="0" borderId="0" xfId="0" applyNumberFormat="1" applyFont="1" applyAlignment="1">
      <alignment horizontal="center"/>
    </xf>
    <xf numFmtId="40" fontId="28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0" fontId="5" fillId="6" borderId="12" xfId="0" applyNumberFormat="1" applyFont="1" applyFill="1" applyBorder="1" applyAlignment="1">
      <alignment horizontal="center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3" fontId="5" fillId="6" borderId="0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5" fillId="6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2">
    <cellStyle name="Accent1" xfId="1" builtinId="29"/>
    <cellStyle name="Accent1 2" xfId="9"/>
    <cellStyle name="Accent1 3" xfId="17"/>
    <cellStyle name="Comma" xfId="2" builtinId="3"/>
    <cellStyle name="Comma 2" xfId="10"/>
    <cellStyle name="Comma 3" xfId="18"/>
    <cellStyle name="Currency" xfId="5" builtinId="4"/>
    <cellStyle name="Currency 2" xfId="6"/>
    <cellStyle name="Currency 3" xfId="12"/>
    <cellStyle name="Currency 4" xfId="20"/>
    <cellStyle name="Currency 5" xfId="15"/>
    <cellStyle name="Hyperlink" xfId="3" builtinId="8"/>
    <cellStyle name="Normal" xfId="0" builtinId="0"/>
    <cellStyle name="Normal 2" xfId="8"/>
    <cellStyle name="Normal 3" xfId="7"/>
    <cellStyle name="Normal 3 2" xfId="13"/>
    <cellStyle name="Normal 3 3" xfId="21"/>
    <cellStyle name="Normal 4" xfId="16"/>
    <cellStyle name="Normal 5" xfId="14"/>
    <cellStyle name="Percent" xfId="4" builtinId="5"/>
    <cellStyle name="Percent 2" xfId="11"/>
    <cellStyle name="Percent 3" xfId="19"/>
  </cellStyles>
  <dxfs count="14"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L57"/>
  <sheetViews>
    <sheetView workbookViewId="0">
      <selection activeCell="E7" sqref="E7"/>
    </sheetView>
  </sheetViews>
  <sheetFormatPr defaultRowHeight="12.75" x14ac:dyDescent="0.2"/>
  <cols>
    <col min="1" max="1" width="2.44140625" style="106" customWidth="1"/>
    <col min="2" max="2" width="20.109375" style="106" bestFit="1" customWidth="1"/>
    <col min="3" max="11" width="15.77734375" style="106" customWidth="1"/>
    <col min="12" max="12" width="15.77734375" style="129" customWidth="1"/>
    <col min="13" max="16384" width="8.88671875" style="106"/>
  </cols>
  <sheetData>
    <row r="1" spans="1:12" x14ac:dyDescent="0.2">
      <c r="C1" s="495" t="s">
        <v>1913</v>
      </c>
      <c r="D1" s="495"/>
      <c r="E1" s="495"/>
      <c r="F1" s="495"/>
      <c r="G1" s="495"/>
      <c r="H1" s="495"/>
      <c r="I1" s="495"/>
      <c r="J1" s="495"/>
      <c r="K1" s="495"/>
      <c r="L1" s="122" t="s">
        <v>2005</v>
      </c>
    </row>
    <row r="2" spans="1:12" ht="27.75" customHeight="1" x14ac:dyDescent="0.2">
      <c r="B2" s="110"/>
      <c r="C2" s="109" t="s">
        <v>1991</v>
      </c>
      <c r="D2" s="109" t="s">
        <v>1993</v>
      </c>
      <c r="E2" s="109" t="s">
        <v>1992</v>
      </c>
      <c r="F2" s="109" t="s">
        <v>2000</v>
      </c>
      <c r="G2" s="109" t="s">
        <v>2001</v>
      </c>
      <c r="H2" s="109" t="s">
        <v>1994</v>
      </c>
      <c r="I2" s="109" t="s">
        <v>1996</v>
      </c>
      <c r="J2" s="109" t="s">
        <v>1995</v>
      </c>
      <c r="K2" s="109" t="s">
        <v>1916</v>
      </c>
      <c r="L2" s="123"/>
    </row>
    <row r="3" spans="1:12" x14ac:dyDescent="0.2">
      <c r="B3" s="108"/>
      <c r="L3" s="123"/>
    </row>
    <row r="4" spans="1:12" ht="20.100000000000001" customHeight="1" x14ac:dyDescent="0.2">
      <c r="B4" s="110"/>
      <c r="C4" s="113">
        <f>10101036-2353910</f>
        <v>7747126</v>
      </c>
      <c r="D4" s="113">
        <v>2353910</v>
      </c>
      <c r="E4" s="113">
        <f>SUM('Revenue Start'!F37:F44)</f>
        <v>2521000</v>
      </c>
      <c r="F4" s="113">
        <f>'Revenue Start'!F47+'Revenue Start'!F48+'Revenue Start'!F49</f>
        <v>7311744</v>
      </c>
      <c r="G4" s="113">
        <f>'Revenue Start'!F50+'Revenue Start'!F51</f>
        <v>1614648</v>
      </c>
      <c r="H4" s="113">
        <v>3823090</v>
      </c>
      <c r="I4" s="113">
        <v>7391570</v>
      </c>
      <c r="J4" s="113">
        <v>1809586</v>
      </c>
      <c r="K4" s="113">
        <v>3231500</v>
      </c>
      <c r="L4" s="124">
        <f>SUM(C4:K4)</f>
        <v>37804174</v>
      </c>
    </row>
    <row r="5" spans="1:12" ht="12.75" customHeight="1" x14ac:dyDescent="0.2">
      <c r="B5" s="108"/>
      <c r="C5" s="107"/>
      <c r="D5" s="107"/>
      <c r="E5" s="107"/>
      <c r="F5" s="107"/>
      <c r="G5" s="107"/>
      <c r="H5" s="107"/>
      <c r="I5" s="107"/>
      <c r="J5" s="107"/>
      <c r="K5" s="107"/>
      <c r="L5" s="125"/>
    </row>
    <row r="6" spans="1:12" x14ac:dyDescent="0.2">
      <c r="A6" s="111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25"/>
    </row>
    <row r="7" spans="1:12" ht="20.100000000000001" customHeight="1" x14ac:dyDescent="0.2">
      <c r="A7" s="496" t="s">
        <v>1920</v>
      </c>
      <c r="B7" s="117" t="s">
        <v>1997</v>
      </c>
      <c r="C7" s="118"/>
      <c r="D7" s="119"/>
      <c r="E7" s="119">
        <f>-(SUM('Combine Sal Op'!K433:K453)+'Combine Sal Op'!K459+'Combine Sal Op'!K460+'Combine Sal Op'!K814+'Combine Sal Op'!K816)</f>
        <v>-2202572.2599999998</v>
      </c>
      <c r="F7" s="119"/>
      <c r="G7" s="119"/>
      <c r="H7" s="119"/>
      <c r="I7" s="119"/>
      <c r="J7" s="119"/>
      <c r="K7" s="119"/>
      <c r="L7" s="125">
        <f t="shared" ref="L7:L16" si="0">SUM(C7:K7)</f>
        <v>-2202572.2599999998</v>
      </c>
    </row>
    <row r="8" spans="1:12" ht="20.100000000000001" customHeight="1" x14ac:dyDescent="0.2">
      <c r="A8" s="496"/>
      <c r="B8" s="108" t="s">
        <v>1998</v>
      </c>
      <c r="C8" s="107"/>
      <c r="D8" s="107">
        <f>-(SUM('Combine Sal Op'!K771:K780)+SUM('Combine Sal Op'!K655:K664)+SUM('Combine Sal Op'!I923:I925))+230000+329000+300000</f>
        <v>-701552.43</v>
      </c>
      <c r="E8" s="107"/>
      <c r="F8" s="107"/>
      <c r="G8" s="107"/>
      <c r="H8" s="107"/>
      <c r="I8" s="107"/>
      <c r="J8" s="107">
        <f>-329000-230000-300000</f>
        <v>-859000</v>
      </c>
      <c r="K8" s="107"/>
      <c r="L8" s="125">
        <f t="shared" si="0"/>
        <v>-1560552.43</v>
      </c>
    </row>
    <row r="9" spans="1:12" ht="20.100000000000001" customHeight="1" x14ac:dyDescent="0.2">
      <c r="A9" s="496"/>
      <c r="B9" s="120" t="s">
        <v>1999</v>
      </c>
      <c r="C9" s="119"/>
      <c r="D9" s="119">
        <f>-(SUM('Combine Sal Op'!K905:K917)+SUM('Combine Sal Op'!K723:K740)+SUM('Combine Sal Op'!K614:K630))</f>
        <v>-947560.94</v>
      </c>
      <c r="E9" s="119"/>
      <c r="F9" s="119"/>
      <c r="G9" s="119"/>
      <c r="H9" s="119"/>
      <c r="I9" s="119"/>
      <c r="J9" s="119"/>
      <c r="K9" s="119"/>
      <c r="L9" s="125">
        <f t="shared" si="0"/>
        <v>-947560.94</v>
      </c>
    </row>
    <row r="10" spans="1:12" ht="20.100000000000001" customHeight="1" x14ac:dyDescent="0.2">
      <c r="A10" s="496"/>
      <c r="B10" s="108" t="s">
        <v>2002</v>
      </c>
      <c r="C10" s="107">
        <f>-SUM('Combine Sal Op'!K170:K233)-SUM('Combine Sal Op'!K320:K414)-SUM('Combine Sal Op'!K455:K458)-SUM('Combine Sal Op'!K650)-SUM('Combine Sal Op'!K766)-SUM('Combine Sal Op'!K806:K810)+368560</f>
        <v>-6765319.8200000003</v>
      </c>
      <c r="D10" s="107"/>
      <c r="E10" s="107"/>
      <c r="F10" s="107"/>
      <c r="G10" s="107"/>
      <c r="H10" s="107"/>
      <c r="I10" s="107"/>
      <c r="J10" s="107">
        <f>-368560</f>
        <v>-368560</v>
      </c>
      <c r="K10" s="107"/>
      <c r="L10" s="125">
        <f t="shared" si="0"/>
        <v>-7133879.8200000003</v>
      </c>
    </row>
    <row r="11" spans="1:12" ht="20.100000000000001" customHeight="1" x14ac:dyDescent="0.2">
      <c r="A11" s="496"/>
      <c r="B11" s="120" t="s">
        <v>1921</v>
      </c>
      <c r="C11" s="119"/>
      <c r="D11" s="119"/>
      <c r="E11" s="119"/>
      <c r="F11" s="119">
        <f>-(SUM('Combine Sal Op'!K9:K166)+SUM('Combine Sal Op'!K560:K609)+SUM('Combine Sal Op'!K670:K718)+SUM('Combine Sal Op'!K785:K791)+SUM('Combine Sal Op'!K822:K897))</f>
        <v>-9650600.8699999992</v>
      </c>
      <c r="G11" s="119"/>
      <c r="H11" s="119"/>
      <c r="I11" s="119"/>
      <c r="J11" s="119"/>
      <c r="K11" s="119"/>
      <c r="L11" s="125">
        <f t="shared" si="0"/>
        <v>-9650600.8699999992</v>
      </c>
    </row>
    <row r="12" spans="1:12" ht="20.100000000000001" customHeight="1" x14ac:dyDescent="0.2">
      <c r="A12" s="496"/>
      <c r="B12" s="108" t="s">
        <v>350</v>
      </c>
      <c r="C12" s="107"/>
      <c r="D12" s="107"/>
      <c r="E12" s="107"/>
      <c r="F12" s="107"/>
      <c r="G12" s="107">
        <f>-SUM('Combine Sal Op'!K418:K428)</f>
        <v>-3554296</v>
      </c>
      <c r="H12" s="107"/>
      <c r="I12" s="107"/>
      <c r="J12" s="107"/>
      <c r="K12" s="107"/>
      <c r="L12" s="125">
        <f t="shared" si="0"/>
        <v>-3554296</v>
      </c>
    </row>
    <row r="13" spans="1:12" ht="20.100000000000001" customHeight="1" x14ac:dyDescent="0.2">
      <c r="A13" s="496"/>
      <c r="B13" s="120" t="s">
        <v>2003</v>
      </c>
      <c r="C13" s="119"/>
      <c r="D13" s="119"/>
      <c r="E13" s="119"/>
      <c r="F13" s="119"/>
      <c r="G13" s="119"/>
      <c r="H13" s="119">
        <f>-SUM('Combine Sal Op'!K469:K503)</f>
        <v>-2039938.7</v>
      </c>
      <c r="I13" s="119"/>
      <c r="J13" s="119"/>
      <c r="K13" s="119"/>
      <c r="L13" s="125">
        <f t="shared" si="0"/>
        <v>-2039938.7</v>
      </c>
    </row>
    <row r="14" spans="1:12" ht="20.100000000000001" customHeight="1" x14ac:dyDescent="0.2">
      <c r="A14" s="496"/>
      <c r="B14" s="108" t="s">
        <v>1996</v>
      </c>
      <c r="C14" s="107"/>
      <c r="D14" s="107"/>
      <c r="E14" s="107"/>
      <c r="F14" s="107"/>
      <c r="G14" s="107"/>
      <c r="H14" s="107"/>
      <c r="I14" s="107">
        <f>-SUM('Combine Sal Op'!K506:K524)</f>
        <v>-13134253</v>
      </c>
      <c r="J14" s="107"/>
      <c r="K14" s="107"/>
      <c r="L14" s="125">
        <f t="shared" si="0"/>
        <v>-13134253</v>
      </c>
    </row>
    <row r="15" spans="1:12" ht="20.100000000000001" customHeight="1" x14ac:dyDescent="0.2">
      <c r="A15" s="496"/>
      <c r="B15" s="120" t="s">
        <v>1916</v>
      </c>
      <c r="C15" s="119"/>
      <c r="D15" s="119"/>
      <c r="E15" s="119"/>
      <c r="F15" s="119"/>
      <c r="G15" s="119"/>
      <c r="H15" s="119"/>
      <c r="I15" s="119"/>
      <c r="J15" s="119"/>
      <c r="K15" s="119">
        <f>-SUM('Combine Sal Op'!K529:K554)</f>
        <v>-1147864.1299999999</v>
      </c>
      <c r="L15" s="125">
        <f t="shared" si="0"/>
        <v>-1147864.1299999999</v>
      </c>
    </row>
    <row r="16" spans="1:12" ht="20.100000000000001" customHeight="1" x14ac:dyDescent="0.2">
      <c r="A16" s="496"/>
      <c r="B16" s="108" t="s">
        <v>2004</v>
      </c>
      <c r="C16" s="112"/>
      <c r="D16" s="112"/>
      <c r="E16" s="112"/>
      <c r="F16" s="112"/>
      <c r="G16" s="112"/>
      <c r="H16" s="112"/>
      <c r="I16" s="112"/>
      <c r="J16" s="112">
        <f>-'Combine Sal Op'!K317-'Combine Sal Op'!K646-'Combine Sal Op'!K762</f>
        <v>-122960</v>
      </c>
      <c r="K16" s="112"/>
      <c r="L16" s="126">
        <f t="shared" si="0"/>
        <v>-122960</v>
      </c>
    </row>
    <row r="17" spans="1:12" ht="20.100000000000001" customHeight="1" x14ac:dyDescent="0.2">
      <c r="A17" s="114"/>
      <c r="B17" s="108"/>
      <c r="C17" s="115">
        <f>SUM(C7:C16)</f>
        <v>-6765319.8200000003</v>
      </c>
      <c r="D17" s="115">
        <f t="shared" ref="D17:L17" si="1">SUM(D7:D16)</f>
        <v>-1649113.37</v>
      </c>
      <c r="E17" s="115">
        <f t="shared" si="1"/>
        <v>-2202572.2599999998</v>
      </c>
      <c r="F17" s="115">
        <f t="shared" si="1"/>
        <v>-9650600.8699999992</v>
      </c>
      <c r="G17" s="115">
        <f t="shared" si="1"/>
        <v>-3554296</v>
      </c>
      <c r="H17" s="115">
        <f t="shared" si="1"/>
        <v>-2039938.7</v>
      </c>
      <c r="I17" s="115">
        <f t="shared" si="1"/>
        <v>-13134253</v>
      </c>
      <c r="J17" s="115">
        <f t="shared" si="1"/>
        <v>-1350520</v>
      </c>
      <c r="K17" s="115">
        <f t="shared" si="1"/>
        <v>-1147864.1299999999</v>
      </c>
      <c r="L17" s="124">
        <f t="shared" si="1"/>
        <v>-41494478.149999999</v>
      </c>
    </row>
    <row r="18" spans="1:12" ht="20.100000000000001" customHeight="1" x14ac:dyDescent="0.2">
      <c r="A18" s="114"/>
      <c r="B18" s="108"/>
      <c r="C18" s="107"/>
      <c r="D18" s="107"/>
      <c r="E18" s="107"/>
      <c r="F18" s="107"/>
      <c r="G18" s="107"/>
      <c r="H18" s="107"/>
      <c r="I18" s="107"/>
      <c r="J18" s="107"/>
      <c r="K18" s="107"/>
      <c r="L18" s="123"/>
    </row>
    <row r="19" spans="1:12" ht="20.100000000000001" customHeight="1" x14ac:dyDescent="0.2">
      <c r="A19" s="497" t="s">
        <v>2008</v>
      </c>
      <c r="B19" s="497"/>
      <c r="C19" s="112">
        <f t="shared" ref="C19:K19" si="2">C4+C17</f>
        <v>981806.18</v>
      </c>
      <c r="D19" s="112">
        <f t="shared" si="2"/>
        <v>704796.63</v>
      </c>
      <c r="E19" s="112">
        <f t="shared" si="2"/>
        <v>318427.74</v>
      </c>
      <c r="F19" s="112">
        <f t="shared" si="2"/>
        <v>-2338856.87</v>
      </c>
      <c r="G19" s="112">
        <f t="shared" si="2"/>
        <v>-1939648</v>
      </c>
      <c r="H19" s="112">
        <f t="shared" si="2"/>
        <v>1783151.3</v>
      </c>
      <c r="I19" s="112">
        <f t="shared" si="2"/>
        <v>-5742683</v>
      </c>
      <c r="J19" s="112">
        <f t="shared" si="2"/>
        <v>459066</v>
      </c>
      <c r="K19" s="112">
        <f t="shared" si="2"/>
        <v>2083635.87</v>
      </c>
      <c r="L19" s="126">
        <f>L4+L17</f>
        <v>-3690304.15</v>
      </c>
    </row>
    <row r="20" spans="1:12" ht="20.100000000000001" customHeight="1" x14ac:dyDescent="0.2">
      <c r="A20" s="114"/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23"/>
    </row>
    <row r="21" spans="1:12" ht="20.100000000000001" customHeight="1" x14ac:dyDescent="0.2">
      <c r="A21" s="114"/>
      <c r="B21" s="108" t="s">
        <v>2006</v>
      </c>
      <c r="C21" s="121">
        <v>0.33479999999999999</v>
      </c>
      <c r="D21" s="121">
        <v>6.6900000000000001E-2</v>
      </c>
      <c r="E21" s="121">
        <v>5.1499999999999997E-2</v>
      </c>
      <c r="F21" s="121">
        <v>0.52090000000000003</v>
      </c>
      <c r="G21" s="121">
        <v>0</v>
      </c>
      <c r="H21" s="121">
        <v>0</v>
      </c>
      <c r="I21" s="121">
        <v>0</v>
      </c>
      <c r="J21" s="121">
        <v>0</v>
      </c>
      <c r="K21" s="121">
        <v>2.5899999999999999E-2</v>
      </c>
      <c r="L21" s="127">
        <f>SUM(C21:K21)</f>
        <v>1</v>
      </c>
    </row>
    <row r="22" spans="1:12" ht="20.100000000000001" customHeight="1" x14ac:dyDescent="0.2">
      <c r="A22" s="114"/>
      <c r="C22" s="107"/>
      <c r="D22" s="107"/>
      <c r="E22" s="107"/>
      <c r="F22" s="107"/>
      <c r="G22" s="107"/>
      <c r="H22" s="107"/>
      <c r="I22" s="107"/>
      <c r="J22" s="107"/>
      <c r="K22" s="107"/>
      <c r="L22" s="123"/>
    </row>
    <row r="23" spans="1:12" ht="20.100000000000001" customHeight="1" x14ac:dyDescent="0.2">
      <c r="A23" s="111"/>
      <c r="B23" s="106" t="s">
        <v>2007</v>
      </c>
      <c r="C23" s="107">
        <f>C21*$G$19</f>
        <v>-649394.15</v>
      </c>
      <c r="D23" s="107">
        <f t="shared" ref="D23:K23" si="3">D21*$G$19</f>
        <v>-129762.45</v>
      </c>
      <c r="E23" s="107">
        <f t="shared" si="3"/>
        <v>-99891.87</v>
      </c>
      <c r="F23" s="107">
        <f t="shared" si="3"/>
        <v>-1010362.64</v>
      </c>
      <c r="G23" s="107">
        <v>1310000</v>
      </c>
      <c r="H23" s="107">
        <f t="shared" si="3"/>
        <v>0</v>
      </c>
      <c r="I23" s="107">
        <f t="shared" si="3"/>
        <v>0</v>
      </c>
      <c r="J23" s="107">
        <f t="shared" si="3"/>
        <v>0</v>
      </c>
      <c r="K23" s="107">
        <f t="shared" si="3"/>
        <v>-50236.88</v>
      </c>
      <c r="L23" s="125">
        <f>SUM(C23:K23)</f>
        <v>-629647.99</v>
      </c>
    </row>
    <row r="24" spans="1:12" ht="20.100000000000001" customHeight="1" x14ac:dyDescent="0.2">
      <c r="A24" s="111"/>
      <c r="C24" s="107"/>
      <c r="D24" s="107"/>
      <c r="E24" s="107"/>
      <c r="F24" s="107"/>
      <c r="G24" s="107"/>
      <c r="H24" s="107"/>
      <c r="I24" s="107"/>
      <c r="J24" s="107"/>
      <c r="K24" s="107"/>
      <c r="L24" s="123"/>
    </row>
    <row r="25" spans="1:12" ht="20.100000000000001" customHeight="1" thickBot="1" x14ac:dyDescent="0.25">
      <c r="A25" s="498" t="s">
        <v>2009</v>
      </c>
      <c r="B25" s="498"/>
      <c r="C25" s="116">
        <f>C19+C23</f>
        <v>332412.03000000003</v>
      </c>
      <c r="D25" s="116">
        <f t="shared" ref="D25:L25" si="4">D19+D23</f>
        <v>575034.18000000005</v>
      </c>
      <c r="E25" s="116">
        <f t="shared" si="4"/>
        <v>218535.87</v>
      </c>
      <c r="F25" s="116">
        <f t="shared" si="4"/>
        <v>-3349219.51</v>
      </c>
      <c r="G25" s="116">
        <f t="shared" si="4"/>
        <v>-629648</v>
      </c>
      <c r="H25" s="116">
        <f t="shared" si="4"/>
        <v>1783151.3</v>
      </c>
      <c r="I25" s="116">
        <f t="shared" si="4"/>
        <v>-5742683</v>
      </c>
      <c r="J25" s="116">
        <f t="shared" si="4"/>
        <v>459066</v>
      </c>
      <c r="K25" s="116">
        <f t="shared" si="4"/>
        <v>2033398.99</v>
      </c>
      <c r="L25" s="128">
        <f t="shared" si="4"/>
        <v>-4319952.1399999997</v>
      </c>
    </row>
    <row r="26" spans="1:12" ht="20.100000000000001" customHeight="1" thickTop="1" x14ac:dyDescent="0.2"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2" ht="20.100000000000001" customHeight="1" x14ac:dyDescent="0.2"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2" ht="20.100000000000001" customHeight="1" x14ac:dyDescent="0.2"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2" x14ac:dyDescent="0.2"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2" x14ac:dyDescent="0.2"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2" x14ac:dyDescent="0.2"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2" x14ac:dyDescent="0.2">
      <c r="C32" s="107"/>
      <c r="D32" s="107"/>
      <c r="E32" s="107"/>
      <c r="F32" s="107"/>
      <c r="G32" s="107"/>
      <c r="H32" s="107"/>
      <c r="I32" s="107"/>
      <c r="J32" s="107"/>
      <c r="K32" s="107"/>
    </row>
    <row r="33" spans="3:11" x14ac:dyDescent="0.2">
      <c r="C33" s="107"/>
      <c r="D33" s="107"/>
      <c r="E33" s="107"/>
      <c r="F33" s="107"/>
      <c r="G33" s="107"/>
      <c r="H33" s="107"/>
      <c r="I33" s="107"/>
      <c r="J33" s="107"/>
      <c r="K33" s="107"/>
    </row>
    <row r="34" spans="3:11" x14ac:dyDescent="0.2">
      <c r="C34" s="107"/>
      <c r="D34" s="107"/>
      <c r="E34" s="107"/>
      <c r="F34" s="107"/>
      <c r="G34" s="107"/>
      <c r="H34" s="107"/>
      <c r="I34" s="107"/>
      <c r="J34" s="107"/>
      <c r="K34" s="107"/>
    </row>
    <row r="35" spans="3:11" x14ac:dyDescent="0.2">
      <c r="C35" s="107"/>
      <c r="D35" s="107"/>
      <c r="E35" s="107"/>
      <c r="F35" s="107"/>
      <c r="G35" s="107"/>
      <c r="H35" s="107"/>
      <c r="I35" s="107"/>
      <c r="J35" s="107"/>
      <c r="K35" s="107"/>
    </row>
    <row r="36" spans="3:11" x14ac:dyDescent="0.2">
      <c r="C36" s="107"/>
      <c r="D36" s="107"/>
      <c r="E36" s="107"/>
      <c r="F36" s="107"/>
      <c r="G36" s="107"/>
      <c r="H36" s="107"/>
      <c r="I36" s="107"/>
      <c r="J36" s="107"/>
      <c r="K36" s="107"/>
    </row>
    <row r="37" spans="3:11" x14ac:dyDescent="0.2">
      <c r="C37" s="107"/>
      <c r="D37" s="107"/>
      <c r="E37" s="107"/>
      <c r="F37" s="107"/>
      <c r="G37" s="107"/>
      <c r="H37" s="107"/>
      <c r="I37" s="107"/>
      <c r="J37" s="107"/>
      <c r="K37" s="107"/>
    </row>
    <row r="38" spans="3:11" x14ac:dyDescent="0.2">
      <c r="C38" s="107"/>
      <c r="D38" s="107"/>
      <c r="E38" s="107"/>
      <c r="F38" s="107"/>
      <c r="G38" s="107"/>
      <c r="H38" s="107"/>
      <c r="I38" s="107"/>
      <c r="J38" s="107"/>
      <c r="K38" s="107"/>
    </row>
    <row r="39" spans="3:11" x14ac:dyDescent="0.2">
      <c r="C39" s="107"/>
      <c r="D39" s="107"/>
      <c r="E39" s="107"/>
      <c r="F39" s="107"/>
      <c r="G39" s="107"/>
      <c r="H39" s="107"/>
      <c r="I39" s="107"/>
      <c r="J39" s="107"/>
      <c r="K39" s="107"/>
    </row>
    <row r="40" spans="3:11" x14ac:dyDescent="0.2">
      <c r="C40" s="107"/>
      <c r="D40" s="107"/>
      <c r="E40" s="107"/>
      <c r="F40" s="107"/>
      <c r="G40" s="107"/>
      <c r="H40" s="107"/>
      <c r="I40" s="107"/>
      <c r="J40" s="107"/>
      <c r="K40" s="107"/>
    </row>
    <row r="41" spans="3:11" x14ac:dyDescent="0.2">
      <c r="C41" s="107"/>
      <c r="D41" s="107"/>
      <c r="E41" s="107"/>
      <c r="F41" s="107"/>
      <c r="G41" s="107"/>
      <c r="H41" s="107"/>
      <c r="I41" s="107"/>
      <c r="J41" s="107"/>
      <c r="K41" s="107"/>
    </row>
    <row r="42" spans="3:11" x14ac:dyDescent="0.2">
      <c r="C42" s="107"/>
      <c r="D42" s="107"/>
      <c r="E42" s="107"/>
      <c r="F42" s="107"/>
      <c r="G42" s="107"/>
      <c r="H42" s="107"/>
      <c r="I42" s="107"/>
      <c r="J42" s="107"/>
      <c r="K42" s="107"/>
    </row>
    <row r="43" spans="3:11" x14ac:dyDescent="0.2">
      <c r="C43" s="107"/>
      <c r="D43" s="107"/>
      <c r="E43" s="107"/>
      <c r="F43" s="107"/>
      <c r="G43" s="107"/>
      <c r="H43" s="107"/>
      <c r="I43" s="107"/>
      <c r="J43" s="107"/>
      <c r="K43" s="107"/>
    </row>
    <row r="44" spans="3:11" x14ac:dyDescent="0.2">
      <c r="C44" s="107"/>
      <c r="D44" s="107"/>
      <c r="E44" s="107"/>
      <c r="F44" s="107"/>
      <c r="G44" s="107"/>
      <c r="H44" s="107"/>
      <c r="I44" s="107"/>
      <c r="J44" s="107"/>
      <c r="K44" s="107"/>
    </row>
    <row r="45" spans="3:11" x14ac:dyDescent="0.2">
      <c r="C45" s="107"/>
      <c r="D45" s="107"/>
      <c r="E45" s="107"/>
      <c r="F45" s="107"/>
      <c r="G45" s="107"/>
      <c r="H45" s="107"/>
      <c r="I45" s="107"/>
      <c r="J45" s="107"/>
      <c r="K45" s="107"/>
    </row>
    <row r="46" spans="3:11" x14ac:dyDescent="0.2">
      <c r="C46" s="107"/>
      <c r="D46" s="107"/>
      <c r="E46" s="107"/>
      <c r="F46" s="107"/>
      <c r="G46" s="107"/>
      <c r="H46" s="107"/>
      <c r="I46" s="107"/>
      <c r="J46" s="107"/>
      <c r="K46" s="107"/>
    </row>
    <row r="47" spans="3:11" x14ac:dyDescent="0.2">
      <c r="C47" s="107"/>
      <c r="D47" s="107"/>
      <c r="E47" s="107"/>
      <c r="F47" s="107"/>
      <c r="G47" s="107"/>
      <c r="H47" s="107"/>
      <c r="I47" s="107"/>
      <c r="J47" s="107"/>
      <c r="K47" s="107"/>
    </row>
    <row r="48" spans="3:11" x14ac:dyDescent="0.2">
      <c r="C48" s="107"/>
      <c r="D48" s="107"/>
      <c r="E48" s="107"/>
      <c r="F48" s="107"/>
      <c r="G48" s="107"/>
      <c r="H48" s="107"/>
      <c r="I48" s="107"/>
      <c r="J48" s="107"/>
      <c r="K48" s="107"/>
    </row>
    <row r="49" spans="3:11" x14ac:dyDescent="0.2">
      <c r="C49" s="107"/>
      <c r="D49" s="107"/>
      <c r="E49" s="107"/>
      <c r="F49" s="107"/>
      <c r="G49" s="107"/>
      <c r="H49" s="107"/>
      <c r="I49" s="107"/>
      <c r="J49" s="107"/>
      <c r="K49" s="107"/>
    </row>
    <row r="50" spans="3:11" x14ac:dyDescent="0.2">
      <c r="C50" s="107"/>
      <c r="D50" s="107"/>
      <c r="E50" s="107"/>
      <c r="F50" s="107"/>
      <c r="G50" s="107"/>
      <c r="H50" s="107"/>
      <c r="I50" s="107"/>
      <c r="J50" s="107"/>
      <c r="K50" s="107"/>
    </row>
    <row r="51" spans="3:11" x14ac:dyDescent="0.2">
      <c r="C51" s="107"/>
      <c r="D51" s="107"/>
      <c r="E51" s="107"/>
      <c r="F51" s="107"/>
      <c r="G51" s="107"/>
      <c r="H51" s="107"/>
      <c r="I51" s="107"/>
      <c r="J51" s="107"/>
      <c r="K51" s="107"/>
    </row>
    <row r="52" spans="3:11" x14ac:dyDescent="0.2">
      <c r="C52" s="107"/>
      <c r="D52" s="107"/>
      <c r="E52" s="107"/>
      <c r="F52" s="107"/>
      <c r="G52" s="107"/>
      <c r="H52" s="107"/>
      <c r="I52" s="107"/>
      <c r="J52" s="107"/>
      <c r="K52" s="107"/>
    </row>
    <row r="53" spans="3:11" x14ac:dyDescent="0.2">
      <c r="C53" s="107"/>
      <c r="D53" s="107"/>
      <c r="E53" s="107"/>
      <c r="F53" s="107"/>
      <c r="G53" s="107"/>
      <c r="H53" s="107"/>
      <c r="I53" s="107"/>
      <c r="J53" s="107"/>
      <c r="K53" s="107"/>
    </row>
    <row r="54" spans="3:11" x14ac:dyDescent="0.2">
      <c r="C54" s="107"/>
      <c r="D54" s="107"/>
      <c r="E54" s="107"/>
      <c r="F54" s="107"/>
      <c r="G54" s="107"/>
      <c r="H54" s="107"/>
      <c r="I54" s="107"/>
      <c r="J54" s="107"/>
      <c r="K54" s="107"/>
    </row>
    <row r="55" spans="3:11" x14ac:dyDescent="0.2">
      <c r="C55" s="107"/>
      <c r="D55" s="107"/>
      <c r="E55" s="107"/>
      <c r="F55" s="107"/>
      <c r="G55" s="107"/>
      <c r="H55" s="107"/>
      <c r="I55" s="107"/>
      <c r="J55" s="107"/>
      <c r="K55" s="107"/>
    </row>
    <row r="56" spans="3:11" x14ac:dyDescent="0.2">
      <c r="C56" s="107"/>
      <c r="D56" s="107"/>
      <c r="E56" s="107"/>
      <c r="F56" s="107"/>
      <c r="G56" s="107"/>
      <c r="H56" s="107"/>
      <c r="I56" s="107"/>
      <c r="J56" s="107"/>
      <c r="K56" s="107"/>
    </row>
    <row r="57" spans="3:11" x14ac:dyDescent="0.2">
      <c r="C57" s="107"/>
      <c r="D57" s="107"/>
      <c r="E57" s="107"/>
      <c r="F57" s="107"/>
      <c r="G57" s="107"/>
      <c r="H57" s="107"/>
      <c r="I57" s="107"/>
      <c r="J57" s="107"/>
      <c r="K57" s="107"/>
    </row>
  </sheetData>
  <customSheetViews>
    <customSheetView guid="{32908539-2542-409A-8F82-90CA4AF2FA22}" scale="130" showPageBreaks="1" fitToPage="1">
      <selection activeCell="B1" sqref="B1"/>
      <pageMargins left="0.7" right="0.7" top="0.75" bottom="0.75" header="0.3" footer="0.3"/>
      <pageSetup paperSize="5" scale="92" orientation="landscape" r:id="rId1"/>
    </customSheetView>
  </customSheetViews>
  <mergeCells count="4">
    <mergeCell ref="C1:K1"/>
    <mergeCell ref="A7:A16"/>
    <mergeCell ref="A19:B19"/>
    <mergeCell ref="A25:B25"/>
  </mergeCells>
  <printOptions horizontalCentered="1"/>
  <pageMargins left="0.7" right="0.7" top="1.75" bottom="0.75" header="0.8" footer="0.3"/>
  <pageSetup paperSize="5" scale="74" orientation="landscape" r:id="rId2"/>
  <headerFooter>
    <oddHeader>&amp;C&amp;"+,Bold"Southwest Texas Junior College
Proposed FY 2014 Budget
Summary of Ependitures by Revenue Source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41"/>
    <pageSetUpPr autoPageBreaks="0" fitToPage="1"/>
  </sheetPr>
  <dimension ref="A1:J308"/>
  <sheetViews>
    <sheetView tabSelected="1" zoomScaleSheetLayoutView="100" workbookViewId="0">
      <selection activeCell="G20" sqref="G20"/>
    </sheetView>
  </sheetViews>
  <sheetFormatPr defaultRowHeight="15" x14ac:dyDescent="0.2"/>
  <cols>
    <col min="1" max="1" width="4.33203125" customWidth="1"/>
    <col min="2" max="2" width="8.6640625" customWidth="1"/>
    <col min="3" max="3" width="13.109375" customWidth="1"/>
    <col min="4" max="4" width="10.33203125" customWidth="1"/>
    <col min="5" max="5" width="8.6640625" customWidth="1"/>
    <col min="6" max="6" width="14.5546875" bestFit="1" customWidth="1"/>
    <col min="7" max="7" width="15.44140625" bestFit="1" customWidth="1"/>
    <col min="8" max="8" width="14.109375" style="59" bestFit="1" customWidth="1"/>
    <col min="9" max="9" width="13.77734375" customWidth="1"/>
    <col min="10" max="10" width="12.88671875" bestFit="1" customWidth="1"/>
  </cols>
  <sheetData>
    <row r="1" spans="1:10" ht="15.75" x14ac:dyDescent="0.25">
      <c r="A1" s="519" t="s">
        <v>3724</v>
      </c>
      <c r="B1" s="519"/>
      <c r="C1" s="519"/>
      <c r="D1" s="519"/>
      <c r="E1" s="519"/>
      <c r="F1" s="519"/>
      <c r="G1" s="519"/>
      <c r="H1" s="519"/>
    </row>
    <row r="3" spans="1:10" ht="15.75" x14ac:dyDescent="0.25">
      <c r="F3" s="494" t="s">
        <v>3725</v>
      </c>
      <c r="G3" s="494" t="s">
        <v>3726</v>
      </c>
    </row>
    <row r="4" spans="1:10" ht="15.75" x14ac:dyDescent="0.25">
      <c r="F4" s="329" t="s">
        <v>2914</v>
      </c>
      <c r="G4" s="329" t="s">
        <v>2914</v>
      </c>
      <c r="H4" s="63" t="s">
        <v>1096</v>
      </c>
      <c r="I4" s="136"/>
      <c r="J4" s="136"/>
    </row>
    <row r="5" spans="1:10" x14ac:dyDescent="0.2">
      <c r="A5" t="s">
        <v>1913</v>
      </c>
    </row>
    <row r="6" spans="1:10" x14ac:dyDescent="0.2">
      <c r="B6" t="s">
        <v>1914</v>
      </c>
      <c r="E6" s="41">
        <f>F6/$F$13</f>
        <v>0.30609999999999998</v>
      </c>
      <c r="F6" s="364">
        <f>SUM('Revenue Start'!F7:F34)+0.08</f>
        <v>12917587.08</v>
      </c>
      <c r="G6" s="91">
        <v>15294280</v>
      </c>
      <c r="H6" s="96">
        <f>F6-G6</f>
        <v>-2376692.92</v>
      </c>
      <c r="I6" s="83"/>
      <c r="J6" s="24"/>
    </row>
    <row r="7" spans="1:10" x14ac:dyDescent="0.2">
      <c r="B7" t="s">
        <v>1917</v>
      </c>
      <c r="E7" s="41">
        <f t="shared" ref="E7:E12" si="0">F7/$F$13</f>
        <v>5.9700000000000003E-2</v>
      </c>
      <c r="F7" s="365">
        <f>SUM('Revenue Start'!F37:F44)</f>
        <v>2521000</v>
      </c>
      <c r="G7" s="94">
        <v>2521000</v>
      </c>
      <c r="H7" s="96">
        <f t="shared" ref="H7:H12" si="1">F7-G7</f>
        <v>0</v>
      </c>
      <c r="I7" s="83"/>
      <c r="J7" s="24"/>
    </row>
    <row r="8" spans="1:10" x14ac:dyDescent="0.2">
      <c r="B8" t="s">
        <v>1918</v>
      </c>
      <c r="E8" s="41">
        <f t="shared" si="0"/>
        <v>0.21149999999999999</v>
      </c>
      <c r="F8" s="365">
        <f>SUM('Revenue Start'!F47:F51)</f>
        <v>8926392</v>
      </c>
      <c r="G8" s="94">
        <v>8926392</v>
      </c>
      <c r="H8" s="96">
        <f t="shared" si="1"/>
        <v>0</v>
      </c>
      <c r="I8" s="83"/>
      <c r="J8" s="24"/>
    </row>
    <row r="9" spans="1:10" x14ac:dyDescent="0.2">
      <c r="B9" t="s">
        <v>1793</v>
      </c>
      <c r="E9" s="41">
        <f t="shared" si="0"/>
        <v>4.8300000000000003E-2</v>
      </c>
      <c r="F9" s="365">
        <f>SUM('Revenue Start'!F54:F67)</f>
        <v>2039026</v>
      </c>
      <c r="G9" s="94">
        <v>2039026</v>
      </c>
      <c r="H9" s="96">
        <f t="shared" si="1"/>
        <v>0</v>
      </c>
      <c r="I9" s="83"/>
      <c r="J9" s="24"/>
    </row>
    <row r="10" spans="1:10" x14ac:dyDescent="0.2">
      <c r="B10" t="s">
        <v>1915</v>
      </c>
      <c r="E10" s="41">
        <f t="shared" si="0"/>
        <v>0.30220000000000002</v>
      </c>
      <c r="F10" s="365">
        <f>SUM('Revenue Start'!F70:F77)</f>
        <v>12754253</v>
      </c>
      <c r="G10" s="94">
        <v>12754253</v>
      </c>
      <c r="H10" s="96">
        <f>F10-G10</f>
        <v>0</v>
      </c>
      <c r="I10" s="83"/>
      <c r="J10" s="24"/>
    </row>
    <row r="11" spans="1:10" x14ac:dyDescent="0.2">
      <c r="B11" t="s">
        <v>1919</v>
      </c>
      <c r="E11" s="41">
        <f t="shared" si="0"/>
        <v>4.53E-2</v>
      </c>
      <c r="F11" s="365">
        <f>SUM('Revenue Start'!F80:F91)</f>
        <v>1912472</v>
      </c>
      <c r="G11" s="94">
        <v>1912472</v>
      </c>
      <c r="H11" s="96">
        <f t="shared" si="1"/>
        <v>0</v>
      </c>
      <c r="I11" s="83"/>
      <c r="J11" s="24"/>
    </row>
    <row r="12" spans="1:10" x14ac:dyDescent="0.2">
      <c r="B12" t="s">
        <v>1916</v>
      </c>
      <c r="E12" s="41">
        <f t="shared" si="0"/>
        <v>2.69E-2</v>
      </c>
      <c r="F12" s="366">
        <f>SUM('Revenue Start'!F94:F103)</f>
        <v>1134500</v>
      </c>
      <c r="G12" s="95">
        <v>1134500</v>
      </c>
      <c r="H12" s="97">
        <f t="shared" si="1"/>
        <v>0</v>
      </c>
      <c r="I12" s="277"/>
      <c r="J12" s="180"/>
    </row>
    <row r="13" spans="1:10" ht="15.75" thickBot="1" x14ac:dyDescent="0.25">
      <c r="E13" s="41"/>
      <c r="F13" s="367">
        <f>SUM(F6:F12)</f>
        <v>42205230.079999998</v>
      </c>
      <c r="G13" s="92">
        <f>SUM(G6:G12)</f>
        <v>44581923</v>
      </c>
      <c r="H13" s="98">
        <f>SUM(H6:H12)</f>
        <v>-2376692.92</v>
      </c>
      <c r="I13" s="180"/>
      <c r="J13" s="180"/>
    </row>
    <row r="14" spans="1:10" ht="15.75" thickTop="1" x14ac:dyDescent="0.2">
      <c r="A14" t="s">
        <v>1920</v>
      </c>
      <c r="E14" s="41"/>
      <c r="F14" s="368"/>
      <c r="G14" s="93"/>
      <c r="H14" s="99"/>
      <c r="I14" s="277"/>
      <c r="J14" s="40"/>
    </row>
    <row r="15" spans="1:10" x14ac:dyDescent="0.2">
      <c r="B15" t="s">
        <v>1921</v>
      </c>
      <c r="E15" s="41">
        <f>F15/$F$24</f>
        <v>0.22869999999999999</v>
      </c>
      <c r="F15" s="364">
        <f>SUM('Combine Sal Op'!K9:K166)+SUM('Combine Sal Op'!K560:K609)+SUM('Combine Sal Op'!K670:K718)+SUM('Combine Sal Op'!K785:K801)+SUM('Combine Sal Op'!K822:K901)</f>
        <v>9653407.7699999996</v>
      </c>
      <c r="G15" s="91">
        <v>10139613.539999999</v>
      </c>
      <c r="H15" s="96">
        <f>F15-G15</f>
        <v>-486205.77</v>
      </c>
      <c r="I15" s="277"/>
      <c r="J15" s="180"/>
    </row>
    <row r="16" spans="1:10" x14ac:dyDescent="0.2">
      <c r="B16" t="s">
        <v>1925</v>
      </c>
      <c r="E16" s="41">
        <f>F16/$F$24</f>
        <v>5.5E-2</v>
      </c>
      <c r="F16" s="365">
        <f>SUM('Combine Sal Op'!K170:K202)+SUM('Combine Sal Op'!K614:K621)+SUM('Combine Sal Op'!K723:K731)+SUM('Combine Sal Op'!K806:K810)+SUM('Combine Sal Op'!K905:K919)</f>
        <v>2319728.15</v>
      </c>
      <c r="G16" s="94">
        <v>2592305.11</v>
      </c>
      <c r="H16" s="96">
        <f t="shared" ref="H16:H23" si="2">F16-G16</f>
        <v>-272576.96000000002</v>
      </c>
      <c r="I16" s="277"/>
      <c r="J16" s="180"/>
    </row>
    <row r="17" spans="2:10" x14ac:dyDescent="0.2">
      <c r="B17" t="s">
        <v>1924</v>
      </c>
      <c r="E17" s="41">
        <f t="shared" ref="E17:E23" si="3">F17/$F$24</f>
        <v>3.6600000000000001E-2</v>
      </c>
      <c r="F17" s="365">
        <f>SUM('Combine Sal Op'!K206:K317)+SUM('Combine Sal Op'!K626:K646)+SUM('Combine Sal Op'!K736:K762)</f>
        <v>1542819.07</v>
      </c>
      <c r="G17" s="94">
        <v>1615768.51</v>
      </c>
      <c r="H17" s="96">
        <f t="shared" si="2"/>
        <v>-72949.440000000002</v>
      </c>
      <c r="I17" s="277"/>
      <c r="J17" s="180"/>
    </row>
    <row r="18" spans="2:10" x14ac:dyDescent="0.2">
      <c r="B18" t="s">
        <v>1923</v>
      </c>
      <c r="E18" s="41">
        <f t="shared" si="3"/>
        <v>0.17050000000000001</v>
      </c>
      <c r="F18" s="365">
        <f>SUM('Combine Sal Op'!K320:K428)+SUM('Combine Sal Op'!K650)+SUM('Combine Sal Op'!K766)</f>
        <v>7195280.9800000004</v>
      </c>
      <c r="G18" s="94">
        <v>7865729.9699999997</v>
      </c>
      <c r="H18" s="96">
        <f t="shared" si="2"/>
        <v>-670448.99</v>
      </c>
      <c r="I18" s="277"/>
      <c r="J18" s="180"/>
    </row>
    <row r="19" spans="2:10" x14ac:dyDescent="0.2">
      <c r="B19" t="s">
        <v>1922</v>
      </c>
      <c r="E19" s="41">
        <f t="shared" si="3"/>
        <v>7.5499999999999998E-2</v>
      </c>
      <c r="F19" s="365">
        <f>SUM('Combine Sal Op'!K433:K446)+SUM('Combine Sal Op'!K655:K664)+SUM('Combine Sal Op'!K771:K780)+SUM('Combine Sal Op'!K814:K816)+SUM('Combine Sal Op'!K922:K925)</f>
        <v>3185846.72</v>
      </c>
      <c r="G19" s="94">
        <v>3800839.28</v>
      </c>
      <c r="H19" s="96">
        <f t="shared" si="2"/>
        <v>-614992.56000000006</v>
      </c>
      <c r="I19" s="277"/>
      <c r="J19" s="180"/>
    </row>
    <row r="20" spans="2:10" x14ac:dyDescent="0.2">
      <c r="B20" t="s">
        <v>1093</v>
      </c>
      <c r="E20" s="41">
        <f t="shared" si="3"/>
        <v>4.7100000000000003E-2</v>
      </c>
      <c r="F20" s="365">
        <f>SUM('Combine Sal Op'!K451:K464)</f>
        <v>1986091.56</v>
      </c>
      <c r="G20" s="94">
        <v>2156975.48</v>
      </c>
      <c r="H20" s="96">
        <f t="shared" si="2"/>
        <v>-170883.92</v>
      </c>
      <c r="I20" s="277"/>
      <c r="J20" s="180"/>
    </row>
    <row r="21" spans="2:10" x14ac:dyDescent="0.2">
      <c r="B21" t="s">
        <v>1793</v>
      </c>
      <c r="E21" s="41">
        <f t="shared" si="3"/>
        <v>4.8300000000000003E-2</v>
      </c>
      <c r="F21" s="365">
        <f>SUM('Combine Sal Op'!K469:K503)</f>
        <v>2039938.7</v>
      </c>
      <c r="G21" s="94">
        <v>2039912.12</v>
      </c>
      <c r="H21" s="96">
        <f t="shared" si="2"/>
        <v>26.58</v>
      </c>
      <c r="I21" s="277"/>
      <c r="J21" s="180"/>
    </row>
    <row r="22" spans="2:10" x14ac:dyDescent="0.2">
      <c r="B22" t="s">
        <v>1915</v>
      </c>
      <c r="E22" s="41">
        <f t="shared" si="3"/>
        <v>0.31119999999999998</v>
      </c>
      <c r="F22" s="365">
        <f>SUM('Combine Sal Op'!K506:K524)</f>
        <v>13134253</v>
      </c>
      <c r="G22" s="94">
        <v>13154253</v>
      </c>
      <c r="H22" s="96">
        <f t="shared" si="2"/>
        <v>-20000</v>
      </c>
      <c r="I22" s="277"/>
      <c r="J22" s="180"/>
    </row>
    <row r="23" spans="2:10" x14ac:dyDescent="0.2">
      <c r="B23" t="s">
        <v>1792</v>
      </c>
      <c r="E23" s="41">
        <f t="shared" si="3"/>
        <v>2.7199999999999998E-2</v>
      </c>
      <c r="F23" s="366">
        <f>SUM('Combine Sal Op'!K528:K554)</f>
        <v>1147864.1299999999</v>
      </c>
      <c r="G23" s="95">
        <v>1216525.99</v>
      </c>
      <c r="H23" s="97">
        <f t="shared" si="2"/>
        <v>-68661.86</v>
      </c>
      <c r="I23" s="277"/>
      <c r="J23" s="180"/>
    </row>
    <row r="24" spans="2:10" ht="15.75" thickBot="1" x14ac:dyDescent="0.25">
      <c r="E24" s="41"/>
      <c r="F24" s="92">
        <f>SUM(F15:F23)</f>
        <v>42205230.079999998</v>
      </c>
      <c r="G24" s="92">
        <f>SUM(G15:G23)</f>
        <v>44581923</v>
      </c>
      <c r="H24" s="98">
        <f>SUM(H15:H23)</f>
        <v>-2376692.92</v>
      </c>
      <c r="I24" s="277"/>
      <c r="J24" s="277"/>
    </row>
    <row r="25" spans="2:10" ht="15.75" thickTop="1" x14ac:dyDescent="0.2">
      <c r="F25" s="40"/>
      <c r="G25" s="40"/>
      <c r="H25" s="60"/>
      <c r="I25" s="40"/>
      <c r="J25" s="40"/>
    </row>
    <row r="26" spans="2:10" x14ac:dyDescent="0.2">
      <c r="B26" s="100" t="s">
        <v>1885</v>
      </c>
      <c r="F26" s="91">
        <f>F13-F24</f>
        <v>0</v>
      </c>
      <c r="G26" s="91">
        <f>G13-G24</f>
        <v>0</v>
      </c>
      <c r="H26" s="91">
        <f>H13-H24</f>
        <v>0</v>
      </c>
      <c r="I26" s="311"/>
      <c r="J26" s="40"/>
    </row>
    <row r="27" spans="2:10" x14ac:dyDescent="0.2">
      <c r="F27" s="41"/>
      <c r="G27" s="41"/>
    </row>
    <row r="29" spans="2:10" x14ac:dyDescent="0.2">
      <c r="B29" s="136" t="s">
        <v>2044</v>
      </c>
      <c r="E29" s="41">
        <f>+F29/F24</f>
        <v>0.64049999999999996</v>
      </c>
      <c r="F29" s="137">
        <f>+F24-F22-F21</f>
        <v>27031038</v>
      </c>
      <c r="G29" s="137">
        <f>+G24-G21-G22</f>
        <v>29387758</v>
      </c>
      <c r="H29" s="137"/>
    </row>
    <row r="33" spans="6:6" x14ac:dyDescent="0.2">
      <c r="F33" s="91"/>
    </row>
    <row r="308" spans="8:8" s="133" customFormat="1" x14ac:dyDescent="0.2">
      <c r="H308" s="132"/>
    </row>
  </sheetData>
  <customSheetViews>
    <customSheetView guid="{32908539-2542-409A-8F82-90CA4AF2FA22}" showPageBreaks="1">
      <selection activeCell="E33" sqref="E33"/>
      <pageMargins left="0.75" right="0.75" top="1" bottom="1" header="0.5" footer="0.5"/>
      <printOptions horizontalCentered="1"/>
      <pageSetup scale="88" orientation="landscape" r:id="rId1"/>
      <headerFooter alignWithMargins="0">
        <oddHeader>&amp;C&amp;"Arial,Bold"SWTJC DRAFT OPERATING BUDGET
FY 2010
SUMMARY</oddHeader>
        <oddFooter>&amp;C&amp;P</oddFooter>
      </headerFooter>
    </customSheetView>
    <customSheetView guid="{A8860A6A-D8F5-A548-B67D-3E99578E1F8E}">
      <pageMargins left="0.7" right="0.7" top="0.75" bottom="0.75" header="0.3" footer="0.3"/>
      <printOptions horizontalCentered="1"/>
      <headerFooter alignWithMargins="0">
        <oddHeader>&amp;C&amp;"Arial,Bold"SWTJC DRAFT OPERATING BUDGETFY 2010SUMMARY</oddHeader>
        <oddFooter>&amp;C&amp;P</oddFooter>
      </headerFooter>
    </customSheetView>
  </customSheetViews>
  <mergeCells count="1">
    <mergeCell ref="A1:H1"/>
  </mergeCells>
  <phoneticPr fontId="15" type="noConversion"/>
  <printOptions horizontalCentered="1"/>
  <pageMargins left="0.7" right="0.7" top="0.75" bottom="0.75" header="0.3" footer="0.3"/>
  <pageSetup orientation="landscape" r:id="rId2"/>
  <headerFooter alignWithMargins="0">
    <oddHeader>&amp;C&amp;"Arial,Bold"SWTJC DRAFT OPERATING BUDGET FY 2014 SUMMARY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5">
    <tabColor indexed="48"/>
    <pageSetUpPr fitToPage="1"/>
  </sheetPr>
  <dimension ref="A1:IV946"/>
  <sheetViews>
    <sheetView zoomScale="85" zoomScaleNormal="85" zoomScaleSheetLayoutView="80" zoomScalePageLayoutView="85" workbookViewId="0">
      <pane ySplit="3" topLeftCell="A907" activePane="bottomLeft" state="frozen"/>
      <selection pane="bottomLeft" activeCell="I932" sqref="I932"/>
    </sheetView>
  </sheetViews>
  <sheetFormatPr defaultRowHeight="15.75" x14ac:dyDescent="0.25"/>
  <cols>
    <col min="1" max="1" width="4.6640625" style="34" customWidth="1"/>
    <col min="2" max="2" width="4.6640625" style="54" customWidth="1"/>
    <col min="3" max="3" width="6.44140625" style="34" customWidth="1"/>
    <col min="4" max="4" width="5.88671875" style="34" customWidth="1"/>
    <col min="5" max="5" width="2.6640625" style="34" customWidth="1"/>
    <col min="6" max="6" width="17.6640625" style="34" customWidth="1"/>
    <col min="7" max="7" width="15" style="34" customWidth="1"/>
    <col min="8" max="8" width="11.33203125" style="34" customWidth="1"/>
    <col min="9" max="9" width="14.33203125" style="79" customWidth="1"/>
    <col min="10" max="10" width="1.6640625" style="79" customWidth="1"/>
    <col min="11" max="11" width="14.33203125" style="79" bestFit="1" customWidth="1"/>
    <col min="12" max="12" width="1.6640625" style="34" customWidth="1"/>
    <col min="13" max="13" width="15.44140625" style="34" customWidth="1"/>
    <col min="14" max="14" width="1.6640625" style="34" customWidth="1"/>
    <col min="15" max="15" width="12" style="34" customWidth="1"/>
    <col min="16" max="16" width="1.6640625" style="34" customWidth="1"/>
    <col min="17" max="17" width="11.6640625" style="34" bestFit="1" customWidth="1"/>
    <col min="18" max="18" width="1.6640625" style="34" customWidth="1"/>
    <col min="19" max="19" width="12.5546875" style="79" bestFit="1" customWidth="1"/>
    <col min="20" max="20" width="13.6640625" style="172" bestFit="1" customWidth="1"/>
    <col min="21" max="16384" width="8.88671875" style="34"/>
  </cols>
  <sheetData>
    <row r="1" spans="1:20" x14ac:dyDescent="0.25">
      <c r="I1" s="79">
        <f>SUMIF(G9:G928,"SALARIES",I9:I928)</f>
        <v>15707309.91</v>
      </c>
      <c r="K1" s="79">
        <f>SUMIF(G9:G928,"OPERATING EXPENDITURES",I9:I928)</f>
        <v>25919475.170000002</v>
      </c>
    </row>
    <row r="3" spans="1:20" x14ac:dyDescent="0.25">
      <c r="E3" s="251"/>
      <c r="G3" s="251" t="s">
        <v>342</v>
      </c>
      <c r="I3" s="264" t="s">
        <v>2915</v>
      </c>
      <c r="J3" s="265"/>
      <c r="K3" s="265"/>
      <c r="M3" s="266" t="s">
        <v>2881</v>
      </c>
      <c r="N3" s="266"/>
      <c r="O3" s="266"/>
      <c r="Q3" s="267" t="s">
        <v>1709</v>
      </c>
      <c r="S3" s="259"/>
      <c r="T3" s="262"/>
    </row>
    <row r="4" spans="1:20" x14ac:dyDescent="0.25">
      <c r="I4" s="182"/>
      <c r="J4" s="182"/>
      <c r="K4" s="182"/>
      <c r="M4" s="183"/>
      <c r="N4" s="183"/>
      <c r="O4" s="183"/>
      <c r="Q4" s="184"/>
      <c r="T4" s="262"/>
    </row>
    <row r="5" spans="1:20" ht="18" x14ac:dyDescent="0.25">
      <c r="A5" s="261" t="s">
        <v>1341</v>
      </c>
      <c r="B5" s="261"/>
    </row>
    <row r="6" spans="1:20" ht="18" x14ac:dyDescent="0.25">
      <c r="A6" s="261"/>
      <c r="B6" s="54" t="s">
        <v>1340</v>
      </c>
    </row>
    <row r="7" spans="1:20" x14ac:dyDescent="0.25">
      <c r="A7" s="268"/>
      <c r="B7" s="185"/>
      <c r="C7" s="251" t="s">
        <v>1344</v>
      </c>
      <c r="D7" s="186"/>
      <c r="E7" s="186"/>
      <c r="F7" s="186"/>
      <c r="G7" s="186"/>
      <c r="H7" s="186"/>
      <c r="I7" s="80"/>
      <c r="J7" s="80"/>
      <c r="K7" s="80"/>
      <c r="L7" s="32"/>
      <c r="M7" s="32"/>
      <c r="N7" s="32"/>
      <c r="O7" s="32"/>
      <c r="P7" s="32"/>
      <c r="Q7" s="32"/>
      <c r="R7" s="186"/>
      <c r="S7" s="80"/>
    </row>
    <row r="8" spans="1:20" x14ac:dyDescent="0.25">
      <c r="A8" s="251"/>
      <c r="B8" s="55"/>
      <c r="D8" s="251" t="s">
        <v>885</v>
      </c>
      <c r="J8" s="80"/>
      <c r="K8" s="80"/>
      <c r="L8" s="31"/>
      <c r="M8" s="32"/>
      <c r="N8" s="31"/>
      <c r="O8" s="32"/>
      <c r="P8" s="31"/>
      <c r="Q8" s="32"/>
    </row>
    <row r="9" spans="1:20" x14ac:dyDescent="0.25">
      <c r="A9" s="255"/>
      <c r="E9" s="251" t="s">
        <v>1107</v>
      </c>
      <c r="G9" s="251" t="s">
        <v>1123</v>
      </c>
      <c r="I9" s="258">
        <f>Salaries!AZ378</f>
        <v>3746291.76</v>
      </c>
      <c r="J9" s="80"/>
      <c r="K9" s="80">
        <f>I9</f>
        <v>3746291.76</v>
      </c>
      <c r="L9" s="31"/>
      <c r="M9" s="258">
        <v>3795763.44</v>
      </c>
      <c r="N9" s="31"/>
      <c r="O9" s="32">
        <v>3795763</v>
      </c>
      <c r="P9" s="31"/>
      <c r="Q9" s="32">
        <f>K9-O9</f>
        <v>-49471</v>
      </c>
      <c r="T9" s="210"/>
    </row>
    <row r="10" spans="1:20" x14ac:dyDescent="0.25">
      <c r="A10" s="251"/>
      <c r="B10" s="55"/>
      <c r="D10" s="251" t="s">
        <v>886</v>
      </c>
      <c r="I10" s="259" t="s">
        <v>342</v>
      </c>
      <c r="J10" s="80"/>
      <c r="K10" s="80"/>
      <c r="L10" s="31"/>
      <c r="M10" s="259" t="s">
        <v>342</v>
      </c>
      <c r="N10" s="31"/>
      <c r="O10" s="32"/>
      <c r="P10" s="31"/>
      <c r="Q10" s="32"/>
      <c r="T10" s="210"/>
    </row>
    <row r="11" spans="1:20" x14ac:dyDescent="0.25">
      <c r="A11" s="255"/>
      <c r="E11" s="251" t="s">
        <v>1108</v>
      </c>
      <c r="G11" s="251" t="s">
        <v>1123</v>
      </c>
      <c r="I11" s="258">
        <f>Salaries!DQ378</f>
        <v>1725000</v>
      </c>
      <c r="J11" s="80"/>
      <c r="K11" s="80">
        <f>I11</f>
        <v>1725000</v>
      </c>
      <c r="L11" s="31"/>
      <c r="M11" s="258">
        <v>1764113.53</v>
      </c>
      <c r="N11" s="31"/>
      <c r="O11" s="32">
        <v>1764114</v>
      </c>
      <c r="P11" s="31"/>
      <c r="Q11" s="32">
        <f>K11-O11</f>
        <v>-39114</v>
      </c>
      <c r="T11" s="210"/>
    </row>
    <row r="12" spans="1:20" x14ac:dyDescent="0.25">
      <c r="A12" s="255"/>
      <c r="E12" s="251"/>
      <c r="G12" s="251"/>
      <c r="I12" s="258"/>
      <c r="J12" s="80"/>
      <c r="K12" s="80"/>
      <c r="L12" s="31"/>
      <c r="M12" s="258"/>
      <c r="N12" s="31"/>
      <c r="O12" s="32"/>
      <c r="P12" s="31"/>
      <c r="Q12" s="32"/>
      <c r="T12" s="210"/>
    </row>
    <row r="13" spans="1:20" x14ac:dyDescent="0.25">
      <c r="A13" s="255"/>
      <c r="C13" s="34" t="s">
        <v>1345</v>
      </c>
      <c r="E13" s="251"/>
      <c r="G13" s="251"/>
      <c r="I13" s="258"/>
      <c r="J13" s="80"/>
      <c r="K13" s="80"/>
      <c r="L13" s="31"/>
      <c r="M13" s="258"/>
      <c r="N13" s="31"/>
      <c r="O13" s="32"/>
      <c r="P13" s="31"/>
      <c r="Q13" s="32"/>
      <c r="T13" s="210"/>
    </row>
    <row r="14" spans="1:20" x14ac:dyDescent="0.25">
      <c r="A14" s="251"/>
      <c r="B14" s="55"/>
      <c r="C14" s="186"/>
      <c r="D14" s="251" t="s">
        <v>2756</v>
      </c>
      <c r="E14" s="186"/>
      <c r="F14" s="186"/>
      <c r="G14" s="186"/>
      <c r="H14" s="186"/>
      <c r="I14" s="258"/>
      <c r="J14" s="80"/>
      <c r="K14" s="80"/>
      <c r="L14" s="32"/>
      <c r="M14" s="258"/>
      <c r="N14" s="32"/>
      <c r="O14" s="32"/>
      <c r="P14" s="32"/>
      <c r="Q14" s="32"/>
      <c r="R14" s="186"/>
      <c r="S14" s="80"/>
      <c r="T14" s="210"/>
    </row>
    <row r="15" spans="1:20" x14ac:dyDescent="0.25">
      <c r="A15" s="255"/>
      <c r="E15" s="251" t="s">
        <v>1001</v>
      </c>
      <c r="G15" s="251" t="s">
        <v>1264</v>
      </c>
      <c r="I15" s="258">
        <f>'Op Detail'!D3470+'Op Detail'!E3470+'Op Detail'!F3470+'Op Detail'!H3470</f>
        <v>51680</v>
      </c>
      <c r="K15" s="80"/>
      <c r="L15" s="31"/>
      <c r="M15" s="258">
        <v>59015</v>
      </c>
      <c r="N15" s="31"/>
      <c r="O15" s="32"/>
      <c r="P15" s="31"/>
      <c r="Q15" s="32"/>
      <c r="T15" s="210"/>
    </row>
    <row r="16" spans="1:20" x14ac:dyDescent="0.25">
      <c r="A16" s="255"/>
      <c r="E16" s="251" t="s">
        <v>1002</v>
      </c>
      <c r="G16" s="251" t="s">
        <v>1123</v>
      </c>
      <c r="I16" s="258">
        <f>Salaries!BK378</f>
        <v>244281.66</v>
      </c>
      <c r="K16" s="80">
        <f>I15+I16</f>
        <v>295961.65999999997</v>
      </c>
      <c r="L16" s="31"/>
      <c r="M16" s="258">
        <v>109696.2</v>
      </c>
      <c r="N16" s="31"/>
      <c r="O16" s="32">
        <v>168711</v>
      </c>
      <c r="P16" s="31"/>
      <c r="Q16" s="32">
        <f>K16-O16</f>
        <v>127251</v>
      </c>
      <c r="T16" s="210"/>
    </row>
    <row r="17" spans="1:20" x14ac:dyDescent="0.25">
      <c r="A17" s="251"/>
      <c r="B17" s="55"/>
      <c r="D17" s="251" t="s">
        <v>1555</v>
      </c>
      <c r="I17" s="258"/>
      <c r="K17" s="80"/>
      <c r="L17" s="31"/>
      <c r="M17" s="258"/>
      <c r="N17" s="31"/>
      <c r="O17" s="32"/>
      <c r="P17" s="31"/>
      <c r="Q17" s="32"/>
      <c r="T17" s="210"/>
    </row>
    <row r="18" spans="1:20" x14ac:dyDescent="0.25">
      <c r="A18" s="255"/>
      <c r="E18" s="251" t="s">
        <v>482</v>
      </c>
      <c r="G18" s="251" t="s">
        <v>1264</v>
      </c>
      <c r="I18" s="258">
        <f>'Op Detail'!D5173</f>
        <v>540</v>
      </c>
      <c r="K18" s="80">
        <f>I18</f>
        <v>540</v>
      </c>
      <c r="L18" s="31"/>
      <c r="M18" s="258">
        <v>1140</v>
      </c>
      <c r="N18" s="31"/>
      <c r="O18" s="32">
        <v>1140</v>
      </c>
      <c r="P18" s="31"/>
      <c r="Q18" s="32">
        <f>K18-O18</f>
        <v>-600</v>
      </c>
      <c r="T18" s="210"/>
    </row>
    <row r="19" spans="1:20" x14ac:dyDescent="0.25">
      <c r="A19" s="251"/>
      <c r="B19" s="55"/>
      <c r="D19" s="251" t="s">
        <v>1556</v>
      </c>
      <c r="I19" s="258"/>
      <c r="K19" s="80"/>
      <c r="L19" s="31"/>
      <c r="M19" s="258"/>
      <c r="N19" s="31"/>
      <c r="O19" s="32"/>
      <c r="P19" s="31"/>
      <c r="Q19" s="32"/>
      <c r="T19" s="210"/>
    </row>
    <row r="20" spans="1:20" x14ac:dyDescent="0.25">
      <c r="A20" s="255"/>
      <c r="E20" s="251" t="s">
        <v>962</v>
      </c>
      <c r="G20" s="251" t="s">
        <v>1264</v>
      </c>
      <c r="I20" s="258">
        <f>'Op Detail'!D2122</f>
        <v>2202.23</v>
      </c>
      <c r="K20" s="80">
        <f>I20</f>
        <v>2202.23</v>
      </c>
      <c r="L20" s="31"/>
      <c r="M20" s="258">
        <v>1975</v>
      </c>
      <c r="N20" s="31"/>
      <c r="O20" s="32">
        <v>1975</v>
      </c>
      <c r="P20" s="31"/>
      <c r="Q20" s="32">
        <f>K20-O20</f>
        <v>227</v>
      </c>
      <c r="S20" s="259"/>
      <c r="T20" s="210"/>
    </row>
    <row r="21" spans="1:20" x14ac:dyDescent="0.25">
      <c r="A21" s="251"/>
      <c r="B21" s="55"/>
      <c r="D21" s="251" t="s">
        <v>2845</v>
      </c>
      <c r="I21" s="258"/>
      <c r="K21" s="80"/>
      <c r="L21" s="31"/>
      <c r="M21" s="258"/>
      <c r="N21" s="31"/>
      <c r="O21" s="32"/>
      <c r="P21" s="31"/>
      <c r="Q21" s="32"/>
    </row>
    <row r="22" spans="1:20" x14ac:dyDescent="0.25">
      <c r="A22" s="255"/>
      <c r="E22" s="251" t="s">
        <v>963</v>
      </c>
      <c r="G22" s="251" t="s">
        <v>1264</v>
      </c>
      <c r="I22" s="258">
        <f>'Op Detail'!D2252</f>
        <v>16714.78</v>
      </c>
      <c r="K22" s="80"/>
      <c r="L22" s="31"/>
      <c r="M22" s="258"/>
      <c r="N22" s="31"/>
      <c r="O22" s="32"/>
      <c r="P22" s="31"/>
      <c r="Q22" s="32"/>
    </row>
    <row r="23" spans="1:20" x14ac:dyDescent="0.25">
      <c r="A23" s="255"/>
      <c r="E23" s="251" t="s">
        <v>3215</v>
      </c>
      <c r="G23" s="251" t="s">
        <v>1123</v>
      </c>
      <c r="I23" s="258">
        <f>+Salaries!BH378</f>
        <v>44099.96</v>
      </c>
      <c r="K23" s="80">
        <f>I22+I23</f>
        <v>60814.74</v>
      </c>
      <c r="L23" s="31"/>
      <c r="M23" s="258">
        <v>16450</v>
      </c>
      <c r="N23" s="31"/>
      <c r="O23" s="32">
        <v>16450</v>
      </c>
      <c r="P23" s="31"/>
      <c r="Q23" s="32">
        <f>K23-O23</f>
        <v>44365</v>
      </c>
    </row>
    <row r="24" spans="1:20" x14ac:dyDescent="0.25">
      <c r="A24" s="255"/>
      <c r="D24" s="255" t="s">
        <v>13</v>
      </c>
      <c r="E24" s="251"/>
      <c r="G24" s="251"/>
      <c r="I24" s="258"/>
      <c r="K24" s="80"/>
      <c r="L24" s="31"/>
      <c r="M24" s="258"/>
      <c r="N24" s="31"/>
      <c r="O24" s="32"/>
      <c r="P24" s="31"/>
      <c r="Q24" s="32"/>
    </row>
    <row r="25" spans="1:20" x14ac:dyDescent="0.25">
      <c r="A25" s="255"/>
      <c r="E25" s="251" t="s">
        <v>2847</v>
      </c>
      <c r="G25" s="251" t="s">
        <v>1264</v>
      </c>
      <c r="I25" s="258">
        <f>+'Op Detail'!D6642</f>
        <v>2194.44</v>
      </c>
      <c r="K25" s="80">
        <f>I25</f>
        <v>2194.44</v>
      </c>
      <c r="L25" s="31"/>
      <c r="M25" s="258">
        <v>2300</v>
      </c>
      <c r="N25" s="31"/>
      <c r="O25" s="32">
        <v>2300</v>
      </c>
      <c r="P25" s="31"/>
      <c r="Q25" s="32">
        <f>K25-O25</f>
        <v>-106</v>
      </c>
    </row>
    <row r="26" spans="1:20" x14ac:dyDescent="0.25">
      <c r="A26" s="251"/>
      <c r="B26" s="55"/>
      <c r="D26" s="251" t="s">
        <v>1557</v>
      </c>
      <c r="I26" s="258"/>
      <c r="K26" s="80"/>
      <c r="L26" s="31"/>
      <c r="M26" s="258"/>
      <c r="N26" s="31"/>
      <c r="O26" s="32"/>
      <c r="P26" s="31"/>
      <c r="Q26" s="32"/>
    </row>
    <row r="27" spans="1:20" x14ac:dyDescent="0.25">
      <c r="A27" s="255"/>
      <c r="E27" s="251" t="s">
        <v>483</v>
      </c>
      <c r="G27" s="251" t="s">
        <v>1264</v>
      </c>
      <c r="I27" s="258">
        <f>'Op Detail'!D5195</f>
        <v>2697.6</v>
      </c>
      <c r="K27" s="80">
        <f>I27</f>
        <v>2697.6</v>
      </c>
      <c r="L27" s="31"/>
      <c r="M27" s="258">
        <v>3372</v>
      </c>
      <c r="N27" s="31"/>
      <c r="O27" s="32">
        <v>3372</v>
      </c>
      <c r="P27" s="31"/>
      <c r="Q27" s="32">
        <f>K27-O27</f>
        <v>-674</v>
      </c>
    </row>
    <row r="28" spans="1:20" x14ac:dyDescent="0.25">
      <c r="A28" s="255"/>
      <c r="D28" s="34" t="s">
        <v>1845</v>
      </c>
      <c r="E28" s="251"/>
      <c r="G28" s="251"/>
      <c r="I28" s="258"/>
      <c r="K28" s="80"/>
      <c r="L28" s="31"/>
      <c r="M28" s="258"/>
      <c r="N28" s="31"/>
      <c r="O28" s="32"/>
      <c r="P28" s="31"/>
      <c r="Q28" s="32"/>
    </row>
    <row r="29" spans="1:20" x14ac:dyDescent="0.25">
      <c r="A29" s="255"/>
      <c r="E29" s="251" t="s">
        <v>1847</v>
      </c>
      <c r="G29" s="251" t="s">
        <v>1264</v>
      </c>
      <c r="I29" s="258">
        <f>'Op Detail'!D6048</f>
        <v>3240</v>
      </c>
      <c r="K29" s="80">
        <f>I29</f>
        <v>3240</v>
      </c>
      <c r="L29" s="31"/>
      <c r="M29" s="258">
        <v>4100</v>
      </c>
      <c r="N29" s="31"/>
      <c r="O29" s="32">
        <v>4100</v>
      </c>
      <c r="P29" s="31"/>
      <c r="Q29" s="32">
        <f>K29-O29</f>
        <v>-860</v>
      </c>
    </row>
    <row r="30" spans="1:20" x14ac:dyDescent="0.25">
      <c r="A30" s="251"/>
      <c r="B30" s="55"/>
      <c r="E30" s="251"/>
      <c r="G30" s="251"/>
      <c r="I30" s="258"/>
      <c r="K30" s="80"/>
      <c r="L30" s="31"/>
      <c r="M30" s="258"/>
      <c r="N30" s="31"/>
      <c r="O30" s="32"/>
      <c r="P30" s="31"/>
      <c r="Q30" s="32"/>
    </row>
    <row r="31" spans="1:20" x14ac:dyDescent="0.25">
      <c r="A31" s="255"/>
      <c r="C31" s="251" t="s">
        <v>361</v>
      </c>
      <c r="I31" s="259"/>
      <c r="L31" s="31"/>
      <c r="M31" s="259"/>
      <c r="N31" s="31"/>
      <c r="O31" s="31"/>
      <c r="P31" s="31"/>
      <c r="Q31" s="32"/>
    </row>
    <row r="32" spans="1:20" x14ac:dyDescent="0.25">
      <c r="A32" s="251"/>
      <c r="B32" s="55"/>
      <c r="D32" s="251" t="s">
        <v>887</v>
      </c>
      <c r="I32" s="259"/>
      <c r="L32" s="31"/>
      <c r="M32" s="259"/>
      <c r="N32" s="31"/>
      <c r="O32" s="31"/>
      <c r="P32" s="31"/>
      <c r="Q32" s="32"/>
    </row>
    <row r="33" spans="1:17" x14ac:dyDescent="0.25">
      <c r="A33" s="255"/>
      <c r="E33" s="251" t="s">
        <v>1109</v>
      </c>
      <c r="G33" s="251" t="s">
        <v>1264</v>
      </c>
      <c r="I33" s="258">
        <f>'Op Detail'!D1932</f>
        <v>0</v>
      </c>
      <c r="J33" s="80"/>
      <c r="K33" s="80">
        <f>I33</f>
        <v>0</v>
      </c>
      <c r="L33" s="31"/>
      <c r="M33" s="258">
        <v>0</v>
      </c>
      <c r="N33" s="31"/>
      <c r="O33" s="32">
        <v>0</v>
      </c>
      <c r="P33" s="31"/>
      <c r="Q33" s="32">
        <f>K33-O33</f>
        <v>0</v>
      </c>
    </row>
    <row r="34" spans="1:17" x14ac:dyDescent="0.25">
      <c r="A34" s="255"/>
      <c r="D34" s="251" t="s">
        <v>1862</v>
      </c>
      <c r="I34" s="258"/>
      <c r="L34" s="31"/>
      <c r="M34" s="258"/>
      <c r="N34" s="31"/>
      <c r="O34" s="31"/>
      <c r="P34" s="31"/>
      <c r="Q34" s="32"/>
    </row>
    <row r="35" spans="1:17" x14ac:dyDescent="0.25">
      <c r="A35" s="251"/>
      <c r="B35" s="55"/>
      <c r="E35" s="251" t="s">
        <v>1110</v>
      </c>
      <c r="G35" s="251" t="s">
        <v>1264</v>
      </c>
      <c r="I35" s="258">
        <f>'Op Detail'!D1980</f>
        <v>596</v>
      </c>
      <c r="K35" s="79">
        <f>I35</f>
        <v>596</v>
      </c>
      <c r="L35" s="31"/>
      <c r="M35" s="258">
        <v>1000</v>
      </c>
      <c r="N35" s="31"/>
      <c r="O35" s="31">
        <v>1000</v>
      </c>
      <c r="P35" s="31"/>
      <c r="Q35" s="32">
        <f>K35-O35</f>
        <v>-404</v>
      </c>
    </row>
    <row r="36" spans="1:17" x14ac:dyDescent="0.25">
      <c r="A36" s="251"/>
      <c r="B36" s="55"/>
      <c r="D36" s="251" t="s">
        <v>733</v>
      </c>
      <c r="E36" s="251"/>
      <c r="G36" s="251"/>
      <c r="I36" s="258"/>
      <c r="L36" s="31"/>
      <c r="M36" s="258"/>
      <c r="N36" s="31"/>
      <c r="O36" s="31"/>
      <c r="P36" s="31"/>
      <c r="Q36" s="32"/>
    </row>
    <row r="37" spans="1:17" x14ac:dyDescent="0.25">
      <c r="A37" s="251"/>
      <c r="B37" s="55"/>
      <c r="E37" s="251" t="s">
        <v>1111</v>
      </c>
      <c r="G37" s="251" t="s">
        <v>1264</v>
      </c>
      <c r="I37" s="259">
        <f>'Op Detail'!D2021</f>
        <v>4868</v>
      </c>
      <c r="K37" s="80">
        <f>I37</f>
        <v>4868</v>
      </c>
      <c r="L37" s="31"/>
      <c r="M37" s="259">
        <v>11555</v>
      </c>
      <c r="N37" s="31"/>
      <c r="O37" s="32">
        <v>11555</v>
      </c>
      <c r="P37" s="31"/>
      <c r="Q37" s="32">
        <f>K37-O37</f>
        <v>-6687</v>
      </c>
    </row>
    <row r="38" spans="1:17" x14ac:dyDescent="0.25">
      <c r="A38" s="251"/>
      <c r="B38" s="55"/>
      <c r="D38" s="251" t="s">
        <v>734</v>
      </c>
      <c r="I38" s="258"/>
      <c r="K38" s="80"/>
      <c r="L38" s="31"/>
      <c r="M38" s="258"/>
      <c r="N38" s="31"/>
      <c r="O38" s="32"/>
      <c r="P38" s="31"/>
      <c r="Q38" s="32"/>
    </row>
    <row r="39" spans="1:17" x14ac:dyDescent="0.25">
      <c r="A39" s="255"/>
      <c r="E39" s="251" t="s">
        <v>1112</v>
      </c>
      <c r="G39" s="251" t="s">
        <v>1264</v>
      </c>
      <c r="I39" s="258">
        <f>'Op Detail'!D2054</f>
        <v>1865</v>
      </c>
      <c r="K39" s="80">
        <f>I39</f>
        <v>1865</v>
      </c>
      <c r="L39" s="31"/>
      <c r="M39" s="258">
        <v>1815</v>
      </c>
      <c r="N39" s="31"/>
      <c r="O39" s="32">
        <v>1815</v>
      </c>
      <c r="P39" s="31"/>
      <c r="Q39" s="32">
        <f>K39-O39</f>
        <v>50</v>
      </c>
    </row>
    <row r="40" spans="1:17" x14ac:dyDescent="0.25">
      <c r="A40" s="251"/>
      <c r="B40" s="55"/>
      <c r="D40" s="251" t="s">
        <v>735</v>
      </c>
      <c r="I40" s="259"/>
      <c r="K40" s="80"/>
      <c r="L40" s="31"/>
      <c r="M40" s="259"/>
      <c r="N40" s="31"/>
      <c r="O40" s="32"/>
      <c r="P40" s="31"/>
      <c r="Q40" s="32"/>
    </row>
    <row r="41" spans="1:17" x14ac:dyDescent="0.25">
      <c r="A41" s="255"/>
      <c r="E41" s="251" t="s">
        <v>1113</v>
      </c>
      <c r="G41" s="251" t="s">
        <v>1264</v>
      </c>
      <c r="I41" s="258">
        <f>'Op Detail'!D2079</f>
        <v>1976</v>
      </c>
      <c r="K41" s="80">
        <f>I41</f>
        <v>1976</v>
      </c>
      <c r="L41" s="31"/>
      <c r="M41" s="258">
        <v>3700</v>
      </c>
      <c r="N41" s="31"/>
      <c r="O41" s="32">
        <v>3700</v>
      </c>
      <c r="P41" s="31"/>
      <c r="Q41" s="32">
        <f>K41-O41</f>
        <v>-1724</v>
      </c>
    </row>
    <row r="42" spans="1:17" x14ac:dyDescent="0.25">
      <c r="A42" s="251"/>
      <c r="B42" s="55"/>
      <c r="D42" s="34" t="s">
        <v>870</v>
      </c>
      <c r="E42" s="251"/>
      <c r="G42" s="251"/>
      <c r="I42" s="258"/>
      <c r="K42" s="80"/>
      <c r="L42" s="31"/>
      <c r="M42" s="258"/>
      <c r="N42" s="31"/>
      <c r="O42" s="32"/>
      <c r="P42" s="31"/>
      <c r="Q42" s="32"/>
    </row>
    <row r="43" spans="1:17" x14ac:dyDescent="0.25">
      <c r="A43" s="255"/>
      <c r="E43" s="251" t="s">
        <v>2907</v>
      </c>
      <c r="G43" s="251" t="s">
        <v>1264</v>
      </c>
      <c r="I43" s="260">
        <f>'Op Detail'!D5310</f>
        <v>60</v>
      </c>
      <c r="K43" s="80">
        <f>I43</f>
        <v>60</v>
      </c>
      <c r="L43" s="31"/>
      <c r="M43" s="260">
        <v>1325</v>
      </c>
      <c r="N43" s="31"/>
      <c r="O43" s="32">
        <v>1325</v>
      </c>
      <c r="P43" s="31"/>
      <c r="Q43" s="32">
        <f>K43-O43</f>
        <v>-1265</v>
      </c>
    </row>
    <row r="44" spans="1:17" x14ac:dyDescent="0.25">
      <c r="A44" s="251"/>
      <c r="B44" s="55"/>
      <c r="D44" s="251" t="s">
        <v>737</v>
      </c>
      <c r="I44" s="258"/>
      <c r="K44" s="80"/>
      <c r="L44" s="31"/>
      <c r="M44" s="258"/>
      <c r="N44" s="31"/>
      <c r="O44" s="32"/>
      <c r="P44" s="31"/>
      <c r="Q44" s="32"/>
    </row>
    <row r="45" spans="1:17" x14ac:dyDescent="0.25">
      <c r="A45" s="255"/>
      <c r="E45" s="251" t="s">
        <v>964</v>
      </c>
      <c r="G45" s="251" t="s">
        <v>1264</v>
      </c>
      <c r="I45" s="260">
        <f>'Op Detail'!D2283</f>
        <v>1065.5899999999999</v>
      </c>
      <c r="K45" s="80">
        <f>I45</f>
        <v>1065.5899999999999</v>
      </c>
      <c r="L45" s="31"/>
      <c r="M45" s="260">
        <v>6760</v>
      </c>
      <c r="N45" s="31"/>
      <c r="O45" s="32">
        <v>6760</v>
      </c>
      <c r="P45" s="31"/>
      <c r="Q45" s="32">
        <f>K45-O45</f>
        <v>-5694</v>
      </c>
    </row>
    <row r="46" spans="1:17" x14ac:dyDescent="0.25">
      <c r="A46" s="251"/>
      <c r="B46" s="55"/>
      <c r="D46" s="251" t="s">
        <v>956</v>
      </c>
      <c r="I46" s="258"/>
      <c r="K46" s="80"/>
      <c r="L46" s="31"/>
      <c r="M46" s="258"/>
      <c r="N46" s="31"/>
      <c r="O46" s="32"/>
      <c r="P46" s="31"/>
      <c r="Q46" s="32"/>
    </row>
    <row r="47" spans="1:17" x14ac:dyDescent="0.25">
      <c r="A47" s="255"/>
      <c r="E47" s="251" t="s">
        <v>965</v>
      </c>
      <c r="G47" s="251" t="s">
        <v>1264</v>
      </c>
      <c r="I47" s="258">
        <f>'Op Detail'!D2310</f>
        <v>0</v>
      </c>
      <c r="K47" s="80">
        <f>I47</f>
        <v>0</v>
      </c>
      <c r="L47" s="31"/>
      <c r="M47" s="258">
        <v>0</v>
      </c>
      <c r="N47" s="31"/>
      <c r="O47" s="32">
        <v>0</v>
      </c>
      <c r="P47" s="31"/>
      <c r="Q47" s="32">
        <f>K47-O47</f>
        <v>0</v>
      </c>
    </row>
    <row r="48" spans="1:17" x14ac:dyDescent="0.25">
      <c r="A48" s="251"/>
      <c r="B48" s="55"/>
      <c r="D48" s="251" t="s">
        <v>957</v>
      </c>
      <c r="I48" s="258"/>
      <c r="K48" s="80"/>
      <c r="L48" s="31"/>
      <c r="M48" s="258"/>
      <c r="N48" s="31"/>
      <c r="O48" s="32"/>
      <c r="P48" s="31"/>
      <c r="Q48" s="32"/>
    </row>
    <row r="49" spans="1:20" x14ac:dyDescent="0.25">
      <c r="A49" s="255"/>
      <c r="E49" s="251" t="s">
        <v>966</v>
      </c>
      <c r="G49" s="251" t="s">
        <v>1264</v>
      </c>
      <c r="I49" s="260">
        <f>'Op Detail'!D2348</f>
        <v>1729</v>
      </c>
      <c r="K49" s="80">
        <f>I49</f>
        <v>1729</v>
      </c>
      <c r="L49" s="31"/>
      <c r="M49" s="260">
        <v>7370</v>
      </c>
      <c r="N49" s="31"/>
      <c r="O49" s="32">
        <v>7370</v>
      </c>
      <c r="P49" s="31"/>
      <c r="Q49" s="32">
        <f>K49-O49</f>
        <v>-5641</v>
      </c>
    </row>
    <row r="50" spans="1:20" x14ac:dyDescent="0.25">
      <c r="A50" s="251"/>
      <c r="B50" s="55"/>
      <c r="D50" s="34" t="s">
        <v>958</v>
      </c>
      <c r="E50" s="251"/>
      <c r="G50" s="251"/>
      <c r="I50" s="258"/>
      <c r="K50" s="80"/>
      <c r="L50" s="31"/>
      <c r="M50" s="258"/>
      <c r="N50" s="31"/>
      <c r="O50" s="32"/>
      <c r="P50" s="31"/>
      <c r="Q50" s="32"/>
    </row>
    <row r="51" spans="1:20" x14ac:dyDescent="0.25">
      <c r="A51" s="255"/>
      <c r="E51" s="251" t="s">
        <v>967</v>
      </c>
      <c r="G51" s="251" t="s">
        <v>1264</v>
      </c>
      <c r="I51" s="258">
        <f>'Op Detail'!D5341</f>
        <v>0</v>
      </c>
      <c r="K51" s="80">
        <f>I51</f>
        <v>0</v>
      </c>
      <c r="L51" s="31"/>
      <c r="M51" s="258">
        <v>0</v>
      </c>
      <c r="N51" s="31"/>
      <c r="O51" s="32">
        <v>0</v>
      </c>
      <c r="P51" s="31"/>
      <c r="Q51" s="32">
        <f>K51-O51</f>
        <v>0</v>
      </c>
    </row>
    <row r="52" spans="1:20" x14ac:dyDescent="0.25">
      <c r="A52" s="251"/>
      <c r="B52" s="55"/>
      <c r="D52" s="251" t="s">
        <v>959</v>
      </c>
      <c r="I52" s="259"/>
      <c r="K52" s="80"/>
      <c r="L52" s="31"/>
      <c r="M52" s="259"/>
      <c r="N52" s="31"/>
      <c r="O52" s="32"/>
      <c r="P52" s="31"/>
      <c r="Q52" s="32"/>
    </row>
    <row r="53" spans="1:20" x14ac:dyDescent="0.25">
      <c r="A53" s="255"/>
      <c r="E53" s="251" t="s">
        <v>968</v>
      </c>
      <c r="G53" s="251" t="s">
        <v>1264</v>
      </c>
      <c r="I53" s="260">
        <f>'Op Detail'!D2369</f>
        <v>760</v>
      </c>
      <c r="K53" s="80">
        <f>I53</f>
        <v>760</v>
      </c>
      <c r="L53" s="31"/>
      <c r="M53" s="260">
        <v>1030</v>
      </c>
      <c r="N53" s="31"/>
      <c r="O53" s="32">
        <v>1030</v>
      </c>
      <c r="P53" s="31"/>
      <c r="Q53" s="32">
        <f>K53-O53</f>
        <v>-270</v>
      </c>
    </row>
    <row r="54" spans="1:20" x14ac:dyDescent="0.25">
      <c r="A54" s="251"/>
      <c r="B54" s="55"/>
      <c r="D54" s="251" t="s">
        <v>960</v>
      </c>
      <c r="I54" s="258"/>
      <c r="K54" s="80"/>
      <c r="L54" s="31"/>
      <c r="M54" s="258"/>
      <c r="N54" s="31"/>
      <c r="O54" s="32"/>
      <c r="P54" s="31"/>
      <c r="Q54" s="32"/>
    </row>
    <row r="55" spans="1:20" x14ac:dyDescent="0.25">
      <c r="A55" s="255"/>
      <c r="E55" s="251" t="s">
        <v>969</v>
      </c>
      <c r="G55" s="251" t="s">
        <v>1264</v>
      </c>
      <c r="I55" s="260">
        <f>'Op Detail'!D2407+'Op Detail'!E2407+'Op Detail'!F2407+'Op Detail'!H2407+'Op Detail'!D2443+'Op Detail'!E2443+'Op Detail'!F2443+'Op Detail'!H2443</f>
        <v>6469.71</v>
      </c>
      <c r="K55" s="80">
        <f>I55</f>
        <v>6469.71</v>
      </c>
      <c r="L55" s="31"/>
      <c r="M55" s="260">
        <v>8140</v>
      </c>
      <c r="N55" s="31"/>
      <c r="O55" s="32">
        <v>8140</v>
      </c>
      <c r="P55" s="31"/>
      <c r="Q55" s="32">
        <f>K55-O55</f>
        <v>-1670</v>
      </c>
    </row>
    <row r="56" spans="1:20" x14ac:dyDescent="0.25">
      <c r="A56" s="251"/>
      <c r="B56" s="55"/>
      <c r="D56" s="251" t="s">
        <v>961</v>
      </c>
      <c r="I56" s="258"/>
      <c r="K56" s="80"/>
      <c r="L56" s="31"/>
      <c r="M56" s="258"/>
      <c r="N56" s="31"/>
      <c r="O56" s="32"/>
      <c r="P56" s="31"/>
      <c r="Q56" s="32"/>
    </row>
    <row r="57" spans="1:20" x14ac:dyDescent="0.25">
      <c r="A57" s="255"/>
      <c r="E57" s="251" t="s">
        <v>970</v>
      </c>
      <c r="G57" s="251" t="s">
        <v>1264</v>
      </c>
      <c r="I57" s="258">
        <f>'Op Detail'!D2982</f>
        <v>1000.59</v>
      </c>
      <c r="K57" s="80">
        <f>I57</f>
        <v>1000.59</v>
      </c>
      <c r="L57" s="31"/>
      <c r="M57" s="258">
        <v>1080</v>
      </c>
      <c r="N57" s="31"/>
      <c r="O57" s="32">
        <v>1080</v>
      </c>
      <c r="P57" s="31"/>
      <c r="Q57" s="32">
        <f>K57-O57</f>
        <v>-79</v>
      </c>
    </row>
    <row r="58" spans="1:20" x14ac:dyDescent="0.25">
      <c r="A58" s="251"/>
      <c r="B58" s="55"/>
      <c r="D58" s="251" t="s">
        <v>794</v>
      </c>
      <c r="I58" s="258"/>
      <c r="K58" s="80"/>
      <c r="L58" s="31"/>
      <c r="M58" s="258"/>
      <c r="N58" s="31"/>
      <c r="O58" s="32"/>
      <c r="P58" s="31"/>
      <c r="Q58" s="32"/>
    </row>
    <row r="59" spans="1:20" x14ac:dyDescent="0.25">
      <c r="A59" s="255"/>
      <c r="E59" s="251" t="s">
        <v>971</v>
      </c>
      <c r="G59" s="251" t="s">
        <v>1264</v>
      </c>
      <c r="I59" s="260">
        <f>'Op Detail'!D3039</f>
        <v>1940</v>
      </c>
      <c r="K59" s="80">
        <f>I59</f>
        <v>1940</v>
      </c>
      <c r="L59" s="31"/>
      <c r="M59" s="260">
        <v>2000</v>
      </c>
      <c r="N59" s="31"/>
      <c r="O59" s="32">
        <v>2000</v>
      </c>
      <c r="P59" s="31"/>
      <c r="Q59" s="32">
        <f>K59-O59</f>
        <v>-60</v>
      </c>
    </row>
    <row r="60" spans="1:20" x14ac:dyDescent="0.25">
      <c r="A60" s="251"/>
      <c r="B60" s="55"/>
      <c r="D60" s="251" t="s">
        <v>872</v>
      </c>
      <c r="I60" s="258"/>
      <c r="K60" s="80"/>
      <c r="L60" s="31"/>
      <c r="M60" s="258"/>
      <c r="N60" s="31"/>
      <c r="O60" s="32"/>
      <c r="P60" s="31"/>
      <c r="Q60" s="32"/>
    </row>
    <row r="61" spans="1:20" x14ac:dyDescent="0.25">
      <c r="A61" s="255"/>
      <c r="E61" s="251" t="s">
        <v>972</v>
      </c>
      <c r="G61" s="251" t="s">
        <v>1264</v>
      </c>
      <c r="I61" s="258">
        <f>'Op Detail'!D3076</f>
        <v>28680</v>
      </c>
      <c r="L61" s="31"/>
      <c r="M61" s="258">
        <v>34050</v>
      </c>
      <c r="N61" s="31"/>
      <c r="O61" s="31"/>
      <c r="P61" s="31"/>
      <c r="Q61" s="32"/>
    </row>
    <row r="62" spans="1:20" x14ac:dyDescent="0.25">
      <c r="A62" s="255"/>
      <c r="E62" s="251" t="s">
        <v>973</v>
      </c>
      <c r="G62" s="251" t="s">
        <v>1123</v>
      </c>
      <c r="I62" s="258">
        <f>Salaries!BJ378</f>
        <v>31190.42</v>
      </c>
      <c r="K62" s="80">
        <f>I61+I62</f>
        <v>59870.42</v>
      </c>
      <c r="L62" s="31"/>
      <c r="M62" s="258">
        <v>31191.77</v>
      </c>
      <c r="N62" s="31"/>
      <c r="O62" s="32">
        <v>65242</v>
      </c>
      <c r="P62" s="31"/>
      <c r="Q62" s="32">
        <f>K62-O62</f>
        <v>-5372</v>
      </c>
      <c r="T62" s="210"/>
    </row>
    <row r="63" spans="1:20" x14ac:dyDescent="0.25">
      <c r="A63" s="255"/>
      <c r="D63" s="255" t="s">
        <v>2722</v>
      </c>
      <c r="E63" s="251"/>
      <c r="G63" s="251"/>
      <c r="I63" s="258"/>
      <c r="K63" s="80"/>
      <c r="L63" s="31"/>
      <c r="M63" s="258"/>
      <c r="N63" s="31"/>
      <c r="O63" s="32"/>
      <c r="P63" s="31"/>
      <c r="Q63" s="32"/>
    </row>
    <row r="64" spans="1:20" x14ac:dyDescent="0.25">
      <c r="A64" s="255"/>
      <c r="E64" s="251" t="s">
        <v>2727</v>
      </c>
      <c r="G64" s="251" t="s">
        <v>1264</v>
      </c>
      <c r="I64" s="258">
        <f>'Op Detail'!D6387</f>
        <v>1000</v>
      </c>
      <c r="K64" s="80">
        <f>I64</f>
        <v>1000</v>
      </c>
      <c r="L64" s="31"/>
      <c r="M64" s="258">
        <v>2000</v>
      </c>
      <c r="N64" s="31"/>
      <c r="O64" s="32">
        <v>2000</v>
      </c>
      <c r="P64" s="31"/>
      <c r="Q64" s="32"/>
    </row>
    <row r="65" spans="1:17" x14ac:dyDescent="0.25">
      <c r="A65" s="251"/>
      <c r="B65" s="55"/>
      <c r="D65" s="251" t="s">
        <v>795</v>
      </c>
      <c r="I65" s="258"/>
      <c r="L65" s="31"/>
      <c r="M65" s="258"/>
      <c r="N65" s="31"/>
      <c r="O65" s="31"/>
      <c r="P65" s="31"/>
      <c r="Q65" s="32"/>
    </row>
    <row r="66" spans="1:17" x14ac:dyDescent="0.25">
      <c r="A66" s="255"/>
      <c r="E66" s="251" t="s">
        <v>974</v>
      </c>
      <c r="G66" s="251" t="s">
        <v>1264</v>
      </c>
      <c r="I66" s="258">
        <f>'Op Detail'!D3131</f>
        <v>29229.599999999999</v>
      </c>
      <c r="K66" s="79">
        <f>I66</f>
        <v>29229.599999999999</v>
      </c>
      <c r="L66" s="31"/>
      <c r="M66" s="258">
        <v>38595</v>
      </c>
      <c r="N66" s="31"/>
      <c r="O66" s="31">
        <v>38595</v>
      </c>
      <c r="P66" s="31"/>
      <c r="Q66" s="32">
        <f>K66-O66</f>
        <v>-9365</v>
      </c>
    </row>
    <row r="67" spans="1:17" x14ac:dyDescent="0.25">
      <c r="A67" s="251"/>
      <c r="B67" s="55"/>
      <c r="D67" s="251" t="s">
        <v>796</v>
      </c>
      <c r="I67" s="258"/>
      <c r="L67" s="31"/>
      <c r="M67" s="258"/>
      <c r="N67" s="31"/>
      <c r="O67" s="31"/>
      <c r="P67" s="31"/>
      <c r="Q67" s="32"/>
    </row>
    <row r="68" spans="1:17" x14ac:dyDescent="0.25">
      <c r="A68" s="255"/>
      <c r="E68" s="251" t="s">
        <v>975</v>
      </c>
      <c r="G68" s="251" t="s">
        <v>1264</v>
      </c>
      <c r="I68" s="258">
        <f>'Op Detail'!D3158</f>
        <v>4520</v>
      </c>
      <c r="K68" s="79">
        <f>I68</f>
        <v>4520</v>
      </c>
      <c r="L68" s="31"/>
      <c r="M68" s="258">
        <v>6800</v>
      </c>
      <c r="N68" s="31"/>
      <c r="O68" s="31">
        <v>6800</v>
      </c>
      <c r="P68" s="31"/>
      <c r="Q68" s="32">
        <f>K68-O68</f>
        <v>-2280</v>
      </c>
    </row>
    <row r="69" spans="1:17" x14ac:dyDescent="0.25">
      <c r="A69" s="251"/>
      <c r="B69" s="55"/>
      <c r="D69" s="251" t="s">
        <v>1558</v>
      </c>
      <c r="I69" s="258"/>
      <c r="L69" s="31"/>
      <c r="M69" s="258"/>
      <c r="N69" s="31"/>
      <c r="O69" s="31"/>
      <c r="P69" s="31"/>
      <c r="Q69" s="32"/>
    </row>
    <row r="70" spans="1:17" x14ac:dyDescent="0.25">
      <c r="A70" s="255"/>
      <c r="E70" s="251" t="s">
        <v>976</v>
      </c>
      <c r="G70" s="251" t="s">
        <v>1264</v>
      </c>
      <c r="I70" s="258">
        <f>'Op Detail'!D3185</f>
        <v>1996</v>
      </c>
      <c r="K70" s="79">
        <f>I70</f>
        <v>1996</v>
      </c>
      <c r="L70" s="31"/>
      <c r="M70" s="258">
        <v>5005</v>
      </c>
      <c r="N70" s="31"/>
      <c r="O70" s="31">
        <v>5005</v>
      </c>
      <c r="P70" s="31"/>
      <c r="Q70" s="32">
        <f>K70-O70</f>
        <v>-3009</v>
      </c>
    </row>
    <row r="71" spans="1:17" x14ac:dyDescent="0.25">
      <c r="A71" s="251"/>
      <c r="B71" s="55"/>
      <c r="D71" s="251" t="s">
        <v>864</v>
      </c>
      <c r="I71" s="258"/>
      <c r="L71" s="31"/>
      <c r="M71" s="258"/>
      <c r="N71" s="31"/>
      <c r="O71" s="31"/>
      <c r="P71" s="31"/>
      <c r="Q71" s="32"/>
    </row>
    <row r="72" spans="1:17" x14ac:dyDescent="0.25">
      <c r="A72" s="255"/>
      <c r="E72" s="251" t="s">
        <v>977</v>
      </c>
      <c r="G72" s="251" t="s">
        <v>1264</v>
      </c>
      <c r="I72" s="259">
        <f>'Op Detail'!D3215</f>
        <v>0</v>
      </c>
      <c r="K72" s="80">
        <f>I72</f>
        <v>0</v>
      </c>
      <c r="L72" s="31"/>
      <c r="M72" s="259">
        <v>0</v>
      </c>
      <c r="N72" s="31"/>
      <c r="O72" s="32">
        <v>0</v>
      </c>
      <c r="P72" s="31"/>
      <c r="Q72" s="32">
        <f>K72-O72</f>
        <v>0</v>
      </c>
    </row>
    <row r="73" spans="1:17" x14ac:dyDescent="0.25">
      <c r="A73" s="251"/>
      <c r="B73" s="55"/>
      <c r="D73" s="251" t="s">
        <v>797</v>
      </c>
      <c r="I73" s="259"/>
      <c r="L73" s="31"/>
      <c r="M73" s="259"/>
      <c r="N73" s="31"/>
      <c r="O73" s="31"/>
      <c r="P73" s="31"/>
      <c r="Q73" s="32"/>
    </row>
    <row r="74" spans="1:17" x14ac:dyDescent="0.25">
      <c r="A74" s="255"/>
      <c r="E74" s="251" t="s">
        <v>978</v>
      </c>
      <c r="G74" s="251" t="s">
        <v>1264</v>
      </c>
      <c r="I74" s="258">
        <f>'Op Detail'!D3009</f>
        <v>1460</v>
      </c>
      <c r="K74" s="79">
        <f>I74</f>
        <v>1460</v>
      </c>
      <c r="L74" s="31"/>
      <c r="M74" s="258">
        <v>1710</v>
      </c>
      <c r="N74" s="31"/>
      <c r="O74" s="31">
        <v>1710</v>
      </c>
      <c r="P74" s="31"/>
      <c r="Q74" s="32">
        <f>K74-O74</f>
        <v>-250</v>
      </c>
    </row>
    <row r="75" spans="1:17" x14ac:dyDescent="0.25">
      <c r="A75" s="251"/>
      <c r="B75" s="55"/>
      <c r="D75" s="251" t="s">
        <v>798</v>
      </c>
      <c r="I75" s="259"/>
      <c r="L75" s="31"/>
      <c r="M75" s="259"/>
      <c r="N75" s="31"/>
      <c r="O75" s="31"/>
      <c r="P75" s="31"/>
      <c r="Q75" s="32"/>
    </row>
    <row r="76" spans="1:17" x14ac:dyDescent="0.25">
      <c r="A76" s="255"/>
      <c r="E76" s="251" t="s">
        <v>979</v>
      </c>
      <c r="G76" s="251" t="s">
        <v>1264</v>
      </c>
      <c r="I76" s="258">
        <f>'Op Detail'!D3241</f>
        <v>2840</v>
      </c>
      <c r="K76" s="79">
        <f>I76</f>
        <v>2840</v>
      </c>
      <c r="L76" s="31"/>
      <c r="M76" s="258">
        <v>3575</v>
      </c>
      <c r="N76" s="31"/>
      <c r="O76" s="31">
        <v>3575</v>
      </c>
      <c r="P76" s="31"/>
      <c r="Q76" s="32">
        <f>K76-O76</f>
        <v>-735</v>
      </c>
    </row>
    <row r="77" spans="1:17" x14ac:dyDescent="0.25">
      <c r="A77" s="251"/>
      <c r="B77" s="55"/>
      <c r="D77" s="251" t="s">
        <v>799</v>
      </c>
      <c r="I77" s="258"/>
      <c r="L77" s="31"/>
      <c r="M77" s="258"/>
      <c r="N77" s="31"/>
      <c r="O77" s="31"/>
      <c r="P77" s="31"/>
      <c r="Q77" s="32"/>
    </row>
    <row r="78" spans="1:17" x14ac:dyDescent="0.25">
      <c r="A78" s="255"/>
      <c r="E78" s="251" t="s">
        <v>818</v>
      </c>
      <c r="G78" s="251" t="s">
        <v>1264</v>
      </c>
      <c r="I78" s="258">
        <f>'Op Detail'!D3266</f>
        <v>2980</v>
      </c>
      <c r="K78" s="79">
        <f>I78</f>
        <v>2980</v>
      </c>
      <c r="L78" s="31"/>
      <c r="M78" s="258">
        <v>3900</v>
      </c>
      <c r="N78" s="31"/>
      <c r="O78" s="31">
        <v>3900</v>
      </c>
      <c r="P78" s="31"/>
      <c r="Q78" s="32">
        <f>K78-O78</f>
        <v>-920</v>
      </c>
    </row>
    <row r="79" spans="1:17" x14ac:dyDescent="0.25">
      <c r="A79" s="251"/>
      <c r="B79" s="55"/>
      <c r="D79" s="251" t="s">
        <v>800</v>
      </c>
      <c r="I79" s="258"/>
      <c r="L79" s="31"/>
      <c r="M79" s="258"/>
      <c r="N79" s="31"/>
      <c r="O79" s="31"/>
      <c r="P79" s="31"/>
      <c r="Q79" s="32"/>
    </row>
    <row r="80" spans="1:17" x14ac:dyDescent="0.25">
      <c r="A80" s="255"/>
      <c r="E80" s="251" t="s">
        <v>819</v>
      </c>
      <c r="G80" s="251" t="s">
        <v>1264</v>
      </c>
      <c r="I80" s="258">
        <f>'Op Detail'!D3291</f>
        <v>1400</v>
      </c>
      <c r="K80" s="79">
        <f>I80</f>
        <v>1400</v>
      </c>
      <c r="L80" s="31"/>
      <c r="M80" s="258">
        <v>1800</v>
      </c>
      <c r="N80" s="31"/>
      <c r="O80" s="31">
        <v>1800</v>
      </c>
      <c r="P80" s="31"/>
      <c r="Q80" s="32">
        <f>K80-O80</f>
        <v>-400</v>
      </c>
    </row>
    <row r="81" spans="1:20" x14ac:dyDescent="0.25">
      <c r="A81" s="251"/>
      <c r="B81" s="55"/>
      <c r="D81" s="251" t="s">
        <v>1137</v>
      </c>
      <c r="I81" s="258"/>
      <c r="L81" s="31"/>
      <c r="M81" s="258"/>
      <c r="N81" s="31"/>
      <c r="O81" s="31"/>
      <c r="P81" s="31"/>
      <c r="Q81" s="32"/>
    </row>
    <row r="82" spans="1:20" x14ac:dyDescent="0.25">
      <c r="A82" s="255"/>
      <c r="E82" s="251" t="s">
        <v>1145</v>
      </c>
      <c r="G82" s="251" t="s">
        <v>1264</v>
      </c>
      <c r="I82" s="259">
        <f>'Op Detail'!D3320</f>
        <v>2560</v>
      </c>
      <c r="K82" s="79">
        <f>I82</f>
        <v>2560</v>
      </c>
      <c r="L82" s="31"/>
      <c r="M82" s="259">
        <v>3275</v>
      </c>
      <c r="N82" s="31"/>
      <c r="O82" s="31">
        <v>3275</v>
      </c>
      <c r="P82" s="31"/>
      <c r="Q82" s="32">
        <f>K82-O82</f>
        <v>-715</v>
      </c>
    </row>
    <row r="83" spans="1:20" x14ac:dyDescent="0.25">
      <c r="A83" s="251"/>
      <c r="B83" s="55"/>
      <c r="D83" s="251" t="s">
        <v>879</v>
      </c>
      <c r="I83" s="258"/>
      <c r="L83" s="31"/>
      <c r="M83" s="258"/>
      <c r="N83" s="31"/>
      <c r="O83" s="31"/>
      <c r="P83" s="31"/>
      <c r="Q83" s="32"/>
    </row>
    <row r="84" spans="1:20" x14ac:dyDescent="0.25">
      <c r="A84" s="255"/>
      <c r="E84" s="251" t="s">
        <v>820</v>
      </c>
      <c r="G84" s="251" t="s">
        <v>1264</v>
      </c>
      <c r="I84" s="258">
        <f>'Op Detail'!D3343</f>
        <v>2040</v>
      </c>
      <c r="K84" s="80">
        <f>I84</f>
        <v>2040</v>
      </c>
      <c r="L84" s="31"/>
      <c r="M84" s="258">
        <v>2630</v>
      </c>
      <c r="N84" s="31"/>
      <c r="O84" s="32">
        <v>2630</v>
      </c>
      <c r="P84" s="31"/>
      <c r="Q84" s="32">
        <f>K84-O84</f>
        <v>-590</v>
      </c>
    </row>
    <row r="85" spans="1:20" x14ac:dyDescent="0.25">
      <c r="A85" s="255"/>
      <c r="E85" s="251"/>
      <c r="G85" s="251"/>
      <c r="I85" s="258"/>
      <c r="K85" s="80"/>
      <c r="L85" s="31"/>
      <c r="M85" s="258"/>
      <c r="N85" s="31"/>
      <c r="O85" s="32"/>
      <c r="P85" s="31"/>
      <c r="Q85" s="32"/>
    </row>
    <row r="86" spans="1:20" x14ac:dyDescent="0.25">
      <c r="A86" s="255"/>
      <c r="C86" s="251" t="s">
        <v>1522</v>
      </c>
      <c r="I86" s="258"/>
      <c r="K86" s="80"/>
      <c r="L86" s="31"/>
      <c r="M86" s="258"/>
      <c r="N86" s="31"/>
      <c r="O86" s="32"/>
      <c r="P86" s="31"/>
      <c r="Q86" s="32"/>
    </row>
    <row r="87" spans="1:20" x14ac:dyDescent="0.25">
      <c r="A87" s="251"/>
      <c r="B87" s="55"/>
      <c r="D87" s="251" t="s">
        <v>885</v>
      </c>
      <c r="I87" s="258"/>
      <c r="K87" s="80"/>
      <c r="L87" s="31"/>
      <c r="M87" s="258"/>
      <c r="N87" s="31"/>
      <c r="O87" s="32"/>
      <c r="P87" s="31"/>
      <c r="Q87" s="32"/>
    </row>
    <row r="88" spans="1:20" x14ac:dyDescent="0.25">
      <c r="A88" s="255"/>
      <c r="E88" s="251" t="s">
        <v>1153</v>
      </c>
      <c r="G88" s="251" t="s">
        <v>1123</v>
      </c>
      <c r="I88" s="258">
        <f>Salaries!BU378</f>
        <v>1707467.22</v>
      </c>
      <c r="K88" s="80">
        <f>I88</f>
        <v>1707467.22</v>
      </c>
      <c r="L88" s="31"/>
      <c r="M88" s="258">
        <v>1870707.92</v>
      </c>
      <c r="N88" s="31"/>
      <c r="O88" s="32">
        <v>1870708</v>
      </c>
      <c r="P88" s="31"/>
      <c r="Q88" s="32">
        <f>K88-O88</f>
        <v>-163241</v>
      </c>
      <c r="T88" s="210"/>
    </row>
    <row r="89" spans="1:20" x14ac:dyDescent="0.25">
      <c r="A89" s="251"/>
      <c r="B89" s="55"/>
      <c r="D89" s="251" t="s">
        <v>886</v>
      </c>
      <c r="I89" s="258"/>
      <c r="K89" s="80"/>
      <c r="L89" s="31"/>
      <c r="M89" s="258"/>
      <c r="N89" s="31"/>
      <c r="O89" s="32"/>
      <c r="P89" s="31"/>
      <c r="Q89" s="32"/>
    </row>
    <row r="90" spans="1:20" x14ac:dyDescent="0.25">
      <c r="A90" s="255"/>
      <c r="E90" s="251" t="s">
        <v>1154</v>
      </c>
      <c r="G90" s="251" t="s">
        <v>1123</v>
      </c>
      <c r="I90" s="258">
        <f>Salaries!DP378</f>
        <v>275000</v>
      </c>
      <c r="K90" s="80">
        <f>I90</f>
        <v>275000</v>
      </c>
      <c r="L90" s="31"/>
      <c r="M90" s="258">
        <v>291000</v>
      </c>
      <c r="N90" s="31"/>
      <c r="O90" s="32">
        <v>291000</v>
      </c>
      <c r="P90" s="31"/>
      <c r="Q90" s="32">
        <f>K90-O90</f>
        <v>-16000</v>
      </c>
    </row>
    <row r="91" spans="1:20" x14ac:dyDescent="0.25">
      <c r="A91" s="255"/>
      <c r="E91" s="251"/>
      <c r="G91" s="251"/>
      <c r="I91" s="258"/>
      <c r="K91" s="80"/>
      <c r="L91" s="31"/>
      <c r="M91" s="258"/>
      <c r="N91" s="31"/>
      <c r="O91" s="32"/>
      <c r="P91" s="31"/>
      <c r="Q91" s="32"/>
    </row>
    <row r="92" spans="1:20" x14ac:dyDescent="0.25">
      <c r="A92" s="255"/>
      <c r="C92" s="34" t="s">
        <v>1523</v>
      </c>
      <c r="E92" s="251"/>
      <c r="G92" s="251"/>
      <c r="I92" s="258"/>
      <c r="K92" s="80"/>
      <c r="L92" s="31"/>
      <c r="M92" s="258"/>
      <c r="N92" s="31"/>
      <c r="O92" s="32"/>
      <c r="P92" s="31"/>
      <c r="Q92" s="32"/>
    </row>
    <row r="93" spans="1:20" x14ac:dyDescent="0.25">
      <c r="A93" s="251"/>
      <c r="B93" s="55"/>
      <c r="D93" s="251" t="s">
        <v>673</v>
      </c>
      <c r="I93" s="258"/>
      <c r="J93" s="80"/>
      <c r="K93" s="80"/>
      <c r="L93" s="31"/>
      <c r="M93" s="258"/>
      <c r="N93" s="31"/>
      <c r="O93" s="32"/>
      <c r="P93" s="31"/>
      <c r="Q93" s="32"/>
    </row>
    <row r="94" spans="1:20" x14ac:dyDescent="0.25">
      <c r="A94" s="255"/>
      <c r="E94" s="251" t="s">
        <v>1168</v>
      </c>
      <c r="G94" s="251" t="s">
        <v>1264</v>
      </c>
      <c r="I94" s="260">
        <f>'Op Detail'!D3885</f>
        <v>20205</v>
      </c>
      <c r="J94" s="80"/>
      <c r="K94" s="80">
        <f>I94</f>
        <v>20205</v>
      </c>
      <c r="L94" s="31"/>
      <c r="M94" s="260">
        <v>22510</v>
      </c>
      <c r="N94" s="31"/>
      <c r="O94" s="32">
        <v>22510</v>
      </c>
      <c r="P94" s="31"/>
      <c r="Q94" s="32">
        <f>K94-O94</f>
        <v>-2305</v>
      </c>
    </row>
    <row r="95" spans="1:20" x14ac:dyDescent="0.25">
      <c r="A95" s="251"/>
      <c r="B95" s="55"/>
      <c r="D95" s="251" t="s">
        <v>1067</v>
      </c>
      <c r="I95" s="258"/>
      <c r="J95" s="80"/>
      <c r="K95" s="80"/>
      <c r="L95" s="31"/>
      <c r="M95" s="258"/>
      <c r="N95" s="31"/>
      <c r="O95" s="32"/>
      <c r="P95" s="31"/>
      <c r="Q95" s="32"/>
    </row>
    <row r="96" spans="1:20" x14ac:dyDescent="0.25">
      <c r="A96" s="255"/>
      <c r="E96" s="251" t="s">
        <v>1068</v>
      </c>
      <c r="G96" s="251" t="s">
        <v>1264</v>
      </c>
      <c r="I96" s="258">
        <f>'Op Detail'!D3922</f>
        <v>4752</v>
      </c>
      <c r="J96" s="80"/>
      <c r="K96" s="80">
        <f>I96</f>
        <v>4752</v>
      </c>
      <c r="L96" s="31"/>
      <c r="M96" s="258">
        <v>5940</v>
      </c>
      <c r="N96" s="31"/>
      <c r="O96" s="32">
        <v>5940</v>
      </c>
      <c r="P96" s="31"/>
      <c r="Q96" s="32">
        <f>K96-O96</f>
        <v>-1188</v>
      </c>
    </row>
    <row r="97" spans="1:17" x14ac:dyDescent="0.25">
      <c r="A97" s="251"/>
      <c r="B97" s="55"/>
      <c r="D97" s="251" t="s">
        <v>1297</v>
      </c>
      <c r="I97" s="258"/>
      <c r="J97" s="80"/>
      <c r="K97" s="80"/>
      <c r="L97" s="31"/>
      <c r="M97" s="258"/>
      <c r="N97" s="31"/>
      <c r="O97" s="32"/>
      <c r="P97" s="31"/>
      <c r="Q97" s="32"/>
    </row>
    <row r="98" spans="1:17" x14ac:dyDescent="0.25">
      <c r="A98" s="255"/>
      <c r="E98" s="251" t="s">
        <v>1169</v>
      </c>
      <c r="G98" s="251" t="s">
        <v>1264</v>
      </c>
      <c r="I98" s="260">
        <f>'Op Detail'!D3993</f>
        <v>23976</v>
      </c>
      <c r="J98" s="80"/>
      <c r="K98" s="80">
        <f>I98</f>
        <v>23976</v>
      </c>
      <c r="L98" s="31"/>
      <c r="M98" s="260">
        <v>22470</v>
      </c>
      <c r="N98" s="31"/>
      <c r="O98" s="32">
        <v>22470</v>
      </c>
      <c r="P98" s="31"/>
      <c r="Q98" s="32">
        <f>K98-O98</f>
        <v>1506</v>
      </c>
    </row>
    <row r="99" spans="1:17" x14ac:dyDescent="0.25">
      <c r="A99" s="255"/>
      <c r="D99" s="34" t="s">
        <v>1299</v>
      </c>
      <c r="E99" s="251"/>
      <c r="G99" s="251"/>
      <c r="I99" s="258"/>
      <c r="J99" s="80"/>
      <c r="K99" s="80"/>
      <c r="L99" s="31"/>
      <c r="M99" s="258"/>
      <c r="N99" s="31"/>
      <c r="O99" s="32"/>
      <c r="P99" s="31"/>
      <c r="Q99" s="32"/>
    </row>
    <row r="100" spans="1:17" x14ac:dyDescent="0.25">
      <c r="A100" s="255"/>
      <c r="E100" s="251" t="s">
        <v>481</v>
      </c>
      <c r="G100" s="251" t="s">
        <v>1264</v>
      </c>
      <c r="I100" s="260">
        <f>'Op Detail'!D3956</f>
        <v>14880</v>
      </c>
      <c r="J100" s="80"/>
      <c r="K100" s="80">
        <f>I100</f>
        <v>14880</v>
      </c>
      <c r="L100" s="31"/>
      <c r="M100" s="260">
        <v>17675</v>
      </c>
      <c r="N100" s="31"/>
      <c r="O100" s="32">
        <v>17675</v>
      </c>
      <c r="P100" s="31"/>
      <c r="Q100" s="32">
        <f>K100-O100</f>
        <v>-2795</v>
      </c>
    </row>
    <row r="101" spans="1:17" x14ac:dyDescent="0.25">
      <c r="A101" s="251"/>
      <c r="B101" s="55"/>
      <c r="D101" s="251" t="s">
        <v>672</v>
      </c>
      <c r="I101" s="258"/>
      <c r="J101" s="80"/>
      <c r="K101" s="80"/>
      <c r="L101" s="31"/>
      <c r="M101" s="258"/>
      <c r="N101" s="31"/>
      <c r="O101" s="32"/>
      <c r="P101" s="31"/>
      <c r="Q101" s="32"/>
    </row>
    <row r="102" spans="1:17" x14ac:dyDescent="0.25">
      <c r="A102" s="255"/>
      <c r="E102" s="251" t="s">
        <v>1170</v>
      </c>
      <c r="G102" s="251" t="s">
        <v>1264</v>
      </c>
      <c r="I102" s="260">
        <f>'Op Detail'!D3819</f>
        <v>2680</v>
      </c>
      <c r="J102" s="80"/>
      <c r="K102" s="80">
        <f>I102</f>
        <v>2680</v>
      </c>
      <c r="L102" s="31"/>
      <c r="M102" s="260">
        <v>4600</v>
      </c>
      <c r="N102" s="31"/>
      <c r="O102" s="32">
        <v>4600</v>
      </c>
      <c r="P102" s="31"/>
      <c r="Q102" s="32">
        <f>K102-O102</f>
        <v>-1920</v>
      </c>
    </row>
    <row r="103" spans="1:17" x14ac:dyDescent="0.25">
      <c r="A103" s="251"/>
      <c r="B103" s="55"/>
      <c r="D103" s="251" t="s">
        <v>674</v>
      </c>
      <c r="I103" s="258"/>
      <c r="J103" s="80"/>
      <c r="K103" s="80"/>
      <c r="L103" s="31"/>
      <c r="M103" s="258"/>
      <c r="N103" s="31"/>
      <c r="O103" s="32"/>
      <c r="P103" s="31"/>
      <c r="Q103" s="32"/>
    </row>
    <row r="104" spans="1:17" x14ac:dyDescent="0.25">
      <c r="A104" s="255"/>
      <c r="E104" s="251" t="s">
        <v>1171</v>
      </c>
      <c r="G104" s="251" t="s">
        <v>1264</v>
      </c>
      <c r="I104" s="258">
        <f>'Op Detail'!F3722</f>
        <v>0</v>
      </c>
      <c r="J104" s="80"/>
      <c r="K104" s="80"/>
      <c r="L104" s="31"/>
      <c r="M104" s="258">
        <v>0</v>
      </c>
      <c r="N104" s="31"/>
      <c r="O104" s="32"/>
      <c r="P104" s="31"/>
      <c r="Q104" s="32"/>
    </row>
    <row r="105" spans="1:17" x14ac:dyDescent="0.25">
      <c r="A105" s="255"/>
      <c r="E105" s="251" t="s">
        <v>1172</v>
      </c>
      <c r="G105" s="251" t="s">
        <v>1123</v>
      </c>
      <c r="I105" s="258">
        <f>Salaries!CB378</f>
        <v>0</v>
      </c>
      <c r="J105" s="80"/>
      <c r="K105" s="80">
        <f>I104+I105</f>
        <v>0</v>
      </c>
      <c r="L105" s="31"/>
      <c r="M105" s="258">
        <v>0</v>
      </c>
      <c r="N105" s="31"/>
      <c r="O105" s="32">
        <v>0</v>
      </c>
      <c r="P105" s="31"/>
      <c r="Q105" s="32">
        <f>K105-O105</f>
        <v>0</v>
      </c>
    </row>
    <row r="106" spans="1:17" x14ac:dyDescent="0.25">
      <c r="A106" s="255"/>
      <c r="D106" s="34" t="s">
        <v>15</v>
      </c>
      <c r="E106" s="251"/>
      <c r="G106" s="251"/>
      <c r="I106" s="258"/>
      <c r="J106" s="80"/>
      <c r="K106" s="80"/>
      <c r="L106" s="31"/>
      <c r="M106" s="258"/>
      <c r="N106" s="31"/>
      <c r="O106" s="32"/>
      <c r="P106" s="31"/>
      <c r="Q106" s="32"/>
    </row>
    <row r="107" spans="1:17" x14ac:dyDescent="0.25">
      <c r="A107" s="255"/>
      <c r="E107" s="251" t="s">
        <v>14</v>
      </c>
      <c r="G107" s="251" t="s">
        <v>1264</v>
      </c>
      <c r="I107" s="260">
        <f>'Op Detail'!D5226</f>
        <v>1050</v>
      </c>
      <c r="J107" s="80"/>
      <c r="K107" s="80">
        <f>I107</f>
        <v>1050</v>
      </c>
      <c r="L107" s="31"/>
      <c r="M107" s="260">
        <v>2425</v>
      </c>
      <c r="N107" s="31"/>
      <c r="O107" s="32">
        <v>2425</v>
      </c>
      <c r="P107" s="31"/>
      <c r="Q107" s="32">
        <f>K107-O107</f>
        <v>-1375</v>
      </c>
    </row>
    <row r="108" spans="1:17" x14ac:dyDescent="0.25">
      <c r="A108" s="255"/>
      <c r="D108" s="34" t="s">
        <v>16</v>
      </c>
      <c r="E108" s="251"/>
      <c r="G108" s="251"/>
      <c r="I108" s="258"/>
      <c r="J108" s="80"/>
      <c r="K108" s="80"/>
      <c r="L108" s="31"/>
      <c r="M108" s="258"/>
      <c r="N108" s="31"/>
      <c r="O108" s="32"/>
      <c r="P108" s="31"/>
      <c r="Q108" s="32"/>
    </row>
    <row r="109" spans="1:17" x14ac:dyDescent="0.25">
      <c r="A109" s="255"/>
      <c r="E109" s="251" t="s">
        <v>17</v>
      </c>
      <c r="G109" s="251" t="s">
        <v>1264</v>
      </c>
      <c r="I109" s="260">
        <f>'Op Detail'!D5256</f>
        <v>544</v>
      </c>
      <c r="J109" s="80"/>
      <c r="K109" s="80">
        <f>I109</f>
        <v>544</v>
      </c>
      <c r="L109" s="31"/>
      <c r="M109" s="260">
        <v>780</v>
      </c>
      <c r="N109" s="31"/>
      <c r="O109" s="32">
        <v>780</v>
      </c>
      <c r="P109" s="31"/>
      <c r="Q109" s="32">
        <f>K109-O109</f>
        <v>-236</v>
      </c>
    </row>
    <row r="110" spans="1:17" x14ac:dyDescent="0.25">
      <c r="A110" s="251"/>
      <c r="B110" s="55"/>
      <c r="D110" s="251" t="s">
        <v>1411</v>
      </c>
      <c r="I110" s="258"/>
      <c r="J110" s="80"/>
      <c r="K110" s="80"/>
      <c r="L110" s="31"/>
      <c r="M110" s="258"/>
      <c r="N110" s="254"/>
      <c r="O110" s="32"/>
      <c r="P110" s="31"/>
      <c r="Q110" s="32"/>
    </row>
    <row r="111" spans="1:17" x14ac:dyDescent="0.25">
      <c r="A111" s="255"/>
      <c r="E111" s="251" t="s">
        <v>1173</v>
      </c>
      <c r="G111" s="251" t="s">
        <v>1264</v>
      </c>
      <c r="I111" s="258">
        <f>'Op Detail'!D4025</f>
        <v>0</v>
      </c>
      <c r="J111" s="80"/>
      <c r="K111" s="80">
        <f>I111</f>
        <v>0</v>
      </c>
      <c r="L111" s="31"/>
      <c r="M111" s="258">
        <v>0</v>
      </c>
      <c r="N111" s="31"/>
      <c r="O111" s="32">
        <v>0</v>
      </c>
      <c r="P111" s="31"/>
      <c r="Q111" s="32">
        <f>K111-O111</f>
        <v>0</v>
      </c>
    </row>
    <row r="112" spans="1:17" x14ac:dyDescent="0.25">
      <c r="A112" s="255"/>
      <c r="D112" s="34" t="s">
        <v>1300</v>
      </c>
      <c r="E112" s="251"/>
      <c r="G112" s="251"/>
      <c r="I112" s="258"/>
      <c r="J112" s="80"/>
      <c r="K112" s="80"/>
      <c r="L112" s="31"/>
      <c r="M112" s="258"/>
      <c r="N112" s="31"/>
      <c r="O112" s="32"/>
      <c r="P112" s="31"/>
      <c r="Q112" s="32"/>
    </row>
    <row r="113" spans="1:20" x14ac:dyDescent="0.25">
      <c r="A113" s="255"/>
      <c r="E113" s="251" t="s">
        <v>1301</v>
      </c>
      <c r="G113" s="251" t="s">
        <v>1264</v>
      </c>
      <c r="I113" s="258">
        <f>'Op Detail'!D5427</f>
        <v>9520</v>
      </c>
      <c r="J113" s="80"/>
      <c r="K113" s="80">
        <f>I113</f>
        <v>9520</v>
      </c>
      <c r="L113" s="31"/>
      <c r="M113" s="258">
        <v>12100</v>
      </c>
      <c r="N113" s="31"/>
      <c r="O113" s="32">
        <v>12100</v>
      </c>
      <c r="P113" s="31"/>
      <c r="Q113" s="32">
        <f>K113-O113</f>
        <v>-2580</v>
      </c>
    </row>
    <row r="114" spans="1:20" x14ac:dyDescent="0.25">
      <c r="A114" s="255"/>
      <c r="D114" s="34" t="s">
        <v>1712</v>
      </c>
      <c r="E114" s="251"/>
      <c r="G114" s="251"/>
      <c r="I114" s="258"/>
      <c r="J114" s="80"/>
      <c r="K114" s="80"/>
      <c r="L114" s="31"/>
      <c r="M114" s="258"/>
      <c r="N114" s="31"/>
      <c r="O114" s="32"/>
      <c r="P114" s="31"/>
      <c r="Q114" s="32"/>
    </row>
    <row r="115" spans="1:20" x14ac:dyDescent="0.25">
      <c r="A115" s="255"/>
      <c r="E115" s="251" t="s">
        <v>1713</v>
      </c>
      <c r="G115" s="251" t="s">
        <v>1264</v>
      </c>
      <c r="I115" s="260">
        <f>'Op Detail'!D4059</f>
        <v>49550</v>
      </c>
      <c r="J115" s="80"/>
      <c r="K115" s="80">
        <f>I115</f>
        <v>49550</v>
      </c>
      <c r="L115" s="31"/>
      <c r="M115" s="260">
        <v>23620</v>
      </c>
      <c r="N115" s="31"/>
      <c r="O115" s="32">
        <v>23620</v>
      </c>
      <c r="P115" s="31"/>
      <c r="Q115" s="32">
        <f>K115-O115</f>
        <v>25930</v>
      </c>
    </row>
    <row r="116" spans="1:20" x14ac:dyDescent="0.25">
      <c r="A116" s="255"/>
      <c r="D116" s="34" t="s">
        <v>1791</v>
      </c>
      <c r="E116" s="251"/>
      <c r="G116" s="251"/>
      <c r="I116" s="258"/>
      <c r="J116" s="80"/>
      <c r="K116" s="80"/>
      <c r="L116" s="31"/>
      <c r="M116" s="258"/>
      <c r="N116" s="31"/>
      <c r="O116" s="32"/>
      <c r="P116" s="31"/>
      <c r="Q116" s="32"/>
    </row>
    <row r="117" spans="1:20" x14ac:dyDescent="0.25">
      <c r="A117" s="255"/>
      <c r="E117" s="269" t="s">
        <v>1024</v>
      </c>
      <c r="G117" s="251" t="s">
        <v>1264</v>
      </c>
      <c r="I117" s="260">
        <f>'Op Detail'!D5283</f>
        <v>0</v>
      </c>
      <c r="J117" s="80"/>
      <c r="K117" s="80">
        <f>I117</f>
        <v>0</v>
      </c>
      <c r="L117" s="31"/>
      <c r="M117" s="260">
        <v>0</v>
      </c>
      <c r="N117" s="31"/>
      <c r="O117" s="32">
        <v>0</v>
      </c>
      <c r="P117" s="31"/>
      <c r="Q117" s="32">
        <f>K117-O117</f>
        <v>0</v>
      </c>
    </row>
    <row r="118" spans="1:20" x14ac:dyDescent="0.25">
      <c r="A118" s="251"/>
      <c r="B118" s="55"/>
      <c r="D118" s="251" t="s">
        <v>870</v>
      </c>
      <c r="I118" s="258"/>
      <c r="J118" s="80"/>
      <c r="K118" s="80"/>
      <c r="L118" s="31"/>
      <c r="M118" s="258"/>
      <c r="N118" s="254"/>
      <c r="O118" s="32"/>
      <c r="P118" s="31"/>
      <c r="Q118" s="32"/>
    </row>
    <row r="119" spans="1:20" x14ac:dyDescent="0.25">
      <c r="A119" s="255"/>
      <c r="E119" s="251" t="s">
        <v>1174</v>
      </c>
      <c r="G119" s="251" t="s">
        <v>1264</v>
      </c>
      <c r="I119" s="260">
        <f>'Op Detail'!D3850</f>
        <v>5000</v>
      </c>
      <c r="J119" s="80"/>
      <c r="K119" s="80">
        <f>I119</f>
        <v>5000</v>
      </c>
      <c r="L119" s="31"/>
      <c r="M119" s="260">
        <v>2561.9499999999998</v>
      </c>
      <c r="N119" s="32"/>
      <c r="O119" s="32">
        <v>2562</v>
      </c>
      <c r="P119" s="31"/>
      <c r="Q119" s="32">
        <f>K119-O119</f>
        <v>2438</v>
      </c>
    </row>
    <row r="120" spans="1:20" x14ac:dyDescent="0.25">
      <c r="A120" s="251"/>
      <c r="B120" s="55"/>
      <c r="D120" s="251" t="s">
        <v>868</v>
      </c>
      <c r="I120" s="258"/>
      <c r="J120" s="80"/>
      <c r="K120" s="80"/>
      <c r="L120" s="254"/>
      <c r="M120" s="258"/>
      <c r="N120" s="31"/>
      <c r="O120" s="32"/>
      <c r="P120" s="31"/>
      <c r="Q120" s="32"/>
    </row>
    <row r="121" spans="1:20" x14ac:dyDescent="0.25">
      <c r="A121" s="255"/>
      <c r="E121" s="251" t="s">
        <v>1175</v>
      </c>
      <c r="G121" s="251" t="s">
        <v>1264</v>
      </c>
      <c r="I121" s="258">
        <f>'Op Detail'!D4092</f>
        <v>27859.85</v>
      </c>
      <c r="J121" s="80"/>
      <c r="K121" s="80"/>
      <c r="L121" s="31"/>
      <c r="M121" s="258">
        <v>31620</v>
      </c>
      <c r="N121" s="31"/>
      <c r="O121" s="32"/>
      <c r="P121" s="31"/>
      <c r="Q121" s="32"/>
    </row>
    <row r="122" spans="1:20" x14ac:dyDescent="0.25">
      <c r="A122" s="255"/>
      <c r="E122" s="251" t="s">
        <v>426</v>
      </c>
      <c r="G122" s="251" t="s">
        <v>1123</v>
      </c>
      <c r="I122" s="258">
        <f>Salaries!BM378</f>
        <v>28274.06</v>
      </c>
      <c r="J122" s="80"/>
      <c r="K122" s="80">
        <f>I121+I122</f>
        <v>56133.91</v>
      </c>
      <c r="L122" s="31"/>
      <c r="M122" s="258">
        <v>27245.06</v>
      </c>
      <c r="N122" s="31"/>
      <c r="O122" s="32">
        <v>58865</v>
      </c>
      <c r="P122" s="31"/>
      <c r="Q122" s="32">
        <f>K122-O122</f>
        <v>-2731</v>
      </c>
      <c r="T122" s="210"/>
    </row>
    <row r="123" spans="1:20" x14ac:dyDescent="0.25">
      <c r="A123" s="255"/>
      <c r="D123" s="255" t="s">
        <v>2849</v>
      </c>
      <c r="E123" s="251"/>
      <c r="G123" s="251"/>
      <c r="I123" s="258"/>
      <c r="J123" s="80"/>
      <c r="K123" s="80"/>
      <c r="L123" s="31"/>
      <c r="M123" s="258"/>
      <c r="N123" s="31"/>
      <c r="O123" s="32"/>
      <c r="P123" s="31"/>
      <c r="Q123" s="32"/>
    </row>
    <row r="124" spans="1:20" x14ac:dyDescent="0.25">
      <c r="A124" s="255"/>
      <c r="E124" s="251" t="s">
        <v>2850</v>
      </c>
      <c r="G124" s="251" t="s">
        <v>1264</v>
      </c>
      <c r="I124" s="260">
        <f>'Op Detail'!D5923</f>
        <v>49025.2</v>
      </c>
      <c r="J124" s="80"/>
      <c r="K124" s="80"/>
      <c r="L124" s="31"/>
      <c r="M124" s="260">
        <v>48536</v>
      </c>
      <c r="N124" s="31"/>
      <c r="O124" s="32"/>
      <c r="P124" s="31"/>
      <c r="Q124" s="32"/>
    </row>
    <row r="125" spans="1:20" x14ac:dyDescent="0.25">
      <c r="A125" s="255"/>
      <c r="E125" s="251" t="s">
        <v>2896</v>
      </c>
      <c r="G125" s="86" t="s">
        <v>1123</v>
      </c>
      <c r="I125" s="260">
        <f>Salaries!BR378</f>
        <v>31468.14</v>
      </c>
      <c r="J125" s="80"/>
      <c r="K125" s="80">
        <f>I124+I125</f>
        <v>80493.34</v>
      </c>
      <c r="L125" s="31"/>
      <c r="M125" s="260">
        <v>33251.01</v>
      </c>
      <c r="N125" s="31"/>
      <c r="O125" s="32">
        <v>81787</v>
      </c>
      <c r="P125" s="31"/>
      <c r="Q125" s="32">
        <f>K125-O125</f>
        <v>-1294</v>
      </c>
      <c r="T125" s="210"/>
    </row>
    <row r="126" spans="1:20" x14ac:dyDescent="0.25">
      <c r="A126" s="255"/>
      <c r="D126" s="34" t="s">
        <v>557</v>
      </c>
      <c r="E126" s="251"/>
      <c r="G126" s="251"/>
      <c r="I126" s="258"/>
      <c r="J126" s="80"/>
      <c r="K126" s="80"/>
      <c r="L126" s="31"/>
      <c r="M126" s="258"/>
      <c r="N126" s="31"/>
      <c r="O126" s="32"/>
      <c r="P126" s="31"/>
      <c r="Q126" s="32"/>
    </row>
    <row r="127" spans="1:20" x14ac:dyDescent="0.25">
      <c r="A127" s="255"/>
      <c r="E127" s="251" t="s">
        <v>704</v>
      </c>
      <c r="G127" s="251" t="s">
        <v>1264</v>
      </c>
      <c r="I127" s="260">
        <f>'Op Detail'!D5965</f>
        <v>12690</v>
      </c>
      <c r="J127" s="80"/>
      <c r="K127" s="80"/>
      <c r="L127" s="31"/>
      <c r="M127" s="260">
        <v>10450</v>
      </c>
      <c r="N127" s="31"/>
      <c r="O127" s="32"/>
      <c r="P127" s="31"/>
      <c r="Q127" s="32"/>
    </row>
    <row r="128" spans="1:20" x14ac:dyDescent="0.25">
      <c r="A128" s="255"/>
      <c r="E128" s="251" t="s">
        <v>2897</v>
      </c>
      <c r="G128" s="86" t="s">
        <v>1123</v>
      </c>
      <c r="I128" s="260">
        <f>Salaries!BQ378</f>
        <v>25804.66</v>
      </c>
      <c r="J128" s="80"/>
      <c r="K128" s="80">
        <f>I127+I128</f>
        <v>38494.660000000003</v>
      </c>
      <c r="L128" s="31"/>
      <c r="M128" s="260">
        <v>24847.599999999999</v>
      </c>
      <c r="N128" s="31"/>
      <c r="O128" s="32">
        <v>35298</v>
      </c>
      <c r="P128" s="31"/>
      <c r="Q128" s="32">
        <f>K128-O128</f>
        <v>3197</v>
      </c>
      <c r="R128" s="32"/>
      <c r="T128" s="210"/>
    </row>
    <row r="129" spans="1:20" x14ac:dyDescent="0.25">
      <c r="A129" s="251"/>
      <c r="B129" s="55"/>
      <c r="D129" s="251" t="s">
        <v>676</v>
      </c>
      <c r="I129" s="258"/>
      <c r="J129" s="80"/>
      <c r="K129" s="80"/>
      <c r="L129" s="31"/>
      <c r="M129" s="258"/>
      <c r="N129" s="31"/>
      <c r="O129" s="32"/>
      <c r="P129" s="31"/>
    </row>
    <row r="130" spans="1:20" x14ac:dyDescent="0.25">
      <c r="A130" s="255"/>
      <c r="E130" s="251" t="s">
        <v>1176</v>
      </c>
      <c r="G130" s="251" t="s">
        <v>1264</v>
      </c>
      <c r="I130" s="259">
        <f>'Op Detail'!F3753</f>
        <v>6432</v>
      </c>
      <c r="J130" s="80"/>
      <c r="K130" s="259">
        <f>I130</f>
        <v>6432</v>
      </c>
      <c r="L130" s="31"/>
      <c r="M130" s="259">
        <v>8010</v>
      </c>
      <c r="N130" s="31"/>
      <c r="O130" s="254">
        <v>8010</v>
      </c>
      <c r="P130" s="31"/>
      <c r="Q130" s="32">
        <f>K130-O130</f>
        <v>-1578</v>
      </c>
    </row>
    <row r="131" spans="1:20" x14ac:dyDescent="0.25">
      <c r="A131" s="251"/>
      <c r="B131" s="55"/>
      <c r="D131" s="251" t="s">
        <v>1861</v>
      </c>
      <c r="I131" s="258"/>
      <c r="J131" s="80"/>
      <c r="K131" s="80"/>
      <c r="L131" s="31"/>
      <c r="M131" s="258"/>
      <c r="N131" s="32"/>
      <c r="O131" s="32"/>
      <c r="P131" s="31"/>
      <c r="Q131" s="32"/>
    </row>
    <row r="132" spans="1:20" x14ac:dyDescent="0.25">
      <c r="A132" s="255"/>
      <c r="E132" s="251" t="s">
        <v>1179</v>
      </c>
      <c r="G132" s="251" t="s">
        <v>1264</v>
      </c>
      <c r="I132" s="258">
        <f>'Op Detail'!F3791</f>
        <v>1820</v>
      </c>
      <c r="J132" s="80"/>
      <c r="K132" s="80">
        <f>I132</f>
        <v>1820</v>
      </c>
      <c r="L132" s="31"/>
      <c r="M132" s="258">
        <v>5300</v>
      </c>
      <c r="N132" s="32"/>
      <c r="O132" s="32">
        <v>5300</v>
      </c>
      <c r="P132" s="31"/>
      <c r="Q132" s="32">
        <f>K132-O132</f>
        <v>-3480</v>
      </c>
    </row>
    <row r="133" spans="1:20" x14ac:dyDescent="0.25">
      <c r="A133" s="251"/>
      <c r="B133" s="55"/>
      <c r="D133" s="251" t="s">
        <v>873</v>
      </c>
      <c r="I133" s="258"/>
      <c r="J133" s="80"/>
      <c r="K133" s="80"/>
      <c r="L133" s="31"/>
      <c r="M133" s="258"/>
      <c r="N133" s="32"/>
      <c r="O133" s="32"/>
      <c r="P133" s="31"/>
      <c r="Q133" s="32"/>
    </row>
    <row r="134" spans="1:20" x14ac:dyDescent="0.25">
      <c r="A134" s="255"/>
      <c r="E134" s="251" t="s">
        <v>1180</v>
      </c>
      <c r="G134" s="251" t="s">
        <v>1264</v>
      </c>
      <c r="I134" s="258">
        <f>'Op Detail'!D4167</f>
        <v>30783</v>
      </c>
      <c r="J134" s="80"/>
      <c r="L134" s="32"/>
      <c r="M134" s="258">
        <v>25696</v>
      </c>
    </row>
    <row r="135" spans="1:20" x14ac:dyDescent="0.25">
      <c r="A135" s="255"/>
      <c r="E135" s="251" t="s">
        <v>710</v>
      </c>
      <c r="G135" s="251" t="s">
        <v>1264</v>
      </c>
      <c r="I135" s="258">
        <f>'Op Detail'!D6007</f>
        <v>-2076.6</v>
      </c>
      <c r="J135" s="80"/>
      <c r="K135" s="80">
        <f>I134+I135</f>
        <v>28706.400000000001</v>
      </c>
      <c r="L135" s="31"/>
      <c r="M135" s="258">
        <v>4250</v>
      </c>
      <c r="N135" s="32"/>
      <c r="O135" s="32">
        <v>29946</v>
      </c>
      <c r="P135" s="31"/>
      <c r="Q135" s="32">
        <f>K135-O135</f>
        <v>-1240</v>
      </c>
    </row>
    <row r="136" spans="1:20" x14ac:dyDescent="0.25">
      <c r="A136" s="255"/>
      <c r="E136" s="251"/>
      <c r="G136" s="251"/>
      <c r="I136" s="258"/>
      <c r="J136" s="80"/>
      <c r="K136" s="80"/>
      <c r="L136" s="31"/>
      <c r="M136" s="258"/>
      <c r="N136" s="31"/>
      <c r="O136" s="32"/>
      <c r="P136" s="31"/>
      <c r="Q136" s="32"/>
    </row>
    <row r="137" spans="1:20" x14ac:dyDescent="0.25">
      <c r="A137" s="255"/>
      <c r="C137" s="34" t="s">
        <v>1343</v>
      </c>
      <c r="E137" s="251"/>
      <c r="G137" s="251"/>
      <c r="I137" s="258"/>
      <c r="J137" s="80"/>
      <c r="K137" s="80"/>
      <c r="L137" s="31"/>
      <c r="M137" s="258"/>
      <c r="N137" s="31"/>
      <c r="O137" s="32"/>
      <c r="P137" s="31"/>
      <c r="Q137" s="32"/>
    </row>
    <row r="138" spans="1:20" x14ac:dyDescent="0.25">
      <c r="A138" s="251"/>
      <c r="B138" s="55"/>
      <c r="D138" s="251" t="s">
        <v>678</v>
      </c>
      <c r="I138" s="258"/>
      <c r="J138" s="80"/>
      <c r="K138" s="80"/>
      <c r="L138" s="32"/>
      <c r="M138" s="258"/>
      <c r="N138" s="32"/>
      <c r="O138" s="32"/>
      <c r="P138" s="31"/>
      <c r="Q138" s="32"/>
    </row>
    <row r="139" spans="1:20" x14ac:dyDescent="0.25">
      <c r="A139" s="255"/>
      <c r="E139" s="251" t="s">
        <v>1256</v>
      </c>
      <c r="G139" s="251" t="s">
        <v>1264</v>
      </c>
      <c r="I139" s="258">
        <f>'Op Detail'!D4211</f>
        <v>207540</v>
      </c>
      <c r="J139" s="80"/>
      <c r="L139" s="32"/>
      <c r="M139" s="258">
        <v>234962.4</v>
      </c>
      <c r="N139" s="32"/>
      <c r="O139" s="31"/>
      <c r="P139" s="32"/>
      <c r="Q139" s="32"/>
    </row>
    <row r="140" spans="1:20" x14ac:dyDescent="0.25">
      <c r="A140" s="255"/>
      <c r="E140" s="251" t="s">
        <v>1035</v>
      </c>
      <c r="G140" s="251" t="s">
        <v>1123</v>
      </c>
      <c r="I140" s="258">
        <f>Salaries!DI378</f>
        <v>125659.4</v>
      </c>
      <c r="J140" s="80"/>
      <c r="K140" s="80">
        <f>I139+I140</f>
        <v>333199.40000000002</v>
      </c>
      <c r="L140" s="32"/>
      <c r="M140" s="258">
        <v>125737.60000000001</v>
      </c>
      <c r="N140" s="32"/>
      <c r="O140" s="32">
        <v>360700</v>
      </c>
      <c r="P140" s="32"/>
      <c r="Q140" s="32">
        <f>K140-O140</f>
        <v>-27501</v>
      </c>
      <c r="T140" s="210"/>
    </row>
    <row r="141" spans="1:20" x14ac:dyDescent="0.25">
      <c r="A141" s="255"/>
      <c r="D141" s="34" t="s">
        <v>1855</v>
      </c>
      <c r="E141" s="251"/>
      <c r="G141" s="251"/>
      <c r="I141" s="258"/>
      <c r="J141" s="80"/>
      <c r="K141" s="80"/>
      <c r="L141" s="32"/>
      <c r="M141" s="258"/>
      <c r="N141" s="32"/>
      <c r="O141" s="32"/>
      <c r="P141" s="32"/>
      <c r="Q141" s="32"/>
    </row>
    <row r="142" spans="1:20" x14ac:dyDescent="0.25">
      <c r="A142" s="255"/>
      <c r="E142" s="251" t="s">
        <v>1856</v>
      </c>
      <c r="G142" s="251" t="s">
        <v>1264</v>
      </c>
      <c r="I142" s="258">
        <f>'Op Detail'!D6130</f>
        <v>22080</v>
      </c>
      <c r="J142" s="80"/>
      <c r="K142" s="80">
        <f>I142</f>
        <v>22080</v>
      </c>
      <c r="L142" s="32"/>
      <c r="M142" s="258">
        <v>27600</v>
      </c>
      <c r="N142" s="32"/>
      <c r="O142" s="32">
        <v>27600</v>
      </c>
      <c r="P142" s="32"/>
      <c r="Q142" s="32">
        <f>K142-O142</f>
        <v>-5520</v>
      </c>
    </row>
    <row r="143" spans="1:20" x14ac:dyDescent="0.25">
      <c r="A143" s="251"/>
      <c r="B143" s="55"/>
      <c r="D143" s="251" t="s">
        <v>1257</v>
      </c>
      <c r="E143" s="251"/>
      <c r="G143" s="251"/>
      <c r="I143" s="258"/>
      <c r="J143" s="80"/>
      <c r="K143" s="80"/>
      <c r="L143" s="32"/>
      <c r="M143" s="258"/>
      <c r="N143" s="32"/>
      <c r="O143" s="32"/>
      <c r="P143" s="32"/>
      <c r="Q143" s="32"/>
    </row>
    <row r="144" spans="1:20" x14ac:dyDescent="0.25">
      <c r="A144" s="255"/>
      <c r="E144" s="251" t="s">
        <v>341</v>
      </c>
      <c r="G144" s="251" t="s">
        <v>1264</v>
      </c>
      <c r="I144" s="258">
        <f>'Op Detail'!D4920</f>
        <v>279675</v>
      </c>
      <c r="J144" s="80"/>
      <c r="K144" s="80"/>
      <c r="L144" s="32"/>
      <c r="M144" s="258">
        <v>51061.5</v>
      </c>
      <c r="N144" s="32"/>
      <c r="O144" s="32"/>
      <c r="P144" s="32"/>
      <c r="Q144" s="32"/>
    </row>
    <row r="145" spans="1:20" x14ac:dyDescent="0.25">
      <c r="A145" s="255"/>
      <c r="E145" s="251" t="s">
        <v>1511</v>
      </c>
      <c r="G145" s="251" t="s">
        <v>1123</v>
      </c>
      <c r="I145" s="258">
        <f>Salaries!CU378</f>
        <v>47713.29</v>
      </c>
      <c r="J145" s="80"/>
      <c r="K145" s="80">
        <f>I144+I145</f>
        <v>327388.28999999998</v>
      </c>
      <c r="L145" s="32"/>
      <c r="M145" s="258">
        <v>47147.5</v>
      </c>
      <c r="N145" s="32"/>
      <c r="O145" s="32">
        <v>98209</v>
      </c>
      <c r="P145" s="32"/>
      <c r="Q145" s="32">
        <f>K145-O145</f>
        <v>229179</v>
      </c>
      <c r="T145" s="210"/>
    </row>
    <row r="146" spans="1:20" x14ac:dyDescent="0.25">
      <c r="A146" s="251"/>
      <c r="B146" s="55"/>
      <c r="D146" s="34" t="s">
        <v>1231</v>
      </c>
      <c r="E146" s="251"/>
      <c r="G146" s="251"/>
      <c r="I146" s="258"/>
      <c r="J146" s="80"/>
      <c r="K146" s="80"/>
      <c r="L146" s="32"/>
      <c r="M146" s="258"/>
      <c r="N146" s="32"/>
      <c r="O146" s="32"/>
      <c r="P146" s="32"/>
      <c r="Q146" s="32"/>
    </row>
    <row r="147" spans="1:20" x14ac:dyDescent="0.25">
      <c r="A147" s="255"/>
      <c r="E147" s="251" t="s">
        <v>1232</v>
      </c>
      <c r="G147" s="251" t="s">
        <v>1264</v>
      </c>
      <c r="I147" s="258">
        <f>'Op Detail'!D5007</f>
        <v>50920</v>
      </c>
      <c r="J147" s="80"/>
      <c r="K147" s="80"/>
      <c r="L147" s="32"/>
      <c r="M147" s="258">
        <v>58350</v>
      </c>
      <c r="N147" s="32"/>
      <c r="O147" s="32"/>
      <c r="P147" s="32"/>
      <c r="Q147" s="32"/>
    </row>
    <row r="148" spans="1:20" x14ac:dyDescent="0.25">
      <c r="A148" s="255"/>
      <c r="E148" s="251" t="s">
        <v>1233</v>
      </c>
      <c r="G148" s="251" t="s">
        <v>1123</v>
      </c>
      <c r="I148" s="258">
        <v>0</v>
      </c>
      <c r="J148" s="80"/>
      <c r="K148" s="80">
        <f>I147+I148</f>
        <v>50920</v>
      </c>
      <c r="L148" s="32"/>
      <c r="M148" s="258">
        <v>0</v>
      </c>
      <c r="N148" s="32"/>
      <c r="O148" s="32">
        <v>58350</v>
      </c>
      <c r="P148" s="32"/>
      <c r="Q148" s="32">
        <f>K148-O148</f>
        <v>-7430</v>
      </c>
    </row>
    <row r="149" spans="1:20" x14ac:dyDescent="0.25">
      <c r="A149" s="255"/>
      <c r="D149" s="187" t="s">
        <v>953</v>
      </c>
      <c r="E149" s="251"/>
      <c r="G149" s="251"/>
      <c r="I149" s="258"/>
      <c r="J149" s="80"/>
      <c r="K149" s="80"/>
      <c r="L149" s="32"/>
      <c r="M149" s="258"/>
      <c r="N149" s="32"/>
      <c r="O149" s="32"/>
      <c r="P149" s="32"/>
      <c r="Q149" s="32"/>
    </row>
    <row r="150" spans="1:20" x14ac:dyDescent="0.25">
      <c r="A150" s="255"/>
      <c r="E150" s="251" t="s">
        <v>2010</v>
      </c>
      <c r="G150" s="86" t="s">
        <v>1264</v>
      </c>
      <c r="I150" s="258">
        <f>'Op Detail'!D6263</f>
        <v>36880</v>
      </c>
      <c r="J150" s="80"/>
      <c r="K150" s="80">
        <f>I150</f>
        <v>36880</v>
      </c>
      <c r="L150" s="32"/>
      <c r="M150" s="258">
        <v>53600</v>
      </c>
      <c r="N150" s="32"/>
      <c r="O150" s="32">
        <v>53600</v>
      </c>
      <c r="P150" s="32"/>
      <c r="Q150" s="32">
        <f>K150-O150</f>
        <v>-16720</v>
      </c>
    </row>
    <row r="151" spans="1:20" x14ac:dyDescent="0.25">
      <c r="A151" s="251"/>
      <c r="B151" s="55"/>
      <c r="D151" s="34" t="s">
        <v>1414</v>
      </c>
      <c r="E151" s="251"/>
      <c r="G151" s="251"/>
      <c r="I151" s="258"/>
      <c r="J151" s="80"/>
      <c r="K151" s="80"/>
      <c r="L151" s="32"/>
      <c r="M151" s="258"/>
      <c r="N151" s="32"/>
      <c r="O151" s="32"/>
      <c r="P151" s="32"/>
      <c r="Q151" s="32"/>
    </row>
    <row r="152" spans="1:20" x14ac:dyDescent="0.25">
      <c r="A152" s="255"/>
      <c r="E152" s="251" t="s">
        <v>1718</v>
      </c>
      <c r="G152" s="251" t="s">
        <v>1264</v>
      </c>
      <c r="I152" s="258">
        <f>'Op Detail'!D4951</f>
        <v>6480</v>
      </c>
      <c r="J152" s="80"/>
      <c r="K152" s="80"/>
      <c r="L152" s="32"/>
      <c r="M152" s="258">
        <v>14300</v>
      </c>
      <c r="N152" s="32"/>
      <c r="O152" s="32"/>
      <c r="P152" s="32"/>
      <c r="Q152" s="32"/>
    </row>
    <row r="153" spans="1:20" x14ac:dyDescent="0.25">
      <c r="A153" s="255"/>
      <c r="E153" s="251" t="s">
        <v>1259</v>
      </c>
      <c r="G153" s="251" t="s">
        <v>1123</v>
      </c>
      <c r="I153" s="258">
        <v>0</v>
      </c>
      <c r="J153" s="80"/>
      <c r="K153" s="80">
        <f>I152+I153</f>
        <v>6480</v>
      </c>
      <c r="L153" s="32"/>
      <c r="M153" s="258">
        <v>0</v>
      </c>
      <c r="N153" s="32"/>
      <c r="O153" s="32">
        <v>14300</v>
      </c>
      <c r="P153" s="32"/>
      <c r="Q153" s="32">
        <f>K153-O153</f>
        <v>-7820</v>
      </c>
    </row>
    <row r="154" spans="1:20" x14ac:dyDescent="0.25">
      <c r="A154" s="255"/>
      <c r="D154" s="34" t="s">
        <v>1851</v>
      </c>
      <c r="E154" s="251"/>
      <c r="G154" s="251"/>
      <c r="I154" s="258"/>
      <c r="J154" s="80"/>
      <c r="K154" s="80"/>
      <c r="L154" s="32"/>
      <c r="M154" s="258"/>
      <c r="N154" s="32"/>
      <c r="O154" s="32"/>
      <c r="P154" s="32"/>
      <c r="Q154" s="32"/>
    </row>
    <row r="155" spans="1:20" x14ac:dyDescent="0.25">
      <c r="A155" s="255"/>
      <c r="E155" s="251" t="s">
        <v>1852</v>
      </c>
      <c r="G155" s="251" t="s">
        <v>1264</v>
      </c>
      <c r="I155" s="258">
        <f>'Op Detail'!D6089</f>
        <v>9320</v>
      </c>
      <c r="J155" s="80"/>
      <c r="K155" s="80">
        <f>I155</f>
        <v>9320</v>
      </c>
      <c r="L155" s="32"/>
      <c r="M155" s="258">
        <v>11650</v>
      </c>
      <c r="N155" s="32"/>
      <c r="O155" s="32">
        <v>11650</v>
      </c>
      <c r="P155" s="32"/>
      <c r="Q155" s="32">
        <f>K155-O155</f>
        <v>-2330</v>
      </c>
    </row>
    <row r="156" spans="1:20" x14ac:dyDescent="0.25">
      <c r="A156" s="255"/>
      <c r="D156" s="255" t="s">
        <v>2035</v>
      </c>
      <c r="E156" s="251"/>
      <c r="G156" s="251"/>
      <c r="I156" s="258"/>
      <c r="J156" s="80"/>
      <c r="K156" s="80"/>
      <c r="L156" s="32"/>
      <c r="M156" s="258"/>
      <c r="N156" s="32"/>
      <c r="O156" s="32"/>
      <c r="P156" s="32"/>
      <c r="Q156" s="32"/>
    </row>
    <row r="157" spans="1:20" x14ac:dyDescent="0.25">
      <c r="A157" s="255"/>
      <c r="E157" s="251" t="s">
        <v>2036</v>
      </c>
      <c r="G157" s="251" t="s">
        <v>1264</v>
      </c>
      <c r="I157" s="258">
        <f>+'Op Detail'!D6357</f>
        <v>44800</v>
      </c>
      <c r="J157" s="80"/>
      <c r="K157" s="80"/>
      <c r="L157" s="32"/>
      <c r="M157" s="258">
        <v>108500</v>
      </c>
      <c r="N157" s="32"/>
      <c r="O157" s="32"/>
      <c r="P157" s="32"/>
      <c r="Q157" s="32"/>
    </row>
    <row r="158" spans="1:20" x14ac:dyDescent="0.25">
      <c r="A158" s="255"/>
      <c r="E158" s="251" t="s">
        <v>2037</v>
      </c>
      <c r="G158" s="251" t="s">
        <v>1123</v>
      </c>
      <c r="I158" s="258"/>
      <c r="J158" s="80"/>
      <c r="K158" s="80">
        <f>+I158+I157</f>
        <v>44800</v>
      </c>
      <c r="L158" s="32"/>
      <c r="M158" s="258"/>
      <c r="N158" s="32"/>
      <c r="O158" s="32">
        <v>108500</v>
      </c>
      <c r="P158" s="32"/>
      <c r="Q158" s="32">
        <f>+K158-O158</f>
        <v>-63700</v>
      </c>
    </row>
    <row r="159" spans="1:20" x14ac:dyDescent="0.25">
      <c r="A159" s="255"/>
      <c r="D159" s="187" t="s">
        <v>952</v>
      </c>
      <c r="E159" s="251"/>
      <c r="G159" s="251"/>
      <c r="I159" s="258"/>
      <c r="J159" s="80"/>
      <c r="K159" s="80"/>
      <c r="L159" s="32"/>
      <c r="M159" s="258"/>
      <c r="N159" s="32"/>
      <c r="O159" s="32"/>
      <c r="P159" s="32"/>
      <c r="Q159" s="32"/>
    </row>
    <row r="160" spans="1:20" x14ac:dyDescent="0.25">
      <c r="A160" s="255"/>
      <c r="E160" s="251" t="s">
        <v>2011</v>
      </c>
      <c r="G160" s="251" t="s">
        <v>1264</v>
      </c>
      <c r="I160" s="258">
        <f>'Op Detail'!D6219</f>
        <v>0</v>
      </c>
      <c r="J160" s="80"/>
      <c r="K160" s="80">
        <f>I160</f>
        <v>0</v>
      </c>
      <c r="L160" s="32"/>
      <c r="M160" s="258">
        <v>0</v>
      </c>
      <c r="N160" s="32"/>
      <c r="O160" s="32">
        <v>0</v>
      </c>
      <c r="P160" s="32"/>
      <c r="Q160" s="32">
        <f>K160-O160</f>
        <v>0</v>
      </c>
    </row>
    <row r="161" spans="1:20" x14ac:dyDescent="0.25">
      <c r="A161" s="251"/>
      <c r="B161" s="55"/>
      <c r="D161" s="251" t="s">
        <v>677</v>
      </c>
      <c r="I161" s="258"/>
      <c r="J161" s="80"/>
      <c r="K161" s="80"/>
      <c r="L161" s="31"/>
      <c r="M161" s="258"/>
      <c r="N161" s="31"/>
      <c r="O161" s="32"/>
      <c r="P161" s="31"/>
      <c r="Q161" s="32"/>
    </row>
    <row r="162" spans="1:20" x14ac:dyDescent="0.25">
      <c r="A162" s="255"/>
      <c r="E162" s="251" t="s">
        <v>1177</v>
      </c>
      <c r="G162" s="251" t="s">
        <v>1264</v>
      </c>
      <c r="I162" s="258">
        <f>'Op Detail'!D4130</f>
        <v>60030</v>
      </c>
      <c r="J162" s="80"/>
      <c r="K162" s="80"/>
      <c r="L162" s="31"/>
      <c r="M162" s="258">
        <v>63957.4</v>
      </c>
      <c r="N162" s="31"/>
      <c r="O162" s="32"/>
      <c r="P162" s="31"/>
      <c r="Q162" s="32"/>
    </row>
    <row r="163" spans="1:20" x14ac:dyDescent="0.25">
      <c r="A163" s="255"/>
      <c r="E163" s="251" t="s">
        <v>1178</v>
      </c>
      <c r="G163" s="251" t="s">
        <v>1123</v>
      </c>
      <c r="I163" s="258">
        <f>Salaries!CS378</f>
        <v>118276.17</v>
      </c>
      <c r="J163" s="80"/>
      <c r="K163" s="80">
        <f>I162+I163</f>
        <v>178306.17</v>
      </c>
      <c r="L163" s="31"/>
      <c r="M163" s="258">
        <v>125012.6</v>
      </c>
      <c r="N163" s="31"/>
      <c r="O163" s="32">
        <v>188970</v>
      </c>
      <c r="P163" s="31"/>
      <c r="Q163" s="32">
        <f>K163-O163</f>
        <v>-10664</v>
      </c>
    </row>
    <row r="164" spans="1:20" x14ac:dyDescent="0.25">
      <c r="A164" s="251"/>
      <c r="B164" s="55"/>
      <c r="D164" s="251" t="s">
        <v>1260</v>
      </c>
      <c r="I164" s="258"/>
      <c r="J164" s="80"/>
      <c r="K164" s="80"/>
      <c r="L164" s="31"/>
      <c r="M164" s="258"/>
      <c r="N164" s="31"/>
      <c r="O164" s="32"/>
      <c r="P164" s="31"/>
      <c r="Q164" s="32"/>
    </row>
    <row r="165" spans="1:20" x14ac:dyDescent="0.25">
      <c r="A165" s="255"/>
      <c r="E165" s="251" t="s">
        <v>1509</v>
      </c>
      <c r="G165" s="251" t="s">
        <v>1264</v>
      </c>
      <c r="I165" s="258">
        <f>'Op Detail'!E4130</f>
        <v>21920</v>
      </c>
      <c r="J165" s="80"/>
      <c r="K165" s="80"/>
      <c r="L165" s="31"/>
      <c r="M165" s="258">
        <v>22300</v>
      </c>
      <c r="N165" s="31"/>
      <c r="O165" s="32"/>
      <c r="P165" s="31"/>
      <c r="Q165" s="32"/>
    </row>
    <row r="166" spans="1:20" x14ac:dyDescent="0.25">
      <c r="A166" s="255"/>
      <c r="E166" s="251" t="s">
        <v>1510</v>
      </c>
      <c r="G166" s="251" t="s">
        <v>1123</v>
      </c>
      <c r="I166" s="258">
        <f>Salaries!CT378</f>
        <v>0</v>
      </c>
      <c r="J166" s="80"/>
      <c r="K166" s="80">
        <f>I165+I166</f>
        <v>21920</v>
      </c>
      <c r="L166" s="31"/>
      <c r="M166" s="258">
        <v>0</v>
      </c>
      <c r="N166" s="31"/>
      <c r="O166" s="32">
        <v>22300</v>
      </c>
      <c r="P166" s="31"/>
      <c r="Q166" s="32">
        <f>K166-O166</f>
        <v>-380</v>
      </c>
      <c r="T166" s="210"/>
    </row>
    <row r="167" spans="1:20" x14ac:dyDescent="0.25">
      <c r="A167" s="251"/>
      <c r="B167" s="55" t="s">
        <v>1342</v>
      </c>
      <c r="I167" s="259"/>
      <c r="M167" s="259"/>
    </row>
    <row r="168" spans="1:20" x14ac:dyDescent="0.25">
      <c r="A168" s="251"/>
      <c r="B168" s="55"/>
      <c r="C168" s="251"/>
      <c r="D168" s="255" t="s">
        <v>2976</v>
      </c>
      <c r="I168" s="258"/>
      <c r="J168" s="80"/>
      <c r="K168" s="80"/>
      <c r="L168" s="31"/>
      <c r="M168" s="258"/>
      <c r="N168" s="31"/>
      <c r="O168" s="32"/>
      <c r="P168" s="31"/>
      <c r="Q168" s="32"/>
    </row>
    <row r="169" spans="1:20" x14ac:dyDescent="0.25">
      <c r="A169" s="251"/>
      <c r="B169" s="55"/>
      <c r="E169" s="251" t="s">
        <v>1708</v>
      </c>
      <c r="G169" s="251" t="s">
        <v>1264</v>
      </c>
      <c r="I169" s="260">
        <f>'Op Detail'!D1791</f>
        <v>5480</v>
      </c>
      <c r="J169" s="80"/>
      <c r="K169" s="80"/>
      <c r="L169" s="31"/>
      <c r="M169" s="260">
        <v>7075</v>
      </c>
      <c r="N169" s="31"/>
      <c r="O169" s="32"/>
      <c r="P169" s="31"/>
      <c r="Q169" s="32"/>
    </row>
    <row r="170" spans="1:20" x14ac:dyDescent="0.25">
      <c r="A170" s="255"/>
      <c r="E170" s="251" t="s">
        <v>1707</v>
      </c>
      <c r="G170" s="251" t="s">
        <v>1123</v>
      </c>
      <c r="I170" s="258">
        <f>Salaries!BC378</f>
        <v>139577.51</v>
      </c>
      <c r="J170" s="80"/>
      <c r="K170" s="79">
        <f>I170+I169</f>
        <v>145057.51</v>
      </c>
      <c r="L170" s="31"/>
      <c r="M170" s="258">
        <v>106124.07</v>
      </c>
      <c r="N170" s="31"/>
      <c r="O170" s="31">
        <v>113199</v>
      </c>
      <c r="P170" s="31"/>
      <c r="Q170" s="32">
        <f>K170-O170</f>
        <v>31859</v>
      </c>
      <c r="T170" s="210"/>
    </row>
    <row r="171" spans="1:20" x14ac:dyDescent="0.25">
      <c r="A171" s="255"/>
      <c r="D171" s="255" t="s">
        <v>2975</v>
      </c>
      <c r="E171" s="251"/>
      <c r="G171" s="251"/>
      <c r="I171" s="258"/>
      <c r="J171" s="80"/>
      <c r="L171" s="31"/>
      <c r="M171" s="258"/>
      <c r="N171" s="31"/>
      <c r="O171" s="31"/>
      <c r="P171" s="31"/>
      <c r="Q171" s="32"/>
    </row>
    <row r="172" spans="1:20" x14ac:dyDescent="0.25">
      <c r="A172" s="251"/>
      <c r="B172" s="55"/>
      <c r="E172" s="251" t="s">
        <v>1144</v>
      </c>
      <c r="G172" s="251" t="s">
        <v>1288</v>
      </c>
      <c r="I172" s="260">
        <f>'Op Detail'!D1835</f>
        <v>36635</v>
      </c>
      <c r="L172" s="31"/>
      <c r="M172" s="260">
        <v>32050</v>
      </c>
      <c r="N172" s="31"/>
      <c r="O172" s="31"/>
      <c r="P172" s="31"/>
      <c r="Q172" s="31"/>
    </row>
    <row r="173" spans="1:20" x14ac:dyDescent="0.25">
      <c r="A173" s="251"/>
      <c r="B173" s="55"/>
      <c r="E173" s="251" t="s">
        <v>340</v>
      </c>
      <c r="G173" s="251" t="s">
        <v>1123</v>
      </c>
      <c r="I173" s="258">
        <f>Salaries!BD378</f>
        <v>191882.4</v>
      </c>
      <c r="K173" s="80">
        <f>I173+I172</f>
        <v>228517.4</v>
      </c>
      <c r="L173" s="31"/>
      <c r="M173" s="258">
        <v>158237.29</v>
      </c>
      <c r="N173" s="31"/>
      <c r="O173" s="32">
        <v>190287</v>
      </c>
      <c r="P173" s="31"/>
      <c r="Q173" s="32">
        <f>K173-O173</f>
        <v>38230</v>
      </c>
      <c r="T173" s="210"/>
    </row>
    <row r="174" spans="1:20" x14ac:dyDescent="0.25">
      <c r="A174" s="251"/>
      <c r="B174" s="55"/>
      <c r="D174" s="255" t="s">
        <v>2970</v>
      </c>
      <c r="E174" s="251"/>
      <c r="G174" s="251"/>
      <c r="I174" s="258"/>
      <c r="K174" s="80"/>
      <c r="L174" s="31"/>
      <c r="M174" s="258"/>
      <c r="N174" s="31"/>
      <c r="O174" s="32"/>
      <c r="P174" s="31"/>
      <c r="Q174" s="32"/>
    </row>
    <row r="175" spans="1:20" x14ac:dyDescent="0.25">
      <c r="A175" s="251"/>
      <c r="B175" s="55"/>
      <c r="E175" s="269" t="s">
        <v>2031</v>
      </c>
      <c r="G175" s="251" t="s">
        <v>1288</v>
      </c>
      <c r="I175" s="258">
        <f>'Op Detail'!D1863</f>
        <v>980</v>
      </c>
      <c r="K175" s="80"/>
      <c r="L175" s="31"/>
      <c r="M175" s="258">
        <v>17550</v>
      </c>
      <c r="N175" s="31"/>
      <c r="O175" s="32"/>
      <c r="P175" s="31"/>
      <c r="Q175" s="32"/>
    </row>
    <row r="176" spans="1:20" x14ac:dyDescent="0.25">
      <c r="A176" s="251"/>
      <c r="B176" s="55"/>
      <c r="E176" s="269" t="s">
        <v>2062</v>
      </c>
      <c r="G176" s="251" t="s">
        <v>1123</v>
      </c>
      <c r="I176" s="258">
        <f>+Salaries!BY378</f>
        <v>80119.13</v>
      </c>
      <c r="K176" s="80"/>
      <c r="L176" s="31"/>
      <c r="M176" s="258">
        <v>29615.01</v>
      </c>
      <c r="N176" s="31"/>
      <c r="O176" s="32"/>
      <c r="P176" s="31"/>
      <c r="Q176" s="32"/>
      <c r="T176" s="210"/>
    </row>
    <row r="177" spans="1:20" x14ac:dyDescent="0.25">
      <c r="A177" s="251"/>
      <c r="B177" s="55"/>
      <c r="E177" s="269" t="s">
        <v>1779</v>
      </c>
      <c r="G177" s="251" t="s">
        <v>1288</v>
      </c>
      <c r="I177" s="258">
        <f>'Op Detail'!E1863</f>
        <v>21350</v>
      </c>
      <c r="K177" s="80"/>
      <c r="L177" s="31"/>
      <c r="M177" s="258">
        <v>5250</v>
      </c>
      <c r="N177" s="31"/>
      <c r="O177" s="32"/>
      <c r="P177" s="31"/>
      <c r="Q177" s="32"/>
    </row>
    <row r="178" spans="1:20" x14ac:dyDescent="0.25">
      <c r="A178" s="251"/>
      <c r="B178" s="55"/>
      <c r="E178" s="269" t="s">
        <v>1780</v>
      </c>
      <c r="G178" s="251" t="s">
        <v>1123</v>
      </c>
      <c r="I178" s="258">
        <f>Salaries!BX378</f>
        <v>60845.4</v>
      </c>
      <c r="K178" s="80">
        <f>+I175+I176+I177+I178</f>
        <v>163294.53</v>
      </c>
      <c r="L178" s="31"/>
      <c r="M178" s="258">
        <v>117803.7</v>
      </c>
      <c r="N178" s="31"/>
      <c r="O178" s="32">
        <v>170219</v>
      </c>
      <c r="P178" s="31"/>
      <c r="Q178" s="32">
        <f>K178-O178</f>
        <v>-6924</v>
      </c>
      <c r="T178" s="210"/>
    </row>
    <row r="179" spans="1:20" x14ac:dyDescent="0.25">
      <c r="A179" s="251"/>
      <c r="B179" s="55"/>
      <c r="D179" s="34" t="s">
        <v>1521</v>
      </c>
      <c r="E179" s="269"/>
      <c r="G179" s="251"/>
      <c r="I179" s="258"/>
      <c r="K179" s="80"/>
      <c r="L179" s="31"/>
      <c r="M179" s="258"/>
      <c r="N179" s="31"/>
      <c r="O179" s="32"/>
      <c r="P179" s="31"/>
      <c r="Q179" s="32"/>
    </row>
    <row r="180" spans="1:20" x14ac:dyDescent="0.25">
      <c r="A180" s="251"/>
      <c r="B180" s="55"/>
      <c r="E180" s="251" t="s">
        <v>1939</v>
      </c>
      <c r="G180" s="251" t="s">
        <v>1288</v>
      </c>
      <c r="I180" s="260">
        <f>'Op Detail'!D1899</f>
        <v>29480</v>
      </c>
      <c r="K180" s="80"/>
      <c r="L180" s="31"/>
      <c r="M180" s="260">
        <v>36850</v>
      </c>
      <c r="N180" s="31"/>
      <c r="O180" s="32"/>
      <c r="P180" s="31"/>
      <c r="Q180" s="32"/>
    </row>
    <row r="181" spans="1:20" x14ac:dyDescent="0.25">
      <c r="A181" s="251"/>
      <c r="B181" s="55"/>
      <c r="E181" s="251" t="s">
        <v>1940</v>
      </c>
      <c r="G181" s="251" t="s">
        <v>1123</v>
      </c>
      <c r="I181" s="258">
        <f>Salaries!BA378</f>
        <v>40480</v>
      </c>
      <c r="K181" s="80">
        <f>I181+I180</f>
        <v>69960</v>
      </c>
      <c r="L181" s="31"/>
      <c r="M181" s="258">
        <v>0</v>
      </c>
      <c r="N181" s="31"/>
      <c r="O181" s="32">
        <v>36850</v>
      </c>
      <c r="P181" s="31"/>
      <c r="Q181" s="32">
        <f>K181-O181</f>
        <v>33110</v>
      </c>
      <c r="T181" s="210"/>
    </row>
    <row r="182" spans="1:20" x14ac:dyDescent="0.25">
      <c r="A182" s="255"/>
      <c r="D182" s="251" t="s">
        <v>1519</v>
      </c>
      <c r="I182" s="258"/>
      <c r="K182" s="80"/>
      <c r="L182" s="31"/>
      <c r="M182" s="258"/>
      <c r="N182" s="31"/>
      <c r="O182" s="32"/>
      <c r="P182" s="31"/>
      <c r="Q182" s="32"/>
    </row>
    <row r="183" spans="1:20" x14ac:dyDescent="0.25">
      <c r="A183" s="255"/>
      <c r="E183" s="251" t="s">
        <v>1155</v>
      </c>
      <c r="G183" s="251" t="s">
        <v>1264</v>
      </c>
      <c r="I183" s="258">
        <f>'Op Detail'!D3640</f>
        <v>1280</v>
      </c>
      <c r="K183" s="80"/>
      <c r="L183" s="31"/>
      <c r="M183" s="258">
        <v>3475</v>
      </c>
      <c r="N183" s="31"/>
      <c r="O183" s="32"/>
      <c r="P183" s="31"/>
      <c r="Q183" s="32"/>
    </row>
    <row r="184" spans="1:20" x14ac:dyDescent="0.25">
      <c r="A184" s="255"/>
      <c r="E184" s="251" t="s">
        <v>1156</v>
      </c>
      <c r="G184" s="251" t="s">
        <v>1123</v>
      </c>
      <c r="I184" s="258">
        <f>Salaries!CD378</f>
        <v>0</v>
      </c>
      <c r="K184" s="80">
        <f>I184+I183</f>
        <v>1280</v>
      </c>
      <c r="L184" s="31"/>
      <c r="M184" s="258">
        <v>51210.54</v>
      </c>
      <c r="N184" s="31"/>
      <c r="O184" s="32">
        <v>54686</v>
      </c>
      <c r="P184" s="31"/>
      <c r="Q184" s="32">
        <f>K184-O184</f>
        <v>-53406</v>
      </c>
    </row>
    <row r="185" spans="1:20" x14ac:dyDescent="0.25">
      <c r="A185" s="255"/>
      <c r="D185" s="255" t="s">
        <v>2967</v>
      </c>
      <c r="E185" s="251"/>
      <c r="G185" s="251"/>
      <c r="I185" s="258"/>
      <c r="K185" s="80"/>
      <c r="L185" s="31"/>
      <c r="M185" s="258"/>
      <c r="N185" s="31"/>
      <c r="O185" s="32"/>
      <c r="P185" s="31"/>
      <c r="Q185" s="32"/>
    </row>
    <row r="186" spans="1:20" x14ac:dyDescent="0.25">
      <c r="A186" s="255"/>
      <c r="E186" s="251" t="s">
        <v>1346</v>
      </c>
      <c r="G186" s="251" t="s">
        <v>1264</v>
      </c>
      <c r="I186" s="258">
        <f>'Op Detail'!E3640</f>
        <v>4880</v>
      </c>
      <c r="K186" s="80"/>
      <c r="L186" s="31"/>
      <c r="M186" s="258">
        <v>7000</v>
      </c>
      <c r="N186" s="31"/>
      <c r="O186" s="32"/>
      <c r="P186" s="31"/>
      <c r="Q186" s="32"/>
    </row>
    <row r="187" spans="1:20" x14ac:dyDescent="0.25">
      <c r="A187" s="255"/>
      <c r="E187" s="251" t="s">
        <v>1157</v>
      </c>
      <c r="G187" s="251" t="s">
        <v>1123</v>
      </c>
      <c r="I187" s="258">
        <f>Salaries!BZ378</f>
        <v>85308.68</v>
      </c>
      <c r="K187" s="80">
        <f>I187+I186</f>
        <v>90188.68</v>
      </c>
      <c r="L187" s="31"/>
      <c r="M187" s="258">
        <v>97357.42</v>
      </c>
      <c r="N187" s="31"/>
      <c r="O187" s="32">
        <v>104357</v>
      </c>
      <c r="P187" s="31"/>
      <c r="Q187" s="32">
        <f>K187-O187</f>
        <v>-14168</v>
      </c>
      <c r="T187" s="210"/>
    </row>
    <row r="188" spans="1:20" x14ac:dyDescent="0.25">
      <c r="A188" s="255"/>
      <c r="D188" s="34" t="s">
        <v>1520</v>
      </c>
      <c r="E188" s="251"/>
      <c r="G188" s="251"/>
      <c r="I188" s="258"/>
      <c r="K188" s="80"/>
      <c r="L188" s="31"/>
      <c r="M188" s="258"/>
      <c r="N188" s="31"/>
      <c r="O188" s="32"/>
      <c r="P188" s="31"/>
      <c r="Q188" s="32"/>
    </row>
    <row r="189" spans="1:20" x14ac:dyDescent="0.25">
      <c r="A189" s="255"/>
      <c r="E189" s="251" t="s">
        <v>1147</v>
      </c>
      <c r="G189" s="251" t="s">
        <v>1264</v>
      </c>
      <c r="I189" s="258">
        <f>'Op Detail'!F3640</f>
        <v>25320</v>
      </c>
      <c r="J189" s="80"/>
      <c r="L189" s="32"/>
      <c r="M189" s="258">
        <v>46017.35</v>
      </c>
      <c r="N189" s="32"/>
      <c r="O189" s="31"/>
      <c r="P189" s="32"/>
      <c r="Q189" s="32" t="s">
        <v>342</v>
      </c>
      <c r="R189" s="39"/>
    </row>
    <row r="190" spans="1:20" x14ac:dyDescent="0.25">
      <c r="A190" s="255"/>
      <c r="E190" s="251" t="s">
        <v>1148</v>
      </c>
      <c r="G190" s="251" t="s">
        <v>1123</v>
      </c>
      <c r="I190" s="258">
        <f>Salaries!CA378</f>
        <v>181247.92</v>
      </c>
      <c r="J190" s="80"/>
      <c r="K190" s="80">
        <f>I189+I190</f>
        <v>206567.92</v>
      </c>
      <c r="L190" s="32"/>
      <c r="M190" s="258">
        <v>229632.65</v>
      </c>
      <c r="N190" s="32"/>
      <c r="O190" s="32">
        <v>275650</v>
      </c>
      <c r="P190" s="32"/>
      <c r="Q190" s="32">
        <f>K190-O190</f>
        <v>-69082</v>
      </c>
      <c r="R190" s="39"/>
      <c r="T190" s="210"/>
    </row>
    <row r="191" spans="1:20" x14ac:dyDescent="0.25">
      <c r="A191" s="251"/>
      <c r="B191" s="55"/>
      <c r="D191" s="251" t="s">
        <v>713</v>
      </c>
      <c r="I191" s="259"/>
      <c r="L191" s="31"/>
      <c r="M191" s="259"/>
      <c r="N191" s="31"/>
      <c r="O191" s="31"/>
      <c r="P191" s="31"/>
      <c r="Q191" s="32"/>
    </row>
    <row r="192" spans="1:20" x14ac:dyDescent="0.25">
      <c r="A192" s="255"/>
      <c r="E192" s="251" t="s">
        <v>1101</v>
      </c>
      <c r="G192" s="251" t="s">
        <v>1264</v>
      </c>
      <c r="I192" s="260">
        <f>'Op Detail'!D1665</f>
        <v>18800</v>
      </c>
      <c r="J192" s="80"/>
      <c r="L192" s="31"/>
      <c r="M192" s="260">
        <v>38500</v>
      </c>
      <c r="N192" s="31"/>
      <c r="P192" s="31"/>
    </row>
    <row r="193" spans="1:20" x14ac:dyDescent="0.25">
      <c r="A193" s="255"/>
      <c r="E193" s="251" t="s">
        <v>1611</v>
      </c>
      <c r="G193" s="251" t="s">
        <v>1123</v>
      </c>
      <c r="I193" s="258">
        <f>Salaries!BB378</f>
        <v>60720</v>
      </c>
      <c r="J193" s="80"/>
      <c r="K193" s="80">
        <f>I192+I193</f>
        <v>79520</v>
      </c>
      <c r="L193" s="31"/>
      <c r="M193" s="258">
        <v>26526.38</v>
      </c>
      <c r="N193" s="31"/>
      <c r="O193" s="32">
        <v>65026</v>
      </c>
      <c r="P193" s="31"/>
      <c r="Q193" s="32">
        <f>K193-O193</f>
        <v>14494</v>
      </c>
      <c r="T193" s="210"/>
    </row>
    <row r="194" spans="1:20" x14ac:dyDescent="0.25">
      <c r="A194" s="255"/>
      <c r="D194" s="251" t="s">
        <v>496</v>
      </c>
      <c r="I194" s="259" t="s">
        <v>342</v>
      </c>
      <c r="J194" s="80"/>
      <c r="K194" s="80"/>
      <c r="L194" s="32"/>
      <c r="M194" s="259" t="s">
        <v>342</v>
      </c>
      <c r="N194" s="32"/>
      <c r="O194" s="32"/>
      <c r="P194" s="32"/>
      <c r="Q194" s="32"/>
      <c r="R194" s="39"/>
    </row>
    <row r="195" spans="1:20" x14ac:dyDescent="0.25">
      <c r="A195" s="251"/>
      <c r="B195" s="55"/>
      <c r="E195" s="251" t="s">
        <v>1036</v>
      </c>
      <c r="G195" s="251" t="s">
        <v>1264</v>
      </c>
      <c r="I195" s="260">
        <f>'Op Detail'!D4252</f>
        <v>89372</v>
      </c>
      <c r="J195" s="80"/>
      <c r="K195" s="80"/>
      <c r="L195" s="32"/>
      <c r="M195" s="260">
        <v>89360</v>
      </c>
      <c r="N195" s="32"/>
      <c r="O195" s="32"/>
      <c r="P195" s="32"/>
      <c r="Q195" s="32"/>
      <c r="R195" s="39"/>
    </row>
    <row r="196" spans="1:20" x14ac:dyDescent="0.25">
      <c r="A196" s="255"/>
      <c r="E196" s="251" t="s">
        <v>1037</v>
      </c>
      <c r="G196" s="251" t="s">
        <v>1123</v>
      </c>
      <c r="I196" s="258">
        <f>Salaries!CH378</f>
        <v>245259.33</v>
      </c>
      <c r="J196" s="80"/>
      <c r="K196" s="80">
        <f>I195+I196</f>
        <v>334631.33</v>
      </c>
      <c r="L196" s="32"/>
      <c r="M196" s="258">
        <v>296767.34000000003</v>
      </c>
      <c r="N196" s="32"/>
      <c r="O196" s="32">
        <v>386127</v>
      </c>
      <c r="P196" s="32"/>
      <c r="Q196" s="32">
        <f>K196-O196</f>
        <v>-51496</v>
      </c>
      <c r="R196" s="39"/>
      <c r="T196" s="210"/>
    </row>
    <row r="197" spans="1:20" x14ac:dyDescent="0.25">
      <c r="A197" s="255"/>
      <c r="D197" s="251" t="s">
        <v>680</v>
      </c>
      <c r="I197" s="258"/>
      <c r="J197" s="80"/>
      <c r="K197" s="80"/>
      <c r="L197" s="32"/>
      <c r="M197" s="258"/>
      <c r="N197" s="32"/>
      <c r="O197" s="32"/>
      <c r="P197" s="32"/>
      <c r="Q197" s="32"/>
      <c r="R197" s="39"/>
    </row>
    <row r="198" spans="1:20" x14ac:dyDescent="0.25">
      <c r="A198" s="251"/>
      <c r="B198" s="55"/>
      <c r="E198" s="251" t="s">
        <v>1043</v>
      </c>
      <c r="G198" s="251" t="s">
        <v>1264</v>
      </c>
      <c r="I198" s="260">
        <f>'Op Detail'!D4281</f>
        <v>5600</v>
      </c>
      <c r="J198" s="80"/>
      <c r="K198" s="80"/>
      <c r="L198" s="32"/>
      <c r="M198" s="260">
        <v>16000</v>
      </c>
      <c r="N198" s="32"/>
      <c r="O198" s="32"/>
      <c r="P198" s="32"/>
      <c r="Q198" s="32"/>
      <c r="R198" s="39"/>
    </row>
    <row r="199" spans="1:20" x14ac:dyDescent="0.25">
      <c r="A199" s="255"/>
      <c r="E199" s="251" t="s">
        <v>1044</v>
      </c>
      <c r="G199" s="251" t="s">
        <v>1123</v>
      </c>
      <c r="I199" s="258">
        <f>Salaries!CG378</f>
        <v>37150.92</v>
      </c>
      <c r="J199" s="80"/>
      <c r="K199" s="80">
        <f>I198+I199</f>
        <v>42750.92</v>
      </c>
      <c r="L199" s="32"/>
      <c r="M199" s="258">
        <v>34265.339999999997</v>
      </c>
      <c r="N199" s="32"/>
      <c r="O199" s="32">
        <v>50265</v>
      </c>
      <c r="P199" s="32"/>
      <c r="Q199" s="32">
        <f>K199-O199</f>
        <v>-7514</v>
      </c>
      <c r="R199" s="39"/>
      <c r="T199" s="210"/>
    </row>
    <row r="200" spans="1:20" x14ac:dyDescent="0.25">
      <c r="A200" s="255"/>
      <c r="D200" s="251" t="s">
        <v>668</v>
      </c>
      <c r="I200" s="258"/>
      <c r="K200" s="80"/>
      <c r="L200" s="31"/>
      <c r="M200" s="258"/>
      <c r="N200" s="31"/>
      <c r="O200" s="32"/>
      <c r="P200" s="31"/>
      <c r="Q200" s="32"/>
    </row>
    <row r="201" spans="1:20" x14ac:dyDescent="0.25">
      <c r="A201" s="251"/>
      <c r="B201" s="55"/>
      <c r="E201" s="251" t="s">
        <v>1150</v>
      </c>
      <c r="G201" s="251" t="s">
        <v>1264</v>
      </c>
      <c r="I201" s="260">
        <f>'Op Detail'!D3601</f>
        <v>51757.77</v>
      </c>
      <c r="K201" s="80"/>
      <c r="L201" s="31"/>
      <c r="M201" s="260">
        <v>87825</v>
      </c>
      <c r="N201" s="31"/>
      <c r="O201" s="32"/>
      <c r="P201" s="31"/>
      <c r="Q201" s="32"/>
    </row>
    <row r="202" spans="1:20" x14ac:dyDescent="0.25">
      <c r="A202" s="255"/>
      <c r="E202" s="251" t="s">
        <v>1151</v>
      </c>
      <c r="G202" s="251" t="s">
        <v>1123</v>
      </c>
      <c r="I202" s="258">
        <f>Salaries!BL378</f>
        <v>206395.09</v>
      </c>
      <c r="K202" s="80">
        <f>I201+I202</f>
        <v>258152.86</v>
      </c>
      <c r="L202" s="31"/>
      <c r="M202" s="258">
        <v>141450.82</v>
      </c>
      <c r="N202" s="31"/>
      <c r="O202" s="32">
        <v>229276</v>
      </c>
      <c r="P202" s="31"/>
      <c r="Q202" s="32">
        <f>K202-O202</f>
        <v>28877</v>
      </c>
      <c r="T202" s="210"/>
    </row>
    <row r="203" spans="1:20" x14ac:dyDescent="0.25">
      <c r="A203" s="255"/>
      <c r="B203" s="54" t="s">
        <v>535</v>
      </c>
      <c r="E203" s="251"/>
      <c r="G203" s="251"/>
      <c r="I203" s="258"/>
      <c r="K203" s="80"/>
      <c r="L203" s="31"/>
      <c r="M203" s="258"/>
      <c r="N203" s="31"/>
      <c r="O203" s="32"/>
      <c r="P203" s="31"/>
      <c r="Q203" s="32"/>
    </row>
    <row r="204" spans="1:20" x14ac:dyDescent="0.25">
      <c r="A204" s="251"/>
      <c r="B204" s="55"/>
      <c r="D204" s="251" t="s">
        <v>534</v>
      </c>
      <c r="I204" s="259"/>
      <c r="K204" s="80"/>
      <c r="L204" s="31"/>
      <c r="M204" s="259"/>
      <c r="N204" s="31"/>
      <c r="O204" s="31"/>
      <c r="P204" s="31"/>
      <c r="Q204" s="32"/>
    </row>
    <row r="205" spans="1:20" x14ac:dyDescent="0.25">
      <c r="A205" s="255"/>
      <c r="E205" s="251" t="s">
        <v>1030</v>
      </c>
      <c r="G205" s="251" t="s">
        <v>1264</v>
      </c>
      <c r="I205" s="260">
        <f>'Op Detail'!D251</f>
        <v>41240</v>
      </c>
      <c r="K205" s="259" t="s">
        <v>342</v>
      </c>
      <c r="L205" s="31"/>
      <c r="M205" s="260">
        <v>57800</v>
      </c>
      <c r="N205" s="31"/>
      <c r="O205" s="31" t="s">
        <v>342</v>
      </c>
      <c r="P205" s="31"/>
      <c r="Q205" s="32"/>
    </row>
    <row r="206" spans="1:20" x14ac:dyDescent="0.25">
      <c r="A206" s="255"/>
      <c r="E206" s="251" t="s">
        <v>1031</v>
      </c>
      <c r="G206" s="251" t="s">
        <v>1123</v>
      </c>
      <c r="I206" s="258">
        <f>Salaries!R378</f>
        <v>218323.53</v>
      </c>
      <c r="K206" s="80">
        <f>I205+I206</f>
        <v>259563.53</v>
      </c>
      <c r="L206" s="31"/>
      <c r="M206" s="258">
        <v>245050.69</v>
      </c>
      <c r="N206" s="31"/>
      <c r="O206" s="32">
        <v>302851</v>
      </c>
      <c r="P206" s="31"/>
      <c r="Q206" s="32">
        <f>K206-O206</f>
        <v>-43287</v>
      </c>
      <c r="T206" s="210"/>
    </row>
    <row r="207" spans="1:20" x14ac:dyDescent="0.25">
      <c r="A207" s="251"/>
      <c r="B207" s="55"/>
      <c r="D207" s="251" t="s">
        <v>3124</v>
      </c>
      <c r="I207" s="259"/>
      <c r="K207" s="80"/>
      <c r="L207" s="31"/>
      <c r="M207" s="259"/>
      <c r="N207" s="31"/>
      <c r="O207" s="32"/>
      <c r="P207" s="31"/>
      <c r="Q207" s="32"/>
    </row>
    <row r="208" spans="1:20" x14ac:dyDescent="0.25">
      <c r="A208" s="255"/>
      <c r="E208" s="251" t="s">
        <v>1032</v>
      </c>
      <c r="G208" s="251" t="s">
        <v>1264</v>
      </c>
      <c r="I208" s="258">
        <f>'Op Detail'!D272</f>
        <v>2120</v>
      </c>
      <c r="K208" s="80"/>
      <c r="L208" s="31"/>
      <c r="M208" s="258">
        <v>3900</v>
      </c>
      <c r="N208" s="31"/>
      <c r="O208" s="32"/>
      <c r="P208" s="31"/>
      <c r="Q208" s="32"/>
    </row>
    <row r="209" spans="1:20" x14ac:dyDescent="0.25">
      <c r="A209" s="255"/>
      <c r="E209" s="251" t="s">
        <v>1033</v>
      </c>
      <c r="G209" s="251" t="s">
        <v>1123</v>
      </c>
      <c r="I209" s="258">
        <f>Salaries!S378</f>
        <v>104928.22</v>
      </c>
      <c r="K209" s="80">
        <f>I208+I209</f>
        <v>107048.22</v>
      </c>
      <c r="L209" s="31"/>
      <c r="M209" s="258">
        <v>61725.599999999999</v>
      </c>
      <c r="N209" s="31"/>
      <c r="O209" s="32">
        <v>65626</v>
      </c>
      <c r="P209" s="31"/>
      <c r="Q209" s="32">
        <f>K209-O209</f>
        <v>41422</v>
      </c>
    </row>
    <row r="210" spans="1:20" x14ac:dyDescent="0.25">
      <c r="A210" s="251"/>
      <c r="B210" s="55"/>
      <c r="D210" s="251" t="s">
        <v>855</v>
      </c>
      <c r="I210" s="258"/>
      <c r="K210" s="80"/>
      <c r="L210" s="31"/>
      <c r="M210" s="258"/>
      <c r="N210" s="31"/>
      <c r="O210" s="32"/>
      <c r="P210" s="31"/>
      <c r="Q210" s="32"/>
    </row>
    <row r="211" spans="1:20" x14ac:dyDescent="0.25">
      <c r="A211" s="255"/>
      <c r="E211" s="251" t="s">
        <v>1034</v>
      </c>
      <c r="G211" s="251" t="s">
        <v>1264</v>
      </c>
      <c r="I211" s="260">
        <f>'Op Detail'!D303</f>
        <v>2120</v>
      </c>
      <c r="K211" s="80">
        <f>I211</f>
        <v>2120</v>
      </c>
      <c r="L211" s="31"/>
      <c r="M211" s="260">
        <v>3000</v>
      </c>
      <c r="N211" s="31"/>
      <c r="O211" s="32">
        <v>3000</v>
      </c>
      <c r="P211" s="31"/>
      <c r="Q211" s="32">
        <f>K211-O211</f>
        <v>-880</v>
      </c>
    </row>
    <row r="212" spans="1:20" x14ac:dyDescent="0.25">
      <c r="A212" s="251"/>
      <c r="B212" s="55"/>
      <c r="D212" s="251" t="s">
        <v>856</v>
      </c>
      <c r="I212" s="258"/>
      <c r="K212" s="80"/>
      <c r="L212" s="31"/>
      <c r="M212" s="258"/>
      <c r="N212" s="31"/>
      <c r="O212" s="32"/>
      <c r="P212" s="31"/>
      <c r="Q212" s="32"/>
    </row>
    <row r="213" spans="1:20" x14ac:dyDescent="0.25">
      <c r="A213" s="251"/>
      <c r="B213" s="55"/>
      <c r="E213" s="251" t="s">
        <v>888</v>
      </c>
      <c r="G213" s="251" t="s">
        <v>1264</v>
      </c>
      <c r="I213" s="260">
        <f>'Op Detail'!D332</f>
        <v>3000</v>
      </c>
      <c r="K213" s="80"/>
      <c r="L213" s="31"/>
      <c r="M213" s="260">
        <v>4050</v>
      </c>
      <c r="N213" s="31"/>
      <c r="O213" s="32"/>
      <c r="P213" s="31"/>
      <c r="Q213" s="32"/>
    </row>
    <row r="214" spans="1:20" x14ac:dyDescent="0.25">
      <c r="A214" s="255"/>
      <c r="E214" s="251" t="s">
        <v>1141</v>
      </c>
      <c r="G214" s="251" t="s">
        <v>1123</v>
      </c>
      <c r="I214" s="258">
        <f>Salaries!U378</f>
        <v>187314.28</v>
      </c>
      <c r="K214" s="80">
        <f>I214+I213</f>
        <v>190314.28</v>
      </c>
      <c r="L214" s="31"/>
      <c r="M214" s="258">
        <v>185423.06</v>
      </c>
      <c r="N214" s="31"/>
      <c r="O214" s="32">
        <v>189473</v>
      </c>
      <c r="P214" s="31"/>
      <c r="Q214" s="32">
        <f>K214-O214</f>
        <v>841</v>
      </c>
      <c r="T214" s="210"/>
    </row>
    <row r="215" spans="1:20" x14ac:dyDescent="0.25">
      <c r="A215" s="251"/>
      <c r="B215" s="55"/>
      <c r="D215" s="251" t="s">
        <v>1507</v>
      </c>
      <c r="I215" s="258"/>
      <c r="J215" s="80"/>
      <c r="K215" s="80"/>
      <c r="L215" s="31"/>
      <c r="M215" s="258"/>
      <c r="N215" s="31"/>
      <c r="O215" s="32"/>
      <c r="P215" s="31"/>
      <c r="Q215" s="32"/>
    </row>
    <row r="216" spans="1:20" x14ac:dyDescent="0.25">
      <c r="A216" s="255"/>
      <c r="E216" s="251" t="s">
        <v>1166</v>
      </c>
      <c r="G216" s="251" t="s">
        <v>1264</v>
      </c>
      <c r="I216" s="258">
        <f>'Op Detail'!D360</f>
        <v>4070</v>
      </c>
      <c r="J216" s="80"/>
      <c r="K216" s="80"/>
      <c r="L216" s="31"/>
      <c r="M216" s="258">
        <v>3475</v>
      </c>
      <c r="N216" s="31"/>
      <c r="O216" s="32"/>
      <c r="P216" s="31"/>
      <c r="Q216" s="32"/>
    </row>
    <row r="217" spans="1:20" x14ac:dyDescent="0.25">
      <c r="A217" s="255"/>
      <c r="E217" s="251" t="s">
        <v>1167</v>
      </c>
      <c r="G217" s="251" t="s">
        <v>1123</v>
      </c>
      <c r="I217" s="258">
        <f>Salaries!BW378+Salaries!BV378</f>
        <v>45018.559999999998</v>
      </c>
      <c r="J217" s="80"/>
      <c r="K217" s="80">
        <f>I216+I217</f>
        <v>49088.56</v>
      </c>
      <c r="L217" s="31"/>
      <c r="M217" s="258">
        <v>41195.019999999997</v>
      </c>
      <c r="N217" s="31"/>
      <c r="O217" s="32">
        <v>44670</v>
      </c>
      <c r="P217" s="31"/>
      <c r="Q217" s="32">
        <f>K217-O217</f>
        <v>4419</v>
      </c>
      <c r="T217" s="210"/>
    </row>
    <row r="218" spans="1:20" x14ac:dyDescent="0.25">
      <c r="A218" s="251"/>
      <c r="B218" s="55"/>
      <c r="D218" s="251" t="s">
        <v>537</v>
      </c>
      <c r="I218" s="258"/>
      <c r="K218" s="80"/>
      <c r="L218" s="31"/>
      <c r="M218" s="258"/>
      <c r="N218" s="31"/>
      <c r="O218" s="31"/>
      <c r="P218" s="31"/>
      <c r="Q218" s="32"/>
    </row>
    <row r="219" spans="1:20" x14ac:dyDescent="0.25">
      <c r="A219" s="255"/>
      <c r="E219" s="251" t="s">
        <v>889</v>
      </c>
      <c r="G219" s="251" t="s">
        <v>1264</v>
      </c>
      <c r="I219" s="258">
        <f>'Op Detail'!D401</f>
        <v>32000</v>
      </c>
      <c r="K219" s="80"/>
      <c r="L219" s="31"/>
      <c r="M219" s="258">
        <v>35000</v>
      </c>
      <c r="N219" s="31"/>
      <c r="O219" s="31"/>
      <c r="P219" s="31"/>
      <c r="Q219" s="32"/>
    </row>
    <row r="220" spans="1:20" x14ac:dyDescent="0.25">
      <c r="A220" s="255"/>
      <c r="E220" s="251" t="s">
        <v>890</v>
      </c>
      <c r="G220" s="251" t="s">
        <v>1123</v>
      </c>
      <c r="I220" s="258">
        <f>Salaries!X378</f>
        <v>259577.67</v>
      </c>
      <c r="K220" s="80">
        <f>I220+I219</f>
        <v>291577.67</v>
      </c>
      <c r="L220" s="31"/>
      <c r="M220" s="258">
        <v>255835.95</v>
      </c>
      <c r="N220" s="31"/>
      <c r="O220" s="32">
        <v>290836</v>
      </c>
      <c r="P220" s="31"/>
      <c r="Q220" s="32">
        <f>K220-O220</f>
        <v>742</v>
      </c>
      <c r="T220" s="210"/>
    </row>
    <row r="221" spans="1:20" x14ac:dyDescent="0.25">
      <c r="A221" s="255"/>
      <c r="D221" s="187" t="s">
        <v>944</v>
      </c>
      <c r="E221" s="251"/>
      <c r="G221" s="251"/>
      <c r="I221" s="258"/>
      <c r="K221" s="80"/>
      <c r="L221" s="31"/>
      <c r="M221" s="258"/>
      <c r="N221" s="31"/>
      <c r="O221" s="32"/>
      <c r="P221" s="31"/>
      <c r="Q221" s="32"/>
    </row>
    <row r="222" spans="1:20" x14ac:dyDescent="0.25">
      <c r="A222" s="255"/>
      <c r="E222" s="251" t="s">
        <v>2665</v>
      </c>
      <c r="G222" s="251" t="s">
        <v>1264</v>
      </c>
      <c r="I222" s="258">
        <f>'Op Detail'!D6306</f>
        <v>3600</v>
      </c>
      <c r="K222" s="80">
        <f>I222</f>
        <v>3600</v>
      </c>
      <c r="L222" s="31"/>
      <c r="M222" s="258">
        <v>4500</v>
      </c>
      <c r="N222" s="31"/>
      <c r="O222" s="32">
        <v>4500</v>
      </c>
      <c r="P222" s="31"/>
      <c r="Q222" s="32">
        <f>K222-O222</f>
        <v>-900</v>
      </c>
    </row>
    <row r="223" spans="1:20" x14ac:dyDescent="0.25">
      <c r="A223" s="251"/>
      <c r="B223" s="55"/>
      <c r="D223" s="251" t="s">
        <v>538</v>
      </c>
      <c r="I223" s="258"/>
      <c r="K223" s="80"/>
      <c r="L223" s="31"/>
      <c r="M223" s="258"/>
      <c r="N223" s="31"/>
      <c r="O223" s="32"/>
      <c r="P223" s="31"/>
      <c r="Q223" s="32"/>
    </row>
    <row r="224" spans="1:20" x14ac:dyDescent="0.25">
      <c r="A224" s="255"/>
      <c r="E224" s="251" t="s">
        <v>891</v>
      </c>
      <c r="G224" s="251" t="s">
        <v>1264</v>
      </c>
      <c r="I224" s="260">
        <f>'Op Detail'!D436</f>
        <v>0</v>
      </c>
      <c r="K224" s="80"/>
      <c r="L224" s="31"/>
      <c r="M224" s="260">
        <v>4215</v>
      </c>
      <c r="N224" s="31"/>
      <c r="O224" s="32"/>
      <c r="P224" s="31"/>
      <c r="Q224" s="32"/>
    </row>
    <row r="225" spans="1:20" x14ac:dyDescent="0.25">
      <c r="A225" s="255"/>
      <c r="E225" s="251" t="s">
        <v>892</v>
      </c>
      <c r="G225" s="251" t="s">
        <v>1123</v>
      </c>
      <c r="I225" s="258">
        <f>Salaries!AA378</f>
        <v>0</v>
      </c>
      <c r="K225" s="80">
        <f>I224+I225</f>
        <v>0</v>
      </c>
      <c r="L225" s="31"/>
      <c r="M225" s="258">
        <v>25764.51</v>
      </c>
      <c r="N225" s="31"/>
      <c r="O225" s="32">
        <v>29980</v>
      </c>
      <c r="P225" s="31"/>
      <c r="Q225" s="32">
        <f>K225-O225</f>
        <v>-29980</v>
      </c>
      <c r="T225" s="210"/>
    </row>
    <row r="226" spans="1:20" x14ac:dyDescent="0.25">
      <c r="A226" s="251"/>
      <c r="B226" s="55"/>
      <c r="D226" s="251" t="s">
        <v>681</v>
      </c>
      <c r="E226" s="186"/>
      <c r="F226" s="186"/>
      <c r="G226" s="186"/>
      <c r="H226" s="186"/>
      <c r="I226" s="258"/>
      <c r="J226" s="80"/>
      <c r="L226" s="32"/>
      <c r="M226" s="258"/>
      <c r="N226" s="32"/>
      <c r="O226" s="32"/>
      <c r="P226" s="32"/>
      <c r="Q226" s="32"/>
      <c r="R226" s="186"/>
      <c r="S226" s="80"/>
    </row>
    <row r="227" spans="1:20" x14ac:dyDescent="0.25">
      <c r="A227" s="255"/>
      <c r="E227" s="251" t="s">
        <v>914</v>
      </c>
      <c r="G227" s="251" t="s">
        <v>1264</v>
      </c>
      <c r="I227" s="258">
        <f>'Op Detail'!D1174</f>
        <v>51165</v>
      </c>
      <c r="L227" s="31"/>
      <c r="M227" s="258">
        <v>43250</v>
      </c>
      <c r="N227" s="31"/>
      <c r="O227" s="31"/>
      <c r="P227" s="31"/>
      <c r="Q227" s="32"/>
    </row>
    <row r="228" spans="1:20" x14ac:dyDescent="0.25">
      <c r="A228" s="255"/>
      <c r="E228" s="251" t="s">
        <v>915</v>
      </c>
      <c r="G228" s="251" t="s">
        <v>1123</v>
      </c>
      <c r="I228" s="258">
        <f>Salaries!AE378</f>
        <v>41438.97</v>
      </c>
      <c r="K228" s="80">
        <f>I227+I228</f>
        <v>92603.97</v>
      </c>
      <c r="L228" s="31"/>
      <c r="M228" s="258">
        <v>40952.6</v>
      </c>
      <c r="N228" s="31"/>
      <c r="O228" s="32">
        <v>84203</v>
      </c>
      <c r="P228" s="31"/>
      <c r="Q228" s="32">
        <f>K228-O228</f>
        <v>8401</v>
      </c>
      <c r="T228" s="210"/>
    </row>
    <row r="229" spans="1:20" x14ac:dyDescent="0.25">
      <c r="A229" s="251"/>
      <c r="B229" s="55"/>
      <c r="D229" s="251" t="s">
        <v>682</v>
      </c>
      <c r="I229" s="258"/>
      <c r="K229" s="80"/>
      <c r="L229" s="31"/>
      <c r="M229" s="258"/>
      <c r="N229" s="31"/>
      <c r="O229" s="32"/>
      <c r="P229" s="31"/>
      <c r="Q229" s="32"/>
    </row>
    <row r="230" spans="1:20" x14ac:dyDescent="0.25">
      <c r="A230" s="255"/>
      <c r="C230" s="39"/>
      <c r="D230" s="39"/>
      <c r="E230" s="251" t="s">
        <v>916</v>
      </c>
      <c r="G230" s="251" t="s">
        <v>1264</v>
      </c>
      <c r="I230" s="260">
        <f>'Op Detail'!D1202</f>
        <v>2360</v>
      </c>
      <c r="K230" s="80">
        <f>I230</f>
        <v>2360</v>
      </c>
      <c r="L230" s="31"/>
      <c r="M230" s="260">
        <v>3000</v>
      </c>
      <c r="N230" s="31"/>
      <c r="O230" s="32">
        <v>3000</v>
      </c>
      <c r="P230" s="31"/>
      <c r="Q230" s="32">
        <f>K230-O230</f>
        <v>-640</v>
      </c>
    </row>
    <row r="231" spans="1:20" x14ac:dyDescent="0.25">
      <c r="A231" s="251"/>
      <c r="B231" s="55"/>
      <c r="D231" s="251" t="s">
        <v>539</v>
      </c>
      <c r="I231" s="259"/>
      <c r="K231" s="80"/>
      <c r="L231" s="31"/>
      <c r="M231" s="259"/>
      <c r="N231" s="31"/>
      <c r="O231" s="32"/>
      <c r="P231" s="31"/>
      <c r="Q231" s="32"/>
    </row>
    <row r="232" spans="1:20" x14ac:dyDescent="0.25">
      <c r="A232" s="255"/>
      <c r="E232" s="251" t="s">
        <v>894</v>
      </c>
      <c r="G232" s="251" t="s">
        <v>1264</v>
      </c>
      <c r="I232" s="260">
        <f>'Op Detail'!D478</f>
        <v>16640</v>
      </c>
      <c r="K232" s="80"/>
      <c r="L232" s="31"/>
      <c r="M232" s="260">
        <v>12800</v>
      </c>
      <c r="N232" s="31"/>
      <c r="O232" s="32"/>
      <c r="P232" s="31"/>
      <c r="Q232" s="32"/>
    </row>
    <row r="233" spans="1:20" x14ac:dyDescent="0.25">
      <c r="A233" s="255"/>
      <c r="E233" s="251" t="s">
        <v>893</v>
      </c>
      <c r="G233" s="251" t="s">
        <v>1123</v>
      </c>
      <c r="I233" s="259">
        <f>Salaries!AB378</f>
        <v>32860.94</v>
      </c>
      <c r="K233" s="80">
        <f>I232+I233</f>
        <v>49500.94</v>
      </c>
      <c r="L233" s="31"/>
      <c r="M233" s="259">
        <v>47471.26</v>
      </c>
      <c r="N233" s="31"/>
      <c r="O233" s="32">
        <v>60271</v>
      </c>
      <c r="P233" s="31"/>
      <c r="Q233" s="32">
        <f>K233-O233</f>
        <v>-10770</v>
      </c>
      <c r="T233" s="210"/>
    </row>
    <row r="234" spans="1:20" x14ac:dyDescent="0.25">
      <c r="A234" s="255"/>
      <c r="C234" s="34" t="s">
        <v>1338</v>
      </c>
      <c r="E234" s="251"/>
      <c r="G234" s="251"/>
      <c r="I234" s="258"/>
      <c r="K234" s="80"/>
      <c r="L234" s="31"/>
      <c r="M234" s="258"/>
      <c r="N234" s="31"/>
      <c r="O234" s="32"/>
      <c r="P234" s="31"/>
      <c r="Q234" s="32"/>
    </row>
    <row r="235" spans="1:20" x14ac:dyDescent="0.25">
      <c r="A235" s="251"/>
      <c r="B235" s="55"/>
      <c r="D235" s="251" t="s">
        <v>142</v>
      </c>
      <c r="I235" s="259"/>
      <c r="J235" s="259">
        <f t="shared" ref="J235:P235" si="0">SUM(J137:J233)</f>
        <v>0</v>
      </c>
      <c r="K235" s="259"/>
      <c r="L235" s="254">
        <f t="shared" si="0"/>
        <v>0</v>
      </c>
      <c r="M235" s="259"/>
      <c r="N235" s="254">
        <v>0</v>
      </c>
      <c r="O235" s="254"/>
      <c r="P235" s="254">
        <f t="shared" si="0"/>
        <v>0</v>
      </c>
      <c r="Q235" s="254"/>
    </row>
    <row r="236" spans="1:20" x14ac:dyDescent="0.25">
      <c r="A236" s="255"/>
      <c r="E236" s="251" t="s">
        <v>895</v>
      </c>
      <c r="G236" s="251" t="s">
        <v>1264</v>
      </c>
      <c r="I236" s="260">
        <f>'Op Detail'!D522</f>
        <v>0</v>
      </c>
      <c r="K236" s="80"/>
      <c r="L236" s="31"/>
      <c r="M236" s="260">
        <v>2000</v>
      </c>
      <c r="N236" s="31"/>
      <c r="O236" s="32"/>
      <c r="P236" s="31"/>
      <c r="Q236" s="32"/>
    </row>
    <row r="237" spans="1:20" x14ac:dyDescent="0.25">
      <c r="A237" s="251"/>
      <c r="B237" s="55"/>
      <c r="D237" s="251" t="s">
        <v>858</v>
      </c>
      <c r="I237" s="259"/>
      <c r="K237" s="80"/>
      <c r="L237" s="31"/>
      <c r="M237" s="259"/>
      <c r="N237" s="31"/>
      <c r="O237" s="32"/>
      <c r="P237" s="31"/>
      <c r="Q237" s="32"/>
    </row>
    <row r="238" spans="1:20" x14ac:dyDescent="0.25">
      <c r="A238" s="255"/>
      <c r="E238" s="251" t="s">
        <v>897</v>
      </c>
      <c r="G238" s="34" t="s">
        <v>1264</v>
      </c>
      <c r="I238" s="258">
        <f>'Op Detail'!D567</f>
        <v>0</v>
      </c>
      <c r="K238" s="80"/>
      <c r="L238" s="31"/>
      <c r="M238" s="258">
        <v>0</v>
      </c>
      <c r="N238" s="31"/>
      <c r="O238" s="32"/>
      <c r="P238" s="31"/>
      <c r="Q238" s="32"/>
    </row>
    <row r="239" spans="1:20" x14ac:dyDescent="0.25">
      <c r="A239" s="251"/>
      <c r="B239" s="55"/>
      <c r="D239" s="251" t="s">
        <v>859</v>
      </c>
      <c r="I239" s="258"/>
      <c r="K239" s="80"/>
      <c r="L239" s="31"/>
      <c r="M239" s="258"/>
      <c r="N239" s="31"/>
      <c r="O239" s="32"/>
      <c r="P239" s="31"/>
      <c r="Q239" s="32"/>
    </row>
    <row r="240" spans="1:20" x14ac:dyDescent="0.25">
      <c r="A240" s="255"/>
      <c r="E240" s="251" t="s">
        <v>898</v>
      </c>
      <c r="G240" s="251" t="s">
        <v>1264</v>
      </c>
      <c r="I240" s="258">
        <f>'Op Detail'!E567</f>
        <v>400</v>
      </c>
      <c r="K240" s="80"/>
      <c r="L240" s="31"/>
      <c r="M240" s="258">
        <v>200</v>
      </c>
      <c r="N240" s="31"/>
      <c r="O240" s="32"/>
      <c r="P240" s="31"/>
      <c r="Q240" s="32"/>
    </row>
    <row r="241" spans="1:17" x14ac:dyDescent="0.25">
      <c r="A241" s="251"/>
      <c r="B241" s="55"/>
      <c r="D241" s="251" t="s">
        <v>1136</v>
      </c>
      <c r="I241" s="258"/>
      <c r="K241" s="80"/>
      <c r="L241" s="31"/>
      <c r="M241" s="258"/>
      <c r="N241" s="31"/>
      <c r="O241" s="32"/>
      <c r="P241" s="31"/>
      <c r="Q241" s="32"/>
    </row>
    <row r="242" spans="1:17" x14ac:dyDescent="0.25">
      <c r="A242" s="255"/>
      <c r="E242" s="251" t="s">
        <v>1142</v>
      </c>
      <c r="G242" s="251" t="s">
        <v>1264</v>
      </c>
      <c r="I242" s="258">
        <f>'Op Detail'!F567</f>
        <v>0</v>
      </c>
      <c r="K242" s="80"/>
      <c r="L242" s="31"/>
      <c r="M242" s="258">
        <v>0</v>
      </c>
      <c r="N242" s="31"/>
      <c r="O242" s="32"/>
      <c r="P242" s="31"/>
      <c r="Q242" s="32"/>
    </row>
    <row r="243" spans="1:17" x14ac:dyDescent="0.25">
      <c r="A243" s="251"/>
      <c r="B243" s="55"/>
      <c r="D243" s="251" t="s">
        <v>860</v>
      </c>
      <c r="I243" s="259"/>
      <c r="K243" s="80"/>
      <c r="L243" s="31"/>
      <c r="M243" s="259"/>
      <c r="N243" s="31"/>
      <c r="O243" s="32"/>
      <c r="P243" s="31"/>
      <c r="Q243" s="32"/>
    </row>
    <row r="244" spans="1:17" x14ac:dyDescent="0.25">
      <c r="A244" s="255"/>
      <c r="E244" s="251" t="s">
        <v>899</v>
      </c>
      <c r="G244" s="251" t="s">
        <v>1264</v>
      </c>
      <c r="I244" s="258">
        <f>'Op Detail'!H567</f>
        <v>5500</v>
      </c>
      <c r="K244" s="80"/>
      <c r="L244" s="31"/>
      <c r="M244" s="258">
        <v>5000</v>
      </c>
      <c r="N244" s="31"/>
      <c r="O244" s="32"/>
      <c r="P244" s="31"/>
      <c r="Q244" s="32"/>
    </row>
    <row r="245" spans="1:17" x14ac:dyDescent="0.25">
      <c r="A245" s="251"/>
      <c r="B245" s="55"/>
      <c r="D245" s="251" t="s">
        <v>243</v>
      </c>
      <c r="I245" s="258"/>
      <c r="K245" s="80"/>
      <c r="L245" s="31"/>
      <c r="M245" s="258"/>
      <c r="N245" s="31"/>
      <c r="O245" s="32"/>
      <c r="P245" s="31"/>
      <c r="Q245" s="32"/>
    </row>
    <row r="246" spans="1:17" x14ac:dyDescent="0.25">
      <c r="A246" s="255"/>
      <c r="E246" s="251" t="s">
        <v>244</v>
      </c>
      <c r="G246" s="251" t="s">
        <v>1264</v>
      </c>
      <c r="I246" s="258">
        <f>'Op Detail'!D611</f>
        <v>0</v>
      </c>
      <c r="K246" s="80"/>
      <c r="L246" s="31"/>
      <c r="M246" s="258">
        <v>0</v>
      </c>
      <c r="N246" s="31"/>
      <c r="O246" s="32"/>
      <c r="P246" s="31"/>
      <c r="Q246" s="32"/>
    </row>
    <row r="247" spans="1:17" x14ac:dyDescent="0.25">
      <c r="A247" s="251"/>
      <c r="B247" s="55"/>
      <c r="D247" s="251" t="s">
        <v>861</v>
      </c>
      <c r="I247" s="258"/>
      <c r="K247" s="80"/>
      <c r="L247" s="31"/>
      <c r="M247" s="258"/>
      <c r="N247" s="31"/>
      <c r="O247" s="32"/>
      <c r="P247" s="31"/>
      <c r="Q247" s="32"/>
    </row>
    <row r="248" spans="1:17" x14ac:dyDescent="0.25">
      <c r="A248" s="255"/>
      <c r="E248" s="251" t="s">
        <v>900</v>
      </c>
      <c r="G248" s="251" t="s">
        <v>1264</v>
      </c>
      <c r="I248" s="258">
        <f>'Op Detail'!E611</f>
        <v>0</v>
      </c>
      <c r="K248" s="80"/>
      <c r="L248" s="31"/>
      <c r="M248" s="258">
        <v>0</v>
      </c>
      <c r="N248" s="31"/>
      <c r="O248" s="32"/>
      <c r="P248" s="31"/>
      <c r="Q248" s="32"/>
    </row>
    <row r="249" spans="1:17" x14ac:dyDescent="0.25">
      <c r="A249" s="251"/>
      <c r="B249" s="55"/>
      <c r="D249" s="251" t="s">
        <v>862</v>
      </c>
      <c r="I249" s="258"/>
      <c r="K249" s="80"/>
      <c r="L249" s="31"/>
      <c r="M249" s="258"/>
      <c r="N249" s="31"/>
      <c r="O249" s="32"/>
      <c r="P249" s="31"/>
      <c r="Q249" s="32"/>
    </row>
    <row r="250" spans="1:17" x14ac:dyDescent="0.25">
      <c r="A250" s="255"/>
      <c r="E250" s="251" t="s">
        <v>901</v>
      </c>
      <c r="G250" s="251" t="s">
        <v>1264</v>
      </c>
      <c r="I250" s="258">
        <f>'Op Detail'!E522</f>
        <v>11950</v>
      </c>
      <c r="K250" s="80"/>
      <c r="L250" s="31"/>
      <c r="M250" s="258">
        <v>12060</v>
      </c>
      <c r="N250" s="31"/>
      <c r="O250" s="32"/>
      <c r="P250" s="31"/>
      <c r="Q250" s="32"/>
    </row>
    <row r="251" spans="1:17" x14ac:dyDescent="0.25">
      <c r="A251" s="251"/>
      <c r="B251" s="55"/>
      <c r="D251" s="251" t="s">
        <v>863</v>
      </c>
      <c r="I251" s="259"/>
      <c r="K251" s="80"/>
      <c r="L251" s="31"/>
      <c r="M251" s="259"/>
      <c r="N251" s="31"/>
      <c r="O251" s="32"/>
      <c r="P251" s="31"/>
      <c r="Q251" s="32"/>
    </row>
    <row r="252" spans="1:17" x14ac:dyDescent="0.25">
      <c r="A252" s="255"/>
      <c r="E252" s="251" t="s">
        <v>902</v>
      </c>
      <c r="G252" s="251" t="s">
        <v>1264</v>
      </c>
      <c r="I252" s="258">
        <f>'Op Detail'!H611</f>
        <v>2980</v>
      </c>
      <c r="K252" s="80"/>
      <c r="L252" s="31"/>
      <c r="M252" s="258">
        <v>1000</v>
      </c>
      <c r="N252" s="31"/>
      <c r="O252" s="32"/>
      <c r="P252" s="31"/>
      <c r="Q252" s="32"/>
    </row>
    <row r="253" spans="1:17" x14ac:dyDescent="0.25">
      <c r="A253" s="251"/>
      <c r="B253" s="55"/>
      <c r="D253" s="251" t="s">
        <v>864</v>
      </c>
      <c r="I253" s="259"/>
      <c r="K253" s="80"/>
      <c r="L253" s="31"/>
      <c r="M253" s="259"/>
      <c r="N253" s="31"/>
      <c r="O253" s="32"/>
      <c r="P253" s="31"/>
      <c r="Q253" s="32"/>
    </row>
    <row r="254" spans="1:17" x14ac:dyDescent="0.25">
      <c r="A254" s="255"/>
      <c r="E254" s="251" t="s">
        <v>903</v>
      </c>
      <c r="G254" s="251" t="s">
        <v>1264</v>
      </c>
      <c r="I254" s="259">
        <f>'Op Detail'!D654</f>
        <v>0</v>
      </c>
      <c r="K254" s="80"/>
      <c r="L254" s="31"/>
      <c r="M254" s="259">
        <v>300</v>
      </c>
      <c r="N254" s="31"/>
      <c r="O254" s="32"/>
      <c r="P254" s="31"/>
      <c r="Q254" s="32"/>
    </row>
    <row r="255" spans="1:17" x14ac:dyDescent="0.25">
      <c r="A255" s="251"/>
      <c r="B255" s="55"/>
      <c r="D255" s="251" t="s">
        <v>865</v>
      </c>
      <c r="I255" s="259"/>
      <c r="K255" s="80"/>
      <c r="L255" s="31"/>
      <c r="M255" s="259"/>
      <c r="N255" s="31"/>
      <c r="O255" s="32"/>
      <c r="P255" s="31"/>
      <c r="Q255" s="32"/>
    </row>
    <row r="256" spans="1:17" x14ac:dyDescent="0.25">
      <c r="A256" s="255"/>
      <c r="E256" s="251" t="s">
        <v>904</v>
      </c>
      <c r="G256" s="251" t="s">
        <v>1264</v>
      </c>
      <c r="I256" s="259">
        <f>'Op Detail'!E654</f>
        <v>0</v>
      </c>
      <c r="K256" s="80"/>
      <c r="L256" s="31"/>
      <c r="M256" s="259">
        <v>2320</v>
      </c>
      <c r="N256" s="31"/>
      <c r="O256" s="32"/>
      <c r="P256" s="31"/>
      <c r="Q256" s="32"/>
    </row>
    <row r="257" spans="1:19" x14ac:dyDescent="0.25">
      <c r="A257" s="251"/>
      <c r="B257" s="55"/>
      <c r="D257" s="251" t="s">
        <v>866</v>
      </c>
      <c r="I257" s="259"/>
      <c r="L257" s="31"/>
      <c r="M257" s="259"/>
      <c r="N257" s="31"/>
      <c r="O257" s="31"/>
      <c r="P257" s="31"/>
      <c r="Q257" s="32"/>
    </row>
    <row r="258" spans="1:19" x14ac:dyDescent="0.25">
      <c r="A258" s="255"/>
      <c r="E258" s="251" t="s">
        <v>905</v>
      </c>
      <c r="G258" s="251" t="s">
        <v>1264</v>
      </c>
      <c r="I258" s="259">
        <f>'Op Detail'!F654</f>
        <v>0</v>
      </c>
      <c r="K258" s="259" t="s">
        <v>342</v>
      </c>
      <c r="L258" s="31"/>
      <c r="M258" s="259">
        <v>0</v>
      </c>
      <c r="N258" s="31"/>
      <c r="O258" s="254" t="s">
        <v>342</v>
      </c>
      <c r="P258" s="31"/>
      <c r="Q258" s="32"/>
    </row>
    <row r="259" spans="1:19" x14ac:dyDescent="0.25">
      <c r="A259" s="251"/>
      <c r="B259" s="55"/>
      <c r="C259" s="186"/>
      <c r="D259" s="251" t="s">
        <v>867</v>
      </c>
      <c r="E259" s="186"/>
      <c r="F259" s="186"/>
      <c r="G259" s="186"/>
      <c r="H259" s="186"/>
      <c r="I259" s="259"/>
      <c r="J259" s="80"/>
      <c r="K259" s="80"/>
      <c r="L259" s="32"/>
      <c r="M259" s="259"/>
      <c r="N259" s="32"/>
      <c r="O259" s="32"/>
      <c r="P259" s="32"/>
      <c r="Q259" s="32"/>
      <c r="R259" s="186"/>
      <c r="S259" s="80"/>
    </row>
    <row r="260" spans="1:19" x14ac:dyDescent="0.25">
      <c r="A260" s="255"/>
      <c r="E260" s="251" t="s">
        <v>746</v>
      </c>
      <c r="G260" s="251" t="s">
        <v>1264</v>
      </c>
      <c r="I260" s="258">
        <f>'Op Detail'!H654</f>
        <v>20950</v>
      </c>
      <c r="L260" s="31"/>
      <c r="M260" s="258">
        <v>21250</v>
      </c>
      <c r="N260" s="31"/>
      <c r="O260" s="31"/>
      <c r="P260" s="31"/>
      <c r="Q260" s="32"/>
    </row>
    <row r="261" spans="1:19" x14ac:dyDescent="0.25">
      <c r="A261" s="251"/>
      <c r="B261" s="55"/>
      <c r="D261" s="251" t="s">
        <v>143</v>
      </c>
      <c r="I261" s="259"/>
      <c r="L261" s="31"/>
      <c r="M261" s="259"/>
      <c r="N261" s="31"/>
      <c r="O261" s="31"/>
      <c r="P261" s="31"/>
      <c r="Q261" s="32"/>
    </row>
    <row r="262" spans="1:19" x14ac:dyDescent="0.25">
      <c r="A262" s="255"/>
      <c r="E262" s="251" t="s">
        <v>1143</v>
      </c>
      <c r="G262" s="251" t="s">
        <v>1264</v>
      </c>
      <c r="I262" s="259">
        <f>'Op Detail'!D697</f>
        <v>0</v>
      </c>
      <c r="L262" s="31"/>
      <c r="M262" s="259">
        <v>0</v>
      </c>
      <c r="N262" s="31"/>
      <c r="O262" s="31"/>
      <c r="P262" s="31"/>
      <c r="Q262" s="32"/>
    </row>
    <row r="263" spans="1:19" x14ac:dyDescent="0.25">
      <c r="A263" s="251"/>
      <c r="B263" s="55"/>
      <c r="D263" s="251" t="s">
        <v>144</v>
      </c>
      <c r="I263" s="259"/>
      <c r="L263" s="31"/>
      <c r="M263" s="259"/>
      <c r="N263" s="31"/>
      <c r="O263" s="31"/>
      <c r="P263" s="31"/>
      <c r="Q263" s="32"/>
    </row>
    <row r="264" spans="1:19" x14ac:dyDescent="0.25">
      <c r="A264" s="255"/>
      <c r="E264" s="251" t="s">
        <v>747</v>
      </c>
      <c r="G264" s="251" t="s">
        <v>1264</v>
      </c>
      <c r="I264" s="259">
        <f>'Op Detail'!E697</f>
        <v>0</v>
      </c>
      <c r="L264" s="31"/>
      <c r="M264" s="259">
        <v>0</v>
      </c>
      <c r="N264" s="31"/>
      <c r="O264" s="31"/>
      <c r="P264" s="31"/>
      <c r="Q264" s="32"/>
    </row>
    <row r="265" spans="1:19" x14ac:dyDescent="0.25">
      <c r="A265" s="251"/>
      <c r="B265" s="55"/>
      <c r="D265" s="251" t="s">
        <v>145</v>
      </c>
      <c r="I265" s="258"/>
      <c r="L265" s="31"/>
      <c r="M265" s="258"/>
      <c r="N265" s="31"/>
      <c r="O265" s="31"/>
      <c r="P265" s="31"/>
      <c r="Q265" s="32"/>
    </row>
    <row r="266" spans="1:19" x14ac:dyDescent="0.25">
      <c r="A266" s="255"/>
      <c r="E266" s="251" t="s">
        <v>748</v>
      </c>
      <c r="G266" s="251" t="s">
        <v>1264</v>
      </c>
      <c r="I266" s="258">
        <f>'Op Detail'!F697</f>
        <v>0</v>
      </c>
      <c r="L266" s="31"/>
      <c r="M266" s="258">
        <v>0</v>
      </c>
      <c r="N266" s="31"/>
      <c r="O266" s="31"/>
      <c r="P266" s="31"/>
      <c r="Q266" s="32"/>
    </row>
    <row r="267" spans="1:19" x14ac:dyDescent="0.25">
      <c r="A267" s="251"/>
      <c r="B267" s="55"/>
      <c r="D267" s="251" t="s">
        <v>146</v>
      </c>
      <c r="I267" s="258"/>
      <c r="L267" s="31"/>
      <c r="M267" s="258"/>
      <c r="N267" s="31"/>
      <c r="O267" s="31"/>
      <c r="P267" s="31"/>
      <c r="Q267" s="32"/>
    </row>
    <row r="268" spans="1:19" x14ac:dyDescent="0.25">
      <c r="A268" s="255"/>
      <c r="E268" s="251" t="s">
        <v>749</v>
      </c>
      <c r="G268" s="251" t="s">
        <v>1264</v>
      </c>
      <c r="I268" s="258">
        <f>'Op Detail'!H697</f>
        <v>400</v>
      </c>
      <c r="L268" s="31"/>
      <c r="M268" s="258">
        <v>200</v>
      </c>
      <c r="N268" s="31"/>
      <c r="O268" s="31"/>
      <c r="P268" s="31"/>
      <c r="Q268" s="32"/>
    </row>
    <row r="269" spans="1:19" x14ac:dyDescent="0.25">
      <c r="A269" s="255"/>
      <c r="D269" s="34" t="s">
        <v>251</v>
      </c>
      <c r="E269" s="251"/>
      <c r="G269" s="251"/>
      <c r="I269" s="258"/>
      <c r="L269" s="31"/>
      <c r="M269" s="258"/>
      <c r="N269" s="31"/>
      <c r="O269" s="31"/>
      <c r="P269" s="31"/>
      <c r="Q269" s="32"/>
    </row>
    <row r="270" spans="1:19" x14ac:dyDescent="0.25">
      <c r="A270" s="255"/>
      <c r="E270" s="251" t="s">
        <v>252</v>
      </c>
      <c r="G270" s="251" t="s">
        <v>1264</v>
      </c>
      <c r="I270" s="258">
        <f>'Op Detail'!H963</f>
        <v>1500</v>
      </c>
      <c r="L270" s="31"/>
      <c r="M270" s="258">
        <v>1500</v>
      </c>
      <c r="N270" s="31"/>
      <c r="O270" s="31"/>
      <c r="P270" s="31"/>
      <c r="Q270" s="32"/>
    </row>
    <row r="271" spans="1:19" x14ac:dyDescent="0.25">
      <c r="A271" s="251"/>
      <c r="B271" s="55"/>
      <c r="D271" s="251" t="s">
        <v>870</v>
      </c>
      <c r="I271" s="258"/>
      <c r="L271" s="31"/>
      <c r="M271" s="258"/>
      <c r="N271" s="31"/>
      <c r="O271" s="31"/>
      <c r="P271" s="31"/>
      <c r="Q271" s="32"/>
    </row>
    <row r="272" spans="1:19" x14ac:dyDescent="0.25">
      <c r="A272" s="255"/>
      <c r="E272" s="251" t="s">
        <v>751</v>
      </c>
      <c r="G272" s="251" t="s">
        <v>1264</v>
      </c>
      <c r="I272" s="258">
        <f>'Op Detail'!E741</f>
        <v>200</v>
      </c>
      <c r="L272" s="31"/>
      <c r="M272" s="258">
        <v>200</v>
      </c>
      <c r="N272" s="31"/>
      <c r="O272" s="31"/>
      <c r="P272" s="31"/>
      <c r="Q272" s="32"/>
    </row>
    <row r="273" spans="1:17" x14ac:dyDescent="0.25">
      <c r="A273" s="251"/>
      <c r="B273" s="55"/>
      <c r="D273" s="251" t="s">
        <v>871</v>
      </c>
      <c r="I273" s="259"/>
      <c r="L273" s="31"/>
      <c r="M273" s="259"/>
      <c r="N273" s="31"/>
      <c r="O273" s="31"/>
      <c r="P273" s="31"/>
      <c r="Q273" s="32"/>
    </row>
    <row r="274" spans="1:17" x14ac:dyDescent="0.25">
      <c r="A274" s="255"/>
      <c r="E274" s="251" t="s">
        <v>752</v>
      </c>
      <c r="G274" s="251" t="s">
        <v>1264</v>
      </c>
      <c r="I274" s="259">
        <f>'Op Detail'!F741</f>
        <v>0</v>
      </c>
      <c r="L274" s="31"/>
      <c r="M274" s="259">
        <v>0</v>
      </c>
      <c r="N274" s="31"/>
      <c r="O274" s="31"/>
      <c r="P274" s="31"/>
      <c r="Q274" s="32"/>
    </row>
    <row r="275" spans="1:17" x14ac:dyDescent="0.25">
      <c r="A275" s="251"/>
      <c r="B275" s="55"/>
      <c r="D275" s="251" t="s">
        <v>872</v>
      </c>
      <c r="I275" s="259"/>
      <c r="L275" s="31"/>
      <c r="M275" s="259"/>
      <c r="N275" s="31"/>
      <c r="O275" s="31"/>
      <c r="P275" s="31"/>
      <c r="Q275" s="32"/>
    </row>
    <row r="276" spans="1:17" x14ac:dyDescent="0.25">
      <c r="A276" s="255"/>
      <c r="E276" s="251" t="s">
        <v>753</v>
      </c>
      <c r="G276" s="251" t="s">
        <v>1264</v>
      </c>
      <c r="I276" s="259">
        <f>'Op Detail'!H741</f>
        <v>1000</v>
      </c>
      <c r="L276" s="31"/>
      <c r="M276" s="259">
        <v>500</v>
      </c>
      <c r="N276" s="31"/>
      <c r="O276" s="31"/>
      <c r="P276" s="31"/>
      <c r="Q276" s="32"/>
    </row>
    <row r="277" spans="1:17" x14ac:dyDescent="0.25">
      <c r="A277" s="251"/>
      <c r="B277" s="55"/>
      <c r="D277" s="251" t="s">
        <v>873</v>
      </c>
      <c r="I277" s="259"/>
      <c r="L277" s="31"/>
      <c r="M277" s="259"/>
      <c r="N277" s="31"/>
      <c r="O277" s="31"/>
      <c r="P277" s="31"/>
      <c r="Q277" s="32"/>
    </row>
    <row r="278" spans="1:17" x14ac:dyDescent="0.25">
      <c r="A278" s="255"/>
      <c r="E278" s="251" t="s">
        <v>754</v>
      </c>
      <c r="G278" s="251" t="s">
        <v>1264</v>
      </c>
      <c r="I278" s="258">
        <f>'Op Detail'!D786</f>
        <v>2400</v>
      </c>
      <c r="L278" s="31"/>
      <c r="M278" s="258">
        <v>1000</v>
      </c>
      <c r="N278" s="31"/>
      <c r="O278" s="31"/>
      <c r="P278" s="31"/>
      <c r="Q278" s="32"/>
    </row>
    <row r="279" spans="1:17" x14ac:dyDescent="0.25">
      <c r="A279" s="251"/>
      <c r="B279" s="55"/>
      <c r="D279" s="251" t="s">
        <v>875</v>
      </c>
      <c r="I279" s="259"/>
      <c r="L279" s="31"/>
      <c r="M279" s="259"/>
      <c r="N279" s="31"/>
      <c r="O279" s="31"/>
      <c r="P279" s="31"/>
      <c r="Q279" s="32"/>
    </row>
    <row r="280" spans="1:17" x14ac:dyDescent="0.25">
      <c r="A280" s="255"/>
      <c r="E280" s="251" t="s">
        <v>756</v>
      </c>
      <c r="G280" s="251" t="s">
        <v>1264</v>
      </c>
      <c r="I280" s="259">
        <f>'Op Detail'!E786</f>
        <v>700</v>
      </c>
      <c r="L280" s="31"/>
      <c r="M280" s="259">
        <v>200</v>
      </c>
      <c r="N280" s="31"/>
      <c r="O280" s="31"/>
      <c r="P280" s="31"/>
      <c r="Q280" s="32"/>
    </row>
    <row r="281" spans="1:17" x14ac:dyDescent="0.25">
      <c r="A281" s="251"/>
      <c r="B281" s="55"/>
      <c r="D281" s="251" t="s">
        <v>148</v>
      </c>
      <c r="I281" s="258"/>
      <c r="K281" s="259" t="s">
        <v>342</v>
      </c>
      <c r="L281" s="31"/>
      <c r="M281" s="258"/>
      <c r="N281" s="31"/>
      <c r="O281" s="254" t="s">
        <v>342</v>
      </c>
      <c r="P281" s="31"/>
      <c r="Q281" s="32"/>
    </row>
    <row r="282" spans="1:17" x14ac:dyDescent="0.25">
      <c r="A282" s="255"/>
      <c r="E282" s="251" t="s">
        <v>757</v>
      </c>
      <c r="G282" s="251" t="s">
        <v>1264</v>
      </c>
      <c r="I282" s="259">
        <f>'Op Detail'!F786</f>
        <v>0</v>
      </c>
      <c r="L282" s="31"/>
      <c r="M282" s="259">
        <v>0</v>
      </c>
      <c r="N282" s="31"/>
      <c r="O282" s="31"/>
      <c r="P282" s="31"/>
      <c r="Q282" s="32"/>
    </row>
    <row r="283" spans="1:17" x14ac:dyDescent="0.25">
      <c r="A283" s="255"/>
      <c r="D283" s="34" t="s">
        <v>1017</v>
      </c>
      <c r="E283" s="251"/>
      <c r="G283" s="251"/>
      <c r="I283" s="258"/>
      <c r="K283" s="259"/>
      <c r="L283" s="31"/>
      <c r="M283" s="258"/>
      <c r="N283" s="31"/>
      <c r="O283" s="254"/>
      <c r="P283" s="31"/>
      <c r="Q283" s="32"/>
    </row>
    <row r="284" spans="1:17" x14ac:dyDescent="0.25">
      <c r="A284" s="255"/>
      <c r="E284" s="251" t="s">
        <v>1018</v>
      </c>
      <c r="G284" s="251" t="s">
        <v>1264</v>
      </c>
      <c r="I284" s="258">
        <f>'Op Detail'!D1136</f>
        <v>0</v>
      </c>
      <c r="K284" s="259"/>
      <c r="L284" s="31"/>
      <c r="M284" s="258">
        <v>0</v>
      </c>
      <c r="N284" s="31"/>
      <c r="O284" s="254"/>
      <c r="P284" s="31"/>
      <c r="Q284" s="32"/>
    </row>
    <row r="285" spans="1:17" x14ac:dyDescent="0.25">
      <c r="A285" s="255"/>
      <c r="D285" s="34" t="s">
        <v>661</v>
      </c>
      <c r="E285" s="251"/>
      <c r="G285" s="251"/>
      <c r="I285" s="258"/>
      <c r="K285" s="259"/>
      <c r="L285" s="31"/>
      <c r="M285" s="258"/>
      <c r="N285" s="31"/>
      <c r="O285" s="254"/>
      <c r="P285" s="31"/>
      <c r="Q285" s="32"/>
    </row>
    <row r="286" spans="1:17" x14ac:dyDescent="0.25">
      <c r="A286" s="255"/>
      <c r="E286" s="251" t="s">
        <v>393</v>
      </c>
      <c r="G286" s="251" t="s">
        <v>1264</v>
      </c>
      <c r="I286" s="258">
        <f>'Op Detail'!H1050</f>
        <v>0</v>
      </c>
      <c r="K286" s="259"/>
      <c r="L286" s="31"/>
      <c r="M286" s="258">
        <v>0</v>
      </c>
      <c r="N286" s="31"/>
      <c r="O286" s="254"/>
      <c r="P286" s="31"/>
      <c r="Q286" s="32"/>
    </row>
    <row r="287" spans="1:17" x14ac:dyDescent="0.25">
      <c r="A287" s="251"/>
      <c r="B287" s="55"/>
      <c r="D287" s="251" t="s">
        <v>876</v>
      </c>
      <c r="I287" s="258"/>
      <c r="L287" s="31"/>
      <c r="M287" s="258"/>
      <c r="N287" s="31"/>
      <c r="O287" s="31"/>
      <c r="P287" s="31"/>
      <c r="Q287" s="32"/>
    </row>
    <row r="288" spans="1:17" x14ac:dyDescent="0.25">
      <c r="A288" s="255"/>
      <c r="E288" s="251" t="s">
        <v>758</v>
      </c>
      <c r="G288" s="251" t="s">
        <v>1264</v>
      </c>
      <c r="I288" s="258">
        <f>'Op Detail'!H786</f>
        <v>4450</v>
      </c>
      <c r="K288" s="80" t="s">
        <v>342</v>
      </c>
      <c r="L288" s="31"/>
      <c r="M288" s="258">
        <v>2325</v>
      </c>
      <c r="N288" s="31"/>
      <c r="O288" s="32" t="s">
        <v>342</v>
      </c>
      <c r="P288" s="31"/>
      <c r="Q288" s="32" t="s">
        <v>342</v>
      </c>
    </row>
    <row r="289" spans="1:17" x14ac:dyDescent="0.25">
      <c r="A289" s="255"/>
      <c r="D289" s="34" t="s">
        <v>398</v>
      </c>
      <c r="E289" s="251"/>
      <c r="G289" s="251"/>
      <c r="I289" s="258"/>
      <c r="K289" s="80"/>
      <c r="L289" s="31"/>
      <c r="M289" s="258"/>
      <c r="N289" s="31"/>
      <c r="O289" s="32"/>
      <c r="P289" s="31"/>
      <c r="Q289" s="32"/>
    </row>
    <row r="290" spans="1:17" x14ac:dyDescent="0.25">
      <c r="A290" s="255"/>
      <c r="E290" s="251" t="s">
        <v>399</v>
      </c>
      <c r="G290" s="251" t="s">
        <v>1264</v>
      </c>
      <c r="I290" s="258">
        <f>'Op Detail'!H1093</f>
        <v>3000</v>
      </c>
      <c r="K290" s="80"/>
      <c r="L290" s="31"/>
      <c r="M290" s="258">
        <v>3000</v>
      </c>
      <c r="N290" s="31"/>
      <c r="O290" s="32"/>
      <c r="P290" s="31"/>
      <c r="Q290" s="32"/>
    </row>
    <row r="291" spans="1:17" x14ac:dyDescent="0.25">
      <c r="A291" s="251"/>
      <c r="B291" s="55"/>
      <c r="D291" s="251" t="s">
        <v>879</v>
      </c>
      <c r="I291" s="258"/>
      <c r="L291" s="31"/>
      <c r="M291" s="258"/>
      <c r="N291" s="31"/>
      <c r="O291" s="31"/>
      <c r="P291" s="31"/>
      <c r="Q291" s="32"/>
    </row>
    <row r="292" spans="1:17" x14ac:dyDescent="0.25">
      <c r="A292" s="255"/>
      <c r="E292" s="251" t="s">
        <v>913</v>
      </c>
      <c r="G292" s="251" t="s">
        <v>1264</v>
      </c>
      <c r="I292" s="258">
        <f>'Op Detail'!H830</f>
        <v>0</v>
      </c>
      <c r="K292" s="80"/>
      <c r="L292" s="31"/>
      <c r="M292" s="258">
        <v>0</v>
      </c>
      <c r="N292" s="31"/>
      <c r="O292" s="32"/>
      <c r="P292" s="31"/>
      <c r="Q292" s="32"/>
    </row>
    <row r="293" spans="1:17" x14ac:dyDescent="0.25">
      <c r="A293" s="251"/>
      <c r="B293" s="55"/>
      <c r="D293" s="34" t="s">
        <v>200</v>
      </c>
      <c r="I293" s="259"/>
      <c r="L293" s="31"/>
      <c r="M293" s="259"/>
      <c r="N293" s="31"/>
      <c r="O293" s="31"/>
      <c r="P293" s="31"/>
      <c r="Q293" s="32"/>
    </row>
    <row r="294" spans="1:17" x14ac:dyDescent="0.25">
      <c r="A294" s="255"/>
      <c r="E294" s="253" t="s">
        <v>1420</v>
      </c>
      <c r="G294" s="34" t="s">
        <v>1264</v>
      </c>
      <c r="I294" s="258">
        <f>'Op Detail'!E963</f>
        <v>0</v>
      </c>
      <c r="L294" s="31"/>
      <c r="M294" s="258">
        <v>1000</v>
      </c>
      <c r="N294" s="31"/>
      <c r="O294" s="31"/>
      <c r="P294" s="31"/>
      <c r="Q294" s="32"/>
    </row>
    <row r="295" spans="1:17" x14ac:dyDescent="0.25">
      <c r="A295" s="251"/>
      <c r="B295" s="55"/>
      <c r="D295" s="34" t="s">
        <v>698</v>
      </c>
      <c r="I295" s="259"/>
      <c r="L295" s="31"/>
      <c r="M295" s="259"/>
      <c r="N295" s="31"/>
      <c r="O295" s="31"/>
      <c r="P295" s="31"/>
      <c r="Q295" s="32"/>
    </row>
    <row r="296" spans="1:17" x14ac:dyDescent="0.25">
      <c r="A296" s="255"/>
      <c r="E296" s="253" t="s">
        <v>1076</v>
      </c>
      <c r="G296" s="34" t="s">
        <v>1264</v>
      </c>
      <c r="I296" s="258">
        <f>'Op Detail'!D918</f>
        <v>0</v>
      </c>
      <c r="L296" s="31"/>
      <c r="M296" s="258">
        <v>0</v>
      </c>
      <c r="N296" s="31"/>
      <c r="O296" s="31"/>
      <c r="P296" s="31"/>
      <c r="Q296" s="32"/>
    </row>
    <row r="297" spans="1:17" x14ac:dyDescent="0.25">
      <c r="A297" s="251"/>
      <c r="B297" s="55"/>
      <c r="D297" s="34" t="s">
        <v>1716</v>
      </c>
      <c r="I297" s="259"/>
      <c r="L297" s="31"/>
      <c r="M297" s="259"/>
      <c r="N297" s="31"/>
      <c r="O297" s="31"/>
      <c r="P297" s="31"/>
      <c r="Q297" s="32"/>
    </row>
    <row r="298" spans="1:17" x14ac:dyDescent="0.25">
      <c r="A298" s="255"/>
      <c r="E298" s="253" t="s">
        <v>1421</v>
      </c>
      <c r="G298" s="34" t="s">
        <v>1264</v>
      </c>
      <c r="I298" s="258">
        <f>'Op Detail'!F918</f>
        <v>8000</v>
      </c>
      <c r="L298" s="31"/>
      <c r="M298" s="258">
        <v>8000</v>
      </c>
      <c r="N298" s="31"/>
      <c r="O298" s="31"/>
      <c r="P298" s="31"/>
      <c r="Q298" s="32"/>
    </row>
    <row r="299" spans="1:17" x14ac:dyDescent="0.25">
      <c r="A299" s="251"/>
      <c r="B299" s="55"/>
      <c r="D299" s="34" t="s">
        <v>1717</v>
      </c>
      <c r="I299" s="259"/>
      <c r="L299" s="31"/>
      <c r="M299" s="259"/>
      <c r="N299" s="31"/>
      <c r="O299" s="31"/>
      <c r="P299" s="31"/>
      <c r="Q299" s="32"/>
    </row>
    <row r="300" spans="1:17" x14ac:dyDescent="0.25">
      <c r="A300" s="255"/>
      <c r="E300" s="253" t="s">
        <v>1422</v>
      </c>
      <c r="G300" s="34" t="s">
        <v>1264</v>
      </c>
      <c r="I300" s="258">
        <f>'Op Detail'!H918</f>
        <v>0</v>
      </c>
      <c r="L300" s="31"/>
      <c r="M300" s="258">
        <v>0</v>
      </c>
      <c r="N300" s="31"/>
      <c r="O300" s="31"/>
      <c r="P300" s="31"/>
      <c r="Q300" s="32"/>
    </row>
    <row r="301" spans="1:17" x14ac:dyDescent="0.25">
      <c r="A301" s="251"/>
      <c r="B301" s="55"/>
      <c r="D301" s="34" t="s">
        <v>1712</v>
      </c>
      <c r="E301" s="253"/>
      <c r="I301" s="258"/>
      <c r="L301" s="31"/>
      <c r="M301" s="258"/>
      <c r="N301" s="31"/>
      <c r="O301" s="31"/>
      <c r="P301" s="31"/>
      <c r="Q301" s="32"/>
    </row>
    <row r="302" spans="1:17" x14ac:dyDescent="0.25">
      <c r="A302" s="255"/>
      <c r="E302" s="253" t="s">
        <v>1014</v>
      </c>
      <c r="G302" s="34" t="s">
        <v>1264</v>
      </c>
      <c r="I302" s="258">
        <f>'Op Detail'!D963</f>
        <v>520</v>
      </c>
      <c r="L302" s="31"/>
      <c r="M302" s="258">
        <v>200</v>
      </c>
      <c r="N302" s="31"/>
      <c r="O302" s="31"/>
      <c r="P302" s="31"/>
      <c r="Q302" s="32"/>
    </row>
    <row r="303" spans="1:17" x14ac:dyDescent="0.25">
      <c r="A303" s="255"/>
      <c r="D303" s="34" t="s">
        <v>390</v>
      </c>
      <c r="E303" s="253"/>
      <c r="I303" s="258"/>
      <c r="L303" s="31"/>
      <c r="M303" s="258"/>
      <c r="N303" s="31"/>
      <c r="O303" s="32"/>
      <c r="P303" s="31"/>
      <c r="Q303" s="32"/>
    </row>
    <row r="304" spans="1:17" x14ac:dyDescent="0.25">
      <c r="A304" s="255"/>
      <c r="E304" s="253" t="s">
        <v>391</v>
      </c>
      <c r="G304" s="34" t="s">
        <v>1264</v>
      </c>
      <c r="I304" s="258">
        <f>'Op Detail'!D1050</f>
        <v>2500</v>
      </c>
      <c r="L304" s="31"/>
      <c r="M304" s="258">
        <v>1000</v>
      </c>
      <c r="N304" s="31"/>
      <c r="O304" s="32"/>
      <c r="P304" s="31"/>
      <c r="Q304" s="32"/>
    </row>
    <row r="305" spans="1:17" x14ac:dyDescent="0.25">
      <c r="A305" s="255"/>
      <c r="D305" s="34" t="s">
        <v>396</v>
      </c>
      <c r="E305" s="253"/>
      <c r="I305" s="258"/>
      <c r="L305" s="31"/>
      <c r="M305" s="258"/>
      <c r="N305" s="31"/>
      <c r="O305" s="32"/>
      <c r="P305" s="31"/>
      <c r="Q305" s="32"/>
    </row>
    <row r="306" spans="1:17" x14ac:dyDescent="0.25">
      <c r="A306" s="255"/>
      <c r="E306" s="253" t="s">
        <v>397</v>
      </c>
      <c r="G306" s="34" t="s">
        <v>1264</v>
      </c>
      <c r="I306" s="258">
        <f>'Op Detail'!E1093</f>
        <v>0</v>
      </c>
      <c r="L306" s="31"/>
      <c r="M306" s="258">
        <v>0</v>
      </c>
      <c r="N306" s="31"/>
      <c r="O306" s="32"/>
      <c r="P306" s="31"/>
      <c r="Q306" s="32"/>
    </row>
    <row r="307" spans="1:17" x14ac:dyDescent="0.25">
      <c r="A307" s="255"/>
      <c r="D307" s="34" t="s">
        <v>394</v>
      </c>
      <c r="E307" s="253"/>
      <c r="I307" s="258"/>
      <c r="L307" s="31"/>
      <c r="M307" s="258"/>
      <c r="N307" s="31"/>
      <c r="O307" s="32"/>
      <c r="P307" s="31"/>
      <c r="Q307" s="32"/>
    </row>
    <row r="308" spans="1:17" x14ac:dyDescent="0.25">
      <c r="A308" s="255"/>
      <c r="E308" s="253" t="s">
        <v>395</v>
      </c>
      <c r="G308" s="34" t="s">
        <v>1264</v>
      </c>
      <c r="I308" s="258">
        <f>'Op Detail'!D1093</f>
        <v>3500</v>
      </c>
      <c r="L308" s="31"/>
      <c r="M308" s="258">
        <v>2000</v>
      </c>
      <c r="N308" s="31"/>
      <c r="O308" s="32"/>
      <c r="P308" s="31"/>
      <c r="Q308" s="32"/>
    </row>
    <row r="309" spans="1:17" x14ac:dyDescent="0.25">
      <c r="A309" s="255"/>
      <c r="D309" s="255" t="s">
        <v>2753</v>
      </c>
      <c r="E309" s="253"/>
      <c r="I309" s="258"/>
      <c r="L309" s="31"/>
      <c r="M309" s="258"/>
      <c r="N309" s="31"/>
      <c r="O309" s="32"/>
      <c r="P309" s="31"/>
      <c r="Q309" s="32"/>
    </row>
    <row r="310" spans="1:17" x14ac:dyDescent="0.25">
      <c r="A310" s="255"/>
      <c r="E310" s="253" t="s">
        <v>2754</v>
      </c>
      <c r="G310" s="34" t="s">
        <v>1264</v>
      </c>
      <c r="I310" s="258">
        <f>'Op Detail'!F1093</f>
        <v>0</v>
      </c>
      <c r="L310" s="31"/>
      <c r="M310" s="258">
        <v>0</v>
      </c>
      <c r="N310" s="31"/>
      <c r="O310" s="32"/>
      <c r="P310" s="31"/>
      <c r="Q310" s="32"/>
    </row>
    <row r="311" spans="1:17" x14ac:dyDescent="0.25">
      <c r="A311" s="255"/>
      <c r="D311" s="34" t="s">
        <v>1413</v>
      </c>
      <c r="E311" s="253"/>
      <c r="I311" s="258"/>
      <c r="K311" s="80"/>
      <c r="L311" s="31"/>
      <c r="M311" s="258"/>
      <c r="N311" s="31"/>
      <c r="O311" s="32"/>
      <c r="P311" s="31"/>
      <c r="Q311" s="32"/>
    </row>
    <row r="312" spans="1:17" x14ac:dyDescent="0.25">
      <c r="A312" s="255"/>
      <c r="E312" s="253" t="s">
        <v>392</v>
      </c>
      <c r="G312" s="34" t="s">
        <v>1264</v>
      </c>
      <c r="I312" s="258">
        <f>'Op Detail'!F1050</f>
        <v>0</v>
      </c>
      <c r="K312" s="80"/>
      <c r="L312" s="31"/>
      <c r="M312" s="258">
        <v>200</v>
      </c>
      <c r="N312" s="31"/>
      <c r="O312" s="32"/>
      <c r="P312" s="31"/>
      <c r="Q312" s="32"/>
    </row>
    <row r="313" spans="1:17" x14ac:dyDescent="0.25">
      <c r="A313" s="255"/>
      <c r="D313" s="34" t="s">
        <v>1693</v>
      </c>
      <c r="E313" s="253"/>
      <c r="I313" s="258"/>
      <c r="K313" s="80"/>
      <c r="L313" s="31"/>
      <c r="M313" s="258"/>
      <c r="N313" s="31"/>
      <c r="O313" s="32"/>
      <c r="P313" s="31"/>
      <c r="Q313" s="32"/>
    </row>
    <row r="314" spans="1:17" x14ac:dyDescent="0.25">
      <c r="A314" s="255"/>
      <c r="E314" s="253" t="s">
        <v>1842</v>
      </c>
      <c r="G314" s="34" t="s">
        <v>1264</v>
      </c>
      <c r="I314" s="258">
        <f>'Op Detail'!E1136</f>
        <v>1000</v>
      </c>
      <c r="K314" s="80"/>
      <c r="L314" s="31"/>
      <c r="M314" s="258">
        <v>200</v>
      </c>
      <c r="N314" s="31"/>
      <c r="O314" s="32"/>
      <c r="P314" s="31"/>
      <c r="Q314" s="32"/>
    </row>
    <row r="315" spans="1:17" x14ac:dyDescent="0.25">
      <c r="A315" s="255"/>
      <c r="D315" s="34" t="s">
        <v>1839</v>
      </c>
      <c r="E315" s="253"/>
      <c r="I315" s="258"/>
      <c r="K315" s="80"/>
      <c r="L315" s="31"/>
      <c r="M315" s="258"/>
      <c r="N315" s="31"/>
      <c r="O315" s="32"/>
      <c r="P315" s="31"/>
      <c r="Q315" s="32"/>
    </row>
    <row r="316" spans="1:17" x14ac:dyDescent="0.25">
      <c r="A316" s="255"/>
      <c r="E316" s="253" t="s">
        <v>1840</v>
      </c>
      <c r="G316" s="34" t="s">
        <v>1264</v>
      </c>
      <c r="I316" s="258">
        <f>'Op Detail'!F1136</f>
        <v>200</v>
      </c>
      <c r="K316" s="80"/>
      <c r="L316" s="31"/>
      <c r="M316" s="258">
        <v>200</v>
      </c>
      <c r="N316" s="31"/>
      <c r="O316" s="32"/>
      <c r="P316" s="31"/>
      <c r="Q316" s="32"/>
    </row>
    <row r="317" spans="1:17" x14ac:dyDescent="0.25">
      <c r="A317" s="255"/>
      <c r="E317" s="253"/>
      <c r="I317" s="258"/>
      <c r="K317" s="80">
        <f>SUM(I236:I316)</f>
        <v>71150</v>
      </c>
      <c r="L317" s="31"/>
      <c r="M317" s="258"/>
      <c r="N317" s="31"/>
      <c r="O317" s="32">
        <v>65855</v>
      </c>
      <c r="P317" s="31"/>
      <c r="Q317" s="32">
        <f>K317-O317</f>
        <v>5295</v>
      </c>
    </row>
    <row r="318" spans="1:17" ht="18" x14ac:dyDescent="0.25">
      <c r="A318" s="261"/>
      <c r="B318" s="54" t="s">
        <v>1337</v>
      </c>
      <c r="I318" s="259"/>
      <c r="M318" s="259"/>
    </row>
    <row r="319" spans="1:17" x14ac:dyDescent="0.25">
      <c r="A319" s="251"/>
      <c r="B319" s="55"/>
      <c r="D319" s="251" t="s">
        <v>653</v>
      </c>
      <c r="I319" s="259"/>
      <c r="M319" s="259"/>
    </row>
    <row r="320" spans="1:17" x14ac:dyDescent="0.25">
      <c r="A320" s="255"/>
      <c r="E320" s="251" t="s">
        <v>1007</v>
      </c>
      <c r="G320" s="251" t="s">
        <v>1264</v>
      </c>
      <c r="I320" s="260">
        <f>'Op Detail'!D23</f>
        <v>9000</v>
      </c>
      <c r="K320" s="80">
        <f>I320</f>
        <v>9000</v>
      </c>
      <c r="L320" s="31"/>
      <c r="M320" s="260">
        <v>6500</v>
      </c>
      <c r="N320" s="31"/>
      <c r="O320" s="32">
        <v>6500</v>
      </c>
      <c r="P320" s="31"/>
      <c r="Q320" s="32">
        <f>K320-O320</f>
        <v>2500</v>
      </c>
    </row>
    <row r="321" spans="1:20" x14ac:dyDescent="0.25">
      <c r="A321" s="251"/>
      <c r="B321" s="55"/>
      <c r="D321" s="251" t="s">
        <v>853</v>
      </c>
      <c r="I321" s="258"/>
      <c r="K321" s="80"/>
      <c r="L321" s="31"/>
      <c r="M321" s="258"/>
      <c r="N321" s="31"/>
      <c r="O321" s="31"/>
      <c r="P321" s="31"/>
      <c r="Q321" s="32"/>
    </row>
    <row r="322" spans="1:20" x14ac:dyDescent="0.25">
      <c r="A322" s="255"/>
      <c r="E322" s="251" t="s">
        <v>1008</v>
      </c>
      <c r="G322" s="251" t="s">
        <v>1264</v>
      </c>
      <c r="I322" s="258">
        <f>'Op Detail'!D51</f>
        <v>16700</v>
      </c>
      <c r="K322" s="80"/>
      <c r="L322" s="31"/>
      <c r="M322" s="258">
        <v>16700</v>
      </c>
      <c r="N322" s="31"/>
      <c r="O322" s="31"/>
      <c r="P322" s="31"/>
      <c r="Q322" s="32"/>
    </row>
    <row r="323" spans="1:20" x14ac:dyDescent="0.25">
      <c r="A323" s="255"/>
      <c r="E323" s="251" t="s">
        <v>1009</v>
      </c>
      <c r="G323" s="251" t="s">
        <v>1123</v>
      </c>
      <c r="I323" s="258">
        <f>Salaries!M378</f>
        <v>152132.99</v>
      </c>
      <c r="K323" s="80">
        <f>I322+I323</f>
        <v>168832.99</v>
      </c>
      <c r="L323" s="31"/>
      <c r="M323" s="258">
        <v>158809.88</v>
      </c>
      <c r="N323" s="31"/>
      <c r="O323" s="31">
        <v>175510</v>
      </c>
      <c r="P323" s="31"/>
      <c r="Q323" s="32">
        <f>K323-O323</f>
        <v>-6677</v>
      </c>
    </row>
    <row r="324" spans="1:20" x14ac:dyDescent="0.25">
      <c r="A324" s="255"/>
      <c r="D324" s="255" t="s">
        <v>2873</v>
      </c>
      <c r="E324" s="251"/>
      <c r="G324" s="251"/>
      <c r="I324" s="258"/>
      <c r="K324" s="80"/>
      <c r="L324" s="31"/>
      <c r="M324" s="258"/>
      <c r="N324" s="31"/>
      <c r="O324" s="31"/>
      <c r="P324" s="31"/>
      <c r="Q324" s="32"/>
    </row>
    <row r="325" spans="1:20" x14ac:dyDescent="0.25">
      <c r="A325" s="255"/>
      <c r="E325" s="251" t="s">
        <v>2874</v>
      </c>
      <c r="G325" s="251" t="s">
        <v>1264</v>
      </c>
      <c r="I325" s="258">
        <f>+'Op Detail'!D6657</f>
        <v>0</v>
      </c>
      <c r="K325" s="80"/>
      <c r="L325" s="31"/>
      <c r="M325" s="258">
        <v>27450</v>
      </c>
      <c r="N325" s="31"/>
      <c r="O325" s="31"/>
      <c r="P325" s="31"/>
      <c r="Q325" s="32"/>
    </row>
    <row r="326" spans="1:20" x14ac:dyDescent="0.25">
      <c r="A326" s="251"/>
      <c r="B326" s="55"/>
      <c r="C326" s="34" t="s">
        <v>342</v>
      </c>
      <c r="D326" s="251" t="s">
        <v>1592</v>
      </c>
      <c r="E326" s="34" t="s">
        <v>342</v>
      </c>
      <c r="I326" s="259"/>
      <c r="K326" s="79">
        <f>I325</f>
        <v>0</v>
      </c>
      <c r="M326" s="259"/>
      <c r="O326" s="31">
        <v>27450</v>
      </c>
      <c r="Q326" s="32">
        <f>K326-O326</f>
        <v>-27450</v>
      </c>
    </row>
    <row r="327" spans="1:20" x14ac:dyDescent="0.25">
      <c r="A327" s="255"/>
      <c r="E327" s="251" t="s">
        <v>1317</v>
      </c>
      <c r="G327" s="34" t="s">
        <v>1264</v>
      </c>
      <c r="I327" s="260">
        <f>'Op Detail'!D1748</f>
        <v>15000</v>
      </c>
      <c r="K327" s="80"/>
      <c r="L327" s="31"/>
      <c r="M327" s="260">
        <v>13050</v>
      </c>
      <c r="N327" s="31"/>
      <c r="O327" s="31"/>
      <c r="P327" s="31"/>
      <c r="Q327" s="32"/>
    </row>
    <row r="328" spans="1:20" x14ac:dyDescent="0.25">
      <c r="A328" s="255"/>
      <c r="E328" s="251" t="s">
        <v>1771</v>
      </c>
      <c r="G328" s="251" t="s">
        <v>1123</v>
      </c>
      <c r="I328" s="259">
        <f>Salaries!AG378</f>
        <v>0</v>
      </c>
      <c r="K328" s="80">
        <f>I327+I328</f>
        <v>15000</v>
      </c>
      <c r="L328" s="31"/>
      <c r="M328" s="259">
        <v>0</v>
      </c>
      <c r="N328" s="31"/>
      <c r="O328" s="31">
        <v>13050</v>
      </c>
      <c r="P328" s="31"/>
      <c r="Q328" s="32">
        <f>K328-O328</f>
        <v>1950</v>
      </c>
    </row>
    <row r="329" spans="1:20" x14ac:dyDescent="0.25">
      <c r="A329" s="270"/>
      <c r="B329" s="189"/>
      <c r="D329" s="251" t="s">
        <v>2959</v>
      </c>
      <c r="I329" s="258"/>
      <c r="K329" s="80"/>
      <c r="L329" s="31"/>
      <c r="M329" s="258"/>
      <c r="N329" s="31"/>
      <c r="O329" s="31"/>
      <c r="P329" s="31"/>
      <c r="Q329" s="32"/>
    </row>
    <row r="330" spans="1:20" x14ac:dyDescent="0.25">
      <c r="A330" s="270"/>
      <c r="B330" s="189"/>
      <c r="E330" s="251" t="s">
        <v>1010</v>
      </c>
      <c r="G330" s="251" t="s">
        <v>1264</v>
      </c>
      <c r="I330" s="260">
        <f>'Op Detail'!D77</f>
        <v>3425</v>
      </c>
      <c r="K330" s="80"/>
      <c r="L330" s="31"/>
      <c r="M330" s="260">
        <v>3425</v>
      </c>
      <c r="N330" s="31"/>
      <c r="O330" s="31"/>
      <c r="P330" s="31"/>
      <c r="Q330" s="32"/>
    </row>
    <row r="331" spans="1:20" x14ac:dyDescent="0.25">
      <c r="A331" s="270"/>
      <c r="B331" s="189"/>
      <c r="E331" s="251" t="s">
        <v>1011</v>
      </c>
      <c r="G331" s="251" t="s">
        <v>1123</v>
      </c>
      <c r="I331" s="258">
        <f>Salaries!N378</f>
        <v>103876.25</v>
      </c>
      <c r="K331" s="80">
        <f>I330+I331</f>
        <v>107301.25</v>
      </c>
      <c r="L331" s="31"/>
      <c r="M331" s="258">
        <v>56660.87</v>
      </c>
      <c r="N331" s="31"/>
      <c r="O331" s="31">
        <v>60086</v>
      </c>
      <c r="P331" s="31"/>
      <c r="Q331" s="32">
        <f>K331-O331</f>
        <v>47215</v>
      </c>
      <c r="T331" s="210"/>
    </row>
    <row r="332" spans="1:20" x14ac:dyDescent="0.25">
      <c r="A332" s="270"/>
      <c r="B332" s="189"/>
      <c r="D332" s="251" t="s">
        <v>2961</v>
      </c>
      <c r="I332" s="258"/>
      <c r="K332" s="259" t="s">
        <v>342</v>
      </c>
      <c r="L332" s="31"/>
      <c r="M332" s="258"/>
      <c r="N332" s="31"/>
      <c r="O332" s="31" t="s">
        <v>342</v>
      </c>
      <c r="P332" s="31"/>
      <c r="Q332" s="32"/>
    </row>
    <row r="333" spans="1:20" x14ac:dyDescent="0.25">
      <c r="A333" s="255"/>
      <c r="E333" s="251" t="s">
        <v>1021</v>
      </c>
      <c r="G333" s="251" t="s">
        <v>1264</v>
      </c>
      <c r="I333" s="259">
        <f>'Op Detail'!D107</f>
        <v>4280</v>
      </c>
      <c r="K333" s="259" t="s">
        <v>342</v>
      </c>
      <c r="L333" s="31"/>
      <c r="M333" s="259">
        <v>9200</v>
      </c>
      <c r="N333" s="31"/>
      <c r="O333" s="31" t="s">
        <v>342</v>
      </c>
      <c r="P333" s="31"/>
      <c r="Q333" s="32"/>
    </row>
    <row r="334" spans="1:20" x14ac:dyDescent="0.25">
      <c r="A334" s="255"/>
      <c r="E334" s="251" t="s">
        <v>1022</v>
      </c>
      <c r="G334" s="251" t="s">
        <v>1123</v>
      </c>
      <c r="I334" s="258">
        <f>Salaries!T378</f>
        <v>101044.29</v>
      </c>
      <c r="K334" s="80">
        <f>I333+I334</f>
        <v>105324.29</v>
      </c>
      <c r="L334" s="31"/>
      <c r="M334" s="258">
        <v>98972.32</v>
      </c>
      <c r="N334" s="31"/>
      <c r="O334" s="32">
        <v>108172</v>
      </c>
      <c r="P334" s="31"/>
      <c r="Q334" s="32">
        <f>K334-O334</f>
        <v>-2848</v>
      </c>
      <c r="T334" s="210"/>
    </row>
    <row r="335" spans="1:20" x14ac:dyDescent="0.25">
      <c r="A335" s="251"/>
      <c r="B335" s="55"/>
      <c r="D335" s="251" t="s">
        <v>1857</v>
      </c>
      <c r="E335" s="251"/>
      <c r="G335" s="251"/>
      <c r="I335" s="259"/>
      <c r="K335" s="80"/>
      <c r="L335" s="31"/>
      <c r="M335" s="259"/>
      <c r="N335" s="31"/>
      <c r="O335" s="31"/>
      <c r="P335" s="31"/>
      <c r="Q335" s="32"/>
    </row>
    <row r="336" spans="1:20" x14ac:dyDescent="0.25">
      <c r="A336" s="255"/>
      <c r="E336" s="251" t="s">
        <v>1023</v>
      </c>
      <c r="G336" s="251" t="s">
        <v>1264</v>
      </c>
      <c r="I336" s="258">
        <f>'Op Detail'!D145</f>
        <v>92312</v>
      </c>
      <c r="K336" s="80"/>
      <c r="L336" s="31"/>
      <c r="M336" s="258">
        <v>104350</v>
      </c>
      <c r="N336" s="31"/>
      <c r="O336" s="31"/>
      <c r="P336" s="31"/>
      <c r="Q336" s="32"/>
    </row>
    <row r="337" spans="1:20" x14ac:dyDescent="0.25">
      <c r="A337" s="255"/>
      <c r="E337" s="251" t="s">
        <v>1025</v>
      </c>
      <c r="G337" s="251" t="s">
        <v>1123</v>
      </c>
      <c r="I337" s="258">
        <f>Salaries!O378</f>
        <v>347243.75</v>
      </c>
      <c r="K337" s="259">
        <f>I337+I336</f>
        <v>439555.75</v>
      </c>
      <c r="L337" s="31"/>
      <c r="M337" s="258">
        <v>380146.75</v>
      </c>
      <c r="N337" s="31"/>
      <c r="O337" s="31">
        <v>484497</v>
      </c>
      <c r="P337" s="31"/>
      <c r="Q337" s="32">
        <f>K337-O337</f>
        <v>-44941</v>
      </c>
      <c r="T337" s="210"/>
    </row>
    <row r="338" spans="1:20" x14ac:dyDescent="0.25">
      <c r="A338" s="251"/>
      <c r="B338" s="55"/>
      <c r="D338" s="251" t="s">
        <v>854</v>
      </c>
      <c r="I338" s="258"/>
      <c r="K338" s="80"/>
      <c r="L338" s="31"/>
      <c r="M338" s="258"/>
      <c r="N338" s="31"/>
      <c r="O338" s="31"/>
      <c r="P338" s="31"/>
      <c r="Q338" s="32"/>
    </row>
    <row r="339" spans="1:20" x14ac:dyDescent="0.25">
      <c r="A339" s="255"/>
      <c r="E339" s="251" t="s">
        <v>1026</v>
      </c>
      <c r="G339" s="251" t="s">
        <v>1264</v>
      </c>
      <c r="I339" s="258">
        <f>'Op Detail'!D179</f>
        <v>24984</v>
      </c>
      <c r="K339" s="80"/>
      <c r="L339" s="31"/>
      <c r="M339" s="258">
        <v>31230</v>
      </c>
      <c r="N339" s="31"/>
      <c r="O339" s="31"/>
      <c r="P339" s="31"/>
      <c r="Q339" s="32"/>
    </row>
    <row r="340" spans="1:20" x14ac:dyDescent="0.25">
      <c r="A340" s="255"/>
      <c r="E340" s="251" t="s">
        <v>1027</v>
      </c>
      <c r="G340" s="251" t="s">
        <v>1123</v>
      </c>
      <c r="I340" s="258">
        <f>Salaries!Q378</f>
        <v>79836.13</v>
      </c>
      <c r="K340" s="80">
        <f>I340+I339</f>
        <v>104820.13</v>
      </c>
      <c r="L340" s="31"/>
      <c r="M340" s="258">
        <v>90907.56</v>
      </c>
      <c r="N340" s="31"/>
      <c r="O340" s="31">
        <v>122138</v>
      </c>
      <c r="P340" s="31"/>
      <c r="Q340" s="32">
        <f>K340-O340</f>
        <v>-17318</v>
      </c>
      <c r="T340" s="210"/>
    </row>
    <row r="341" spans="1:20" x14ac:dyDescent="0.25">
      <c r="A341" s="251"/>
      <c r="B341" s="55"/>
      <c r="D341" s="251" t="s">
        <v>2913</v>
      </c>
      <c r="I341" s="258"/>
      <c r="K341" s="80"/>
      <c r="L341" s="31"/>
      <c r="M341" s="258"/>
      <c r="N341" s="31"/>
      <c r="O341" s="31"/>
      <c r="P341" s="31"/>
      <c r="Q341" s="32"/>
    </row>
    <row r="342" spans="1:20" x14ac:dyDescent="0.25">
      <c r="A342" s="255"/>
      <c r="E342" s="251" t="s">
        <v>1028</v>
      </c>
      <c r="G342" s="251" t="s">
        <v>1264</v>
      </c>
      <c r="I342" s="258">
        <f>'Op Detail'!D215</f>
        <v>14540</v>
      </c>
      <c r="K342" s="259" t="s">
        <v>342</v>
      </c>
      <c r="L342" s="31"/>
      <c r="M342" s="258">
        <v>19050</v>
      </c>
      <c r="N342" s="31"/>
      <c r="O342" s="31" t="s">
        <v>342</v>
      </c>
      <c r="P342" s="31"/>
      <c r="Q342" s="32"/>
    </row>
    <row r="343" spans="1:20" x14ac:dyDescent="0.25">
      <c r="A343" s="255"/>
      <c r="E343" s="251" t="s">
        <v>1029</v>
      </c>
      <c r="G343" s="251" t="s">
        <v>1123</v>
      </c>
      <c r="I343" s="258">
        <f>Salaries!P378</f>
        <v>63873.41</v>
      </c>
      <c r="K343" s="80">
        <f>I343+I342</f>
        <v>78413.41</v>
      </c>
      <c r="L343" s="31"/>
      <c r="M343" s="258">
        <v>68473.600000000006</v>
      </c>
      <c r="N343" s="31"/>
      <c r="O343" s="32">
        <v>87524</v>
      </c>
      <c r="P343" s="31"/>
      <c r="Q343" s="32">
        <f>K343-O343</f>
        <v>-9111</v>
      </c>
      <c r="T343" s="210"/>
    </row>
    <row r="344" spans="1:20" x14ac:dyDescent="0.25">
      <c r="A344" s="251"/>
      <c r="B344" s="55"/>
      <c r="D344" s="251" t="s">
        <v>701</v>
      </c>
      <c r="I344" s="258"/>
      <c r="K344" s="80"/>
      <c r="L344" s="31"/>
      <c r="M344" s="258"/>
      <c r="N344" s="31"/>
      <c r="O344" s="32"/>
      <c r="P344" s="31"/>
      <c r="Q344" s="32"/>
    </row>
    <row r="345" spans="1:20" x14ac:dyDescent="0.25">
      <c r="A345" s="255"/>
      <c r="E345" s="251" t="s">
        <v>1003</v>
      </c>
      <c r="G345" s="251" t="s">
        <v>1264</v>
      </c>
      <c r="I345" s="258">
        <f>+'Op Detail'!D4333</f>
        <v>5200</v>
      </c>
      <c r="L345" s="31"/>
      <c r="M345" s="258">
        <v>9000</v>
      </c>
      <c r="N345" s="31"/>
      <c r="O345" s="32"/>
      <c r="P345" s="31"/>
    </row>
    <row r="346" spans="1:20" x14ac:dyDescent="0.25">
      <c r="A346" s="255"/>
      <c r="E346" s="251" t="s">
        <v>430</v>
      </c>
      <c r="G346" s="251" t="s">
        <v>1123</v>
      </c>
      <c r="I346" s="258">
        <f>Salaries!AN378</f>
        <v>7145.11</v>
      </c>
      <c r="K346" s="80">
        <f>I345+I346</f>
        <v>12345.11</v>
      </c>
      <c r="L346" s="31"/>
      <c r="M346" s="258">
        <v>23888.83</v>
      </c>
      <c r="N346" s="31"/>
      <c r="O346" s="32">
        <v>32889</v>
      </c>
      <c r="P346" s="31"/>
      <c r="Q346" s="32">
        <f>K346-O346</f>
        <v>-20544</v>
      </c>
      <c r="T346" s="210"/>
    </row>
    <row r="347" spans="1:20" x14ac:dyDescent="0.25">
      <c r="A347" s="255"/>
      <c r="D347" s="255" t="s">
        <v>2852</v>
      </c>
      <c r="E347" s="251"/>
      <c r="G347" s="251"/>
      <c r="I347" s="258"/>
      <c r="K347" s="80"/>
      <c r="L347" s="31"/>
      <c r="M347" s="258"/>
      <c r="N347" s="31"/>
      <c r="O347" s="32"/>
      <c r="P347" s="31"/>
      <c r="Q347" s="32"/>
      <c r="T347" s="210"/>
    </row>
    <row r="348" spans="1:20" x14ac:dyDescent="0.25">
      <c r="A348" s="255"/>
      <c r="E348" s="251" t="s">
        <v>2853</v>
      </c>
      <c r="G348" s="251" t="s">
        <v>1264</v>
      </c>
      <c r="I348" s="258">
        <f>'Op Detail'!D6579</f>
        <v>3000</v>
      </c>
      <c r="K348" s="80"/>
      <c r="L348" s="31"/>
      <c r="M348" s="258">
        <v>8600</v>
      </c>
      <c r="N348" s="31"/>
      <c r="O348" s="32"/>
      <c r="P348" s="31"/>
      <c r="Q348" s="32"/>
      <c r="T348" s="210"/>
    </row>
    <row r="349" spans="1:20" x14ac:dyDescent="0.25">
      <c r="A349" s="255"/>
      <c r="E349" s="251" t="s">
        <v>2854</v>
      </c>
      <c r="G349" s="251" t="s">
        <v>1123</v>
      </c>
      <c r="I349" s="258">
        <f>+Salaries!AT378</f>
        <v>30845.79</v>
      </c>
      <c r="K349" s="80">
        <f>I348+I349</f>
        <v>33845.79</v>
      </c>
      <c r="L349" s="31"/>
      <c r="M349" s="258">
        <v>30980.799999999999</v>
      </c>
      <c r="N349" s="31"/>
      <c r="O349" s="32">
        <v>39581</v>
      </c>
      <c r="P349" s="31"/>
      <c r="Q349" s="32">
        <f>K349-O349</f>
        <v>-5735</v>
      </c>
      <c r="T349" s="210"/>
    </row>
    <row r="350" spans="1:20" x14ac:dyDescent="0.25">
      <c r="A350" s="251"/>
      <c r="B350" s="55"/>
      <c r="D350" s="251" t="s">
        <v>817</v>
      </c>
      <c r="I350" s="259"/>
      <c r="L350" s="31"/>
      <c r="M350" s="259"/>
      <c r="N350" s="31"/>
      <c r="O350" s="31"/>
      <c r="P350" s="31"/>
      <c r="Q350" s="32"/>
    </row>
    <row r="351" spans="1:20" x14ac:dyDescent="0.25">
      <c r="A351" s="255"/>
      <c r="E351" s="251" t="s">
        <v>1658</v>
      </c>
      <c r="G351" s="251" t="s">
        <v>1264</v>
      </c>
      <c r="I351" s="260">
        <f>'Op Detail'!D3524</f>
        <v>18120</v>
      </c>
      <c r="J351" s="80"/>
      <c r="K351" s="80">
        <f>I351</f>
        <v>18120</v>
      </c>
      <c r="L351" s="32"/>
      <c r="M351" s="260">
        <v>22500</v>
      </c>
      <c r="N351" s="32"/>
      <c r="O351" s="32">
        <v>22500</v>
      </c>
      <c r="P351" s="31"/>
      <c r="Q351" s="32">
        <f>K351-O351</f>
        <v>-4380</v>
      </c>
    </row>
    <row r="352" spans="1:20" x14ac:dyDescent="0.25">
      <c r="A352" s="251"/>
      <c r="B352" s="55"/>
      <c r="D352" s="251" t="s">
        <v>683</v>
      </c>
      <c r="I352" s="258"/>
      <c r="K352" s="80"/>
      <c r="L352" s="31"/>
      <c r="M352" s="258"/>
      <c r="N352" s="31"/>
      <c r="O352" s="32"/>
      <c r="P352" s="31"/>
      <c r="Q352" s="32"/>
    </row>
    <row r="353" spans="1:20" x14ac:dyDescent="0.25">
      <c r="A353" s="255"/>
      <c r="E353" s="251" t="s">
        <v>917</v>
      </c>
      <c r="G353" s="251" t="s">
        <v>1264</v>
      </c>
      <c r="I353" s="260">
        <f>'Op Detail'!D1235</f>
        <v>17200</v>
      </c>
      <c r="K353" s="80"/>
      <c r="L353" s="31"/>
      <c r="M353" s="260">
        <v>42400</v>
      </c>
      <c r="N353" s="31"/>
      <c r="O353" s="32"/>
      <c r="P353" s="31"/>
      <c r="Q353" s="32"/>
    </row>
    <row r="354" spans="1:20" x14ac:dyDescent="0.25">
      <c r="A354" s="255"/>
      <c r="C354" s="39"/>
      <c r="E354" s="251" t="s">
        <v>918</v>
      </c>
      <c r="G354" s="251" t="s">
        <v>1123</v>
      </c>
      <c r="I354" s="258">
        <f>Salaries!AF378</f>
        <v>90526.05</v>
      </c>
      <c r="K354" s="80">
        <f>I353+I354</f>
        <v>107726.05</v>
      </c>
      <c r="L354" s="31"/>
      <c r="M354" s="258">
        <v>108600.47</v>
      </c>
      <c r="N354" s="31"/>
      <c r="O354" s="32">
        <v>151000</v>
      </c>
      <c r="P354" s="31"/>
      <c r="Q354" s="32">
        <f>K354-O354</f>
        <v>-43274</v>
      </c>
      <c r="T354" s="210"/>
    </row>
    <row r="355" spans="1:20" x14ac:dyDescent="0.25">
      <c r="A355" s="251"/>
      <c r="B355" s="55"/>
      <c r="D355" s="251" t="s">
        <v>139</v>
      </c>
      <c r="I355" s="259"/>
      <c r="L355" s="31"/>
      <c r="M355" s="259"/>
      <c r="N355" s="31"/>
      <c r="O355" s="31"/>
      <c r="P355" s="31"/>
      <c r="Q355" s="32"/>
    </row>
    <row r="356" spans="1:20" x14ac:dyDescent="0.25">
      <c r="A356" s="255"/>
      <c r="E356" s="251" t="s">
        <v>919</v>
      </c>
      <c r="G356" s="251" t="s">
        <v>1264</v>
      </c>
      <c r="I356" s="260">
        <f>'Op Detail'!D1266</f>
        <v>5200</v>
      </c>
      <c r="L356" s="31"/>
      <c r="M356" s="260">
        <v>8200</v>
      </c>
      <c r="N356" s="31"/>
      <c r="O356" s="31"/>
      <c r="P356" s="31"/>
      <c r="Q356" s="32"/>
    </row>
    <row r="357" spans="1:20" x14ac:dyDescent="0.25">
      <c r="A357" s="255"/>
      <c r="C357" s="39"/>
      <c r="D357" s="39"/>
      <c r="E357" s="252" t="s">
        <v>920</v>
      </c>
      <c r="F357" s="39"/>
      <c r="G357" s="252" t="s">
        <v>1123</v>
      </c>
      <c r="H357" s="39"/>
      <c r="I357" s="258">
        <f>Salaries!AR378</f>
        <v>54629.66</v>
      </c>
      <c r="J357" s="80"/>
      <c r="K357" s="80">
        <f>I356+I357</f>
        <v>59829.66</v>
      </c>
      <c r="L357" s="32"/>
      <c r="M357" s="258">
        <v>46586.28</v>
      </c>
      <c r="N357" s="31"/>
      <c r="O357" s="32">
        <v>54786</v>
      </c>
      <c r="P357" s="31"/>
      <c r="Q357" s="32">
        <f>K357-O357</f>
        <v>5044</v>
      </c>
      <c r="T357" s="210"/>
    </row>
    <row r="358" spans="1:20" x14ac:dyDescent="0.25">
      <c r="A358" s="255"/>
      <c r="C358" s="39"/>
      <c r="D358" s="256" t="s">
        <v>2956</v>
      </c>
      <c r="E358" s="252"/>
      <c r="F358" s="39"/>
      <c r="G358" s="252"/>
      <c r="H358" s="39"/>
      <c r="I358" s="258"/>
      <c r="J358" s="80"/>
      <c r="K358" s="80"/>
      <c r="L358" s="32"/>
      <c r="M358" s="258"/>
      <c r="N358" s="31"/>
      <c r="O358" s="32"/>
      <c r="P358" s="31"/>
      <c r="Q358" s="32"/>
      <c r="T358" s="210"/>
    </row>
    <row r="359" spans="1:20" x14ac:dyDescent="0.25">
      <c r="A359" s="255"/>
      <c r="C359" s="39"/>
      <c r="D359" s="39"/>
      <c r="E359" s="252" t="s">
        <v>2957</v>
      </c>
      <c r="F359" s="39"/>
      <c r="G359" s="251" t="s">
        <v>1264</v>
      </c>
      <c r="H359" s="39"/>
      <c r="I359" s="260">
        <f>+'Op Detail'!D6602</f>
        <v>5000</v>
      </c>
      <c r="J359" s="80"/>
      <c r="K359" s="80"/>
      <c r="L359" s="32"/>
      <c r="M359" s="260">
        <v>0</v>
      </c>
      <c r="N359" s="31"/>
      <c r="O359" s="32"/>
      <c r="P359" s="31"/>
      <c r="Q359" s="32"/>
      <c r="T359" s="210"/>
    </row>
    <row r="360" spans="1:20" x14ac:dyDescent="0.25">
      <c r="A360" s="255"/>
      <c r="C360" s="39"/>
      <c r="D360" s="39"/>
      <c r="E360" s="252" t="s">
        <v>2958</v>
      </c>
      <c r="F360" s="39"/>
      <c r="G360" s="252" t="s">
        <v>1123</v>
      </c>
      <c r="H360" s="39"/>
      <c r="I360" s="258">
        <f>+Salaries!AP378</f>
        <v>82388.070000000007</v>
      </c>
      <c r="J360" s="80"/>
      <c r="K360" s="80">
        <f>I359+I360</f>
        <v>87388.07</v>
      </c>
      <c r="L360" s="32"/>
      <c r="M360" s="258">
        <v>0</v>
      </c>
      <c r="N360" s="31"/>
      <c r="O360" s="32">
        <v>0</v>
      </c>
      <c r="P360" s="31"/>
      <c r="Q360" s="32">
        <f>K360-O360</f>
        <v>87388</v>
      </c>
      <c r="T360" s="210"/>
    </row>
    <row r="361" spans="1:20" x14ac:dyDescent="0.25">
      <c r="A361" s="255"/>
      <c r="D361" s="39" t="s">
        <v>506</v>
      </c>
      <c r="E361" s="252"/>
      <c r="F361" s="39"/>
      <c r="G361" s="252"/>
      <c r="H361" s="39"/>
      <c r="I361" s="258"/>
      <c r="J361" s="80"/>
      <c r="K361" s="80"/>
      <c r="L361" s="32"/>
      <c r="M361" s="258"/>
      <c r="N361" s="31"/>
      <c r="O361" s="32"/>
      <c r="P361" s="31"/>
      <c r="Q361" s="32"/>
    </row>
    <row r="362" spans="1:20" x14ac:dyDescent="0.25">
      <c r="A362" s="255"/>
      <c r="C362" s="39"/>
      <c r="D362" s="39"/>
      <c r="E362" s="252" t="s">
        <v>507</v>
      </c>
      <c r="F362" s="39"/>
      <c r="G362" s="251" t="s">
        <v>1264</v>
      </c>
      <c r="H362" s="39"/>
      <c r="I362" s="260">
        <f>'Op Detail'!E6177</f>
        <v>0</v>
      </c>
      <c r="J362" s="80"/>
      <c r="K362" s="80"/>
      <c r="L362" s="32"/>
      <c r="M362" s="260">
        <v>25000</v>
      </c>
      <c r="N362" s="31"/>
      <c r="O362" s="32"/>
      <c r="P362" s="31"/>
      <c r="Q362" s="32"/>
    </row>
    <row r="363" spans="1:20" x14ac:dyDescent="0.25">
      <c r="A363" s="255"/>
      <c r="C363" s="39"/>
      <c r="D363" s="39"/>
      <c r="E363" s="252" t="s">
        <v>508</v>
      </c>
      <c r="F363" s="39"/>
      <c r="G363" s="252" t="s">
        <v>1123</v>
      </c>
      <c r="H363" s="39"/>
      <c r="I363" s="258">
        <f>Salaries!AQ378</f>
        <v>0</v>
      </c>
      <c r="J363" s="80"/>
      <c r="K363" s="80">
        <f>I362+I363</f>
        <v>0</v>
      </c>
      <c r="L363" s="32"/>
      <c r="M363" s="258">
        <v>62841.8</v>
      </c>
      <c r="N363" s="31"/>
      <c r="O363" s="32">
        <v>87842</v>
      </c>
      <c r="P363" s="31"/>
      <c r="Q363" s="32">
        <f>K363-O363</f>
        <v>-87842</v>
      </c>
      <c r="T363" s="210"/>
    </row>
    <row r="364" spans="1:20" x14ac:dyDescent="0.25">
      <c r="A364" s="252"/>
      <c r="B364" s="190"/>
      <c r="D364" s="251" t="s">
        <v>684</v>
      </c>
      <c r="I364" s="259"/>
      <c r="L364" s="31"/>
      <c r="M364" s="259"/>
      <c r="N364" s="32"/>
      <c r="O364" s="31"/>
      <c r="P364" s="31"/>
      <c r="Q364" s="32"/>
    </row>
    <row r="365" spans="1:20" x14ac:dyDescent="0.25">
      <c r="A365" s="255"/>
      <c r="E365" s="251" t="s">
        <v>921</v>
      </c>
      <c r="G365" s="251" t="s">
        <v>1264</v>
      </c>
      <c r="I365" s="258">
        <f>'Op Detail'!D1299</f>
        <v>46823</v>
      </c>
      <c r="J365" s="80"/>
      <c r="K365" s="80"/>
      <c r="L365" s="31"/>
      <c r="M365" s="258">
        <v>56375</v>
      </c>
      <c r="N365" s="31"/>
      <c r="O365" s="32"/>
      <c r="P365" s="31"/>
      <c r="Q365" s="32"/>
    </row>
    <row r="366" spans="1:20" x14ac:dyDescent="0.25">
      <c r="A366" s="256"/>
      <c r="B366" s="191"/>
      <c r="C366" s="39"/>
      <c r="D366" s="39"/>
      <c r="E366" s="252" t="s">
        <v>922</v>
      </c>
      <c r="F366" s="39"/>
      <c r="G366" s="252" t="s">
        <v>1123</v>
      </c>
      <c r="H366" s="39"/>
      <c r="I366" s="258">
        <f>Salaries!AY378</f>
        <v>148313.76</v>
      </c>
      <c r="J366" s="80"/>
      <c r="K366" s="80">
        <f>I365+I366</f>
        <v>195136.76</v>
      </c>
      <c r="L366" s="31"/>
      <c r="M366" s="258">
        <v>147911.45000000001</v>
      </c>
      <c r="N366" s="31"/>
      <c r="O366" s="32">
        <v>204286</v>
      </c>
      <c r="P366" s="31"/>
      <c r="Q366" s="32">
        <f>K366-O366</f>
        <v>-9149</v>
      </c>
      <c r="T366" s="210"/>
    </row>
    <row r="367" spans="1:20" x14ac:dyDescent="0.25">
      <c r="A367" s="251"/>
      <c r="B367" s="55"/>
      <c r="D367" s="251" t="s">
        <v>140</v>
      </c>
      <c r="I367" s="259"/>
      <c r="L367" s="31"/>
      <c r="M367" s="259"/>
      <c r="N367" s="31"/>
      <c r="O367" s="31"/>
      <c r="P367" s="31"/>
      <c r="Q367" s="32"/>
    </row>
    <row r="368" spans="1:20" x14ac:dyDescent="0.25">
      <c r="A368" s="255"/>
      <c r="E368" s="251" t="s">
        <v>924</v>
      </c>
      <c r="G368" s="251" t="s">
        <v>1264</v>
      </c>
      <c r="I368" s="258">
        <f>'Op Detail'!D1332</f>
        <v>21750</v>
      </c>
      <c r="J368" s="80"/>
      <c r="K368" s="80"/>
      <c r="L368" s="31"/>
      <c r="M368" s="258">
        <v>8900</v>
      </c>
      <c r="N368" s="31"/>
      <c r="O368" s="32"/>
      <c r="P368" s="32"/>
      <c r="Q368" s="32"/>
    </row>
    <row r="369" spans="1:20" x14ac:dyDescent="0.25">
      <c r="A369" s="256"/>
      <c r="B369" s="191"/>
      <c r="E369" s="251" t="s">
        <v>925</v>
      </c>
      <c r="G369" s="251" t="s">
        <v>1123</v>
      </c>
      <c r="I369" s="258">
        <f>Salaries!AO378</f>
        <v>141422.16</v>
      </c>
      <c r="J369" s="80"/>
      <c r="K369" s="80">
        <f>I368+I369</f>
        <v>163172.16</v>
      </c>
      <c r="L369" s="31"/>
      <c r="M369" s="258">
        <v>58985.47</v>
      </c>
      <c r="N369" s="31"/>
      <c r="O369" s="32">
        <v>67885</v>
      </c>
      <c r="P369" s="31"/>
      <c r="Q369" s="32">
        <f>K369-O369</f>
        <v>95287</v>
      </c>
      <c r="R369" s="39"/>
      <c r="T369" s="210"/>
    </row>
    <row r="370" spans="1:20" x14ac:dyDescent="0.25">
      <c r="A370" s="255"/>
      <c r="D370" s="251" t="s">
        <v>833</v>
      </c>
      <c r="I370" s="258"/>
      <c r="J370" s="80"/>
      <c r="K370" s="80"/>
      <c r="L370" s="31"/>
      <c r="M370" s="258"/>
      <c r="N370" s="31"/>
      <c r="O370" s="32"/>
      <c r="P370" s="31"/>
      <c r="Q370" s="32"/>
    </row>
    <row r="371" spans="1:20" x14ac:dyDescent="0.25">
      <c r="A371" s="251"/>
      <c r="B371" s="55"/>
      <c r="E371" s="251" t="s">
        <v>1052</v>
      </c>
      <c r="G371" s="251" t="s">
        <v>1264</v>
      </c>
      <c r="I371" s="258">
        <f>'Op Detail'!D4549</f>
        <v>8480</v>
      </c>
      <c r="J371" s="80"/>
      <c r="K371" s="80"/>
      <c r="L371" s="31"/>
      <c r="M371" s="258">
        <v>10800</v>
      </c>
      <c r="N371" s="31"/>
      <c r="O371" s="32"/>
      <c r="P371" s="31"/>
      <c r="Q371" s="32"/>
    </row>
    <row r="372" spans="1:20" x14ac:dyDescent="0.25">
      <c r="A372" s="255"/>
      <c r="E372" s="251" t="s">
        <v>906</v>
      </c>
      <c r="G372" s="251" t="s">
        <v>1123</v>
      </c>
      <c r="I372" s="258">
        <f>Salaries!CX378</f>
        <v>115141.27</v>
      </c>
      <c r="J372" s="80"/>
      <c r="K372" s="80">
        <f>I372+I371</f>
        <v>123621.27</v>
      </c>
      <c r="L372" s="31"/>
      <c r="M372" s="258">
        <v>124210.18</v>
      </c>
      <c r="N372" s="31"/>
      <c r="O372" s="32">
        <v>135010</v>
      </c>
      <c r="P372" s="31"/>
      <c r="Q372" s="32">
        <f>K372-O372</f>
        <v>-11389</v>
      </c>
      <c r="T372" s="210"/>
    </row>
    <row r="373" spans="1:20" x14ac:dyDescent="0.25">
      <c r="A373" s="251"/>
      <c r="B373" s="55"/>
      <c r="D373" s="251" t="s">
        <v>685</v>
      </c>
      <c r="I373" s="258"/>
      <c r="K373" s="80"/>
      <c r="L373" s="31"/>
      <c r="M373" s="258"/>
      <c r="N373" s="31"/>
      <c r="O373" s="32"/>
      <c r="P373" s="31"/>
      <c r="Q373" s="32"/>
    </row>
    <row r="374" spans="1:20" x14ac:dyDescent="0.25">
      <c r="A374" s="255"/>
      <c r="E374" s="251" t="s">
        <v>926</v>
      </c>
      <c r="G374" s="251" t="s">
        <v>1264</v>
      </c>
      <c r="I374" s="259">
        <f>'Op Detail'!D1343</f>
        <v>25000</v>
      </c>
      <c r="K374" s="80">
        <f>I374</f>
        <v>25000</v>
      </c>
      <c r="L374" s="31"/>
      <c r="M374" s="259">
        <v>17500</v>
      </c>
      <c r="N374" s="31"/>
      <c r="O374" s="32">
        <v>17500</v>
      </c>
      <c r="P374" s="31"/>
      <c r="Q374" s="32">
        <f>K374-O374</f>
        <v>7500</v>
      </c>
    </row>
    <row r="375" spans="1:20" x14ac:dyDescent="0.25">
      <c r="A375" s="251"/>
      <c r="B375" s="55"/>
      <c r="D375" s="251" t="s">
        <v>686</v>
      </c>
      <c r="I375" s="258"/>
      <c r="K375" s="80"/>
      <c r="L375" s="31"/>
      <c r="M375" s="258"/>
      <c r="N375" s="31"/>
      <c r="O375" s="32"/>
      <c r="P375" s="31"/>
      <c r="Q375" s="32"/>
    </row>
    <row r="376" spans="1:20" x14ac:dyDescent="0.25">
      <c r="A376" s="255"/>
      <c r="E376" s="251" t="s">
        <v>927</v>
      </c>
      <c r="G376" s="251" t="s">
        <v>1264</v>
      </c>
      <c r="I376" s="258">
        <f>'Op Detail'!D1355</f>
        <v>16900</v>
      </c>
      <c r="K376" s="80">
        <f>I376</f>
        <v>16900</v>
      </c>
      <c r="L376" s="31"/>
      <c r="M376" s="258">
        <v>16800</v>
      </c>
      <c r="N376" s="31"/>
      <c r="O376" s="32">
        <v>16800</v>
      </c>
      <c r="P376" s="31"/>
      <c r="Q376" s="32">
        <f>K376-O376</f>
        <v>100</v>
      </c>
    </row>
    <row r="377" spans="1:20" x14ac:dyDescent="0.25">
      <c r="A377" s="252"/>
      <c r="B377" s="190"/>
      <c r="D377" s="251" t="s">
        <v>687</v>
      </c>
      <c r="I377" s="258"/>
      <c r="K377" s="80"/>
      <c r="L377" s="31"/>
      <c r="M377" s="258"/>
      <c r="N377" s="31"/>
      <c r="O377" s="32"/>
      <c r="P377" s="31"/>
      <c r="Q377" s="32"/>
    </row>
    <row r="378" spans="1:20" x14ac:dyDescent="0.25">
      <c r="A378" s="255"/>
      <c r="E378" s="251" t="s">
        <v>928</v>
      </c>
      <c r="G378" s="251" t="s">
        <v>1264</v>
      </c>
      <c r="I378" s="258">
        <f>'Op Detail'!D1367</f>
        <v>8550</v>
      </c>
      <c r="K378" s="80">
        <f>I378</f>
        <v>8550</v>
      </c>
      <c r="L378" s="31"/>
      <c r="M378" s="258">
        <v>10500</v>
      </c>
      <c r="N378" s="31"/>
      <c r="O378" s="32">
        <v>10500</v>
      </c>
      <c r="P378" s="31"/>
      <c r="Q378" s="32">
        <f>K378-O378</f>
        <v>-1950</v>
      </c>
    </row>
    <row r="379" spans="1:20" x14ac:dyDescent="0.25">
      <c r="A379" s="251"/>
      <c r="B379" s="55"/>
      <c r="D379" s="251" t="s">
        <v>688</v>
      </c>
      <c r="I379" s="258"/>
      <c r="K379" s="80"/>
      <c r="L379" s="31"/>
      <c r="M379" s="258"/>
      <c r="N379" s="31"/>
      <c r="O379" s="32"/>
      <c r="P379" s="31"/>
      <c r="Q379" s="32"/>
    </row>
    <row r="380" spans="1:20" x14ac:dyDescent="0.25">
      <c r="A380" s="255"/>
      <c r="E380" s="251" t="s">
        <v>929</v>
      </c>
      <c r="G380" s="251" t="s">
        <v>1264</v>
      </c>
      <c r="I380" s="258">
        <f>'Op Detail'!D1391</f>
        <v>15150</v>
      </c>
      <c r="K380" s="80">
        <f>I380</f>
        <v>15150</v>
      </c>
      <c r="L380" s="31"/>
      <c r="M380" s="258">
        <v>30150</v>
      </c>
      <c r="N380" s="31"/>
      <c r="O380" s="32">
        <v>30150</v>
      </c>
      <c r="P380" s="31"/>
      <c r="Q380" s="32">
        <f>K380-O380</f>
        <v>-15000</v>
      </c>
    </row>
    <row r="381" spans="1:20" x14ac:dyDescent="0.25">
      <c r="A381" s="251"/>
      <c r="B381" s="55"/>
      <c r="D381" s="251" t="s">
        <v>689</v>
      </c>
      <c r="I381" s="258"/>
      <c r="K381" s="259" t="s">
        <v>342</v>
      </c>
      <c r="L381" s="31"/>
      <c r="M381" s="258"/>
      <c r="N381" s="31"/>
      <c r="O381" s="254" t="s">
        <v>342</v>
      </c>
      <c r="P381" s="31"/>
      <c r="Q381" s="32"/>
    </row>
    <row r="382" spans="1:20" x14ac:dyDescent="0.25">
      <c r="A382" s="255"/>
      <c r="E382" s="251" t="s">
        <v>930</v>
      </c>
      <c r="G382" s="251" t="s">
        <v>1264</v>
      </c>
      <c r="I382" s="260">
        <f>'Op Detail'!D1414</f>
        <v>3000</v>
      </c>
      <c r="K382" s="80">
        <f>I382</f>
        <v>3000</v>
      </c>
      <c r="L382" s="31"/>
      <c r="M382" s="260">
        <v>5000</v>
      </c>
      <c r="N382" s="31"/>
      <c r="O382" s="32">
        <v>5000</v>
      </c>
      <c r="P382" s="31"/>
      <c r="Q382" s="32">
        <f>K382-O382</f>
        <v>-2000</v>
      </c>
    </row>
    <row r="383" spans="1:20" x14ac:dyDescent="0.25">
      <c r="A383" s="251"/>
      <c r="B383" s="55"/>
      <c r="D383" s="251" t="s">
        <v>690</v>
      </c>
      <c r="I383" s="259"/>
      <c r="L383" s="31"/>
      <c r="M383" s="259"/>
      <c r="N383" s="31"/>
      <c r="O383" s="31"/>
      <c r="P383" s="31"/>
      <c r="Q383" s="32"/>
    </row>
    <row r="384" spans="1:20" x14ac:dyDescent="0.25">
      <c r="A384" s="255"/>
      <c r="E384" s="251" t="s">
        <v>1083</v>
      </c>
      <c r="G384" s="251" t="s">
        <v>1264</v>
      </c>
      <c r="I384" s="258">
        <f>+'Op Detail'!D1429</f>
        <v>0</v>
      </c>
      <c r="J384" s="80"/>
      <c r="K384" s="80">
        <f>I384</f>
        <v>0</v>
      </c>
      <c r="L384" s="31"/>
      <c r="M384" s="258">
        <v>500</v>
      </c>
      <c r="N384" s="31"/>
      <c r="O384" s="32">
        <v>500</v>
      </c>
      <c r="P384" s="31"/>
      <c r="Q384" s="32">
        <f>K384-O384</f>
        <v>-500</v>
      </c>
    </row>
    <row r="385" spans="1:20" x14ac:dyDescent="0.25">
      <c r="A385" s="251"/>
      <c r="B385" s="55"/>
      <c r="D385" s="251" t="s">
        <v>691</v>
      </c>
      <c r="I385" s="258"/>
      <c r="K385" s="80"/>
      <c r="L385" s="31"/>
      <c r="M385" s="258"/>
      <c r="N385" s="31"/>
      <c r="O385" s="32"/>
      <c r="P385" s="31"/>
      <c r="Q385" s="32"/>
    </row>
    <row r="386" spans="1:20" x14ac:dyDescent="0.25">
      <c r="A386" s="255"/>
      <c r="E386" s="251" t="s">
        <v>1084</v>
      </c>
      <c r="G386" s="251" t="s">
        <v>1264</v>
      </c>
      <c r="I386" s="258">
        <f>'Op Detail'!D1441</f>
        <v>5200</v>
      </c>
      <c r="K386" s="80">
        <f>I386</f>
        <v>5200</v>
      </c>
      <c r="L386" s="31"/>
      <c r="M386" s="258">
        <v>19000</v>
      </c>
      <c r="N386" s="31"/>
      <c r="O386" s="32">
        <v>19000</v>
      </c>
      <c r="P386" s="31"/>
      <c r="Q386" s="32">
        <f>K386-O386</f>
        <v>-13800</v>
      </c>
    </row>
    <row r="387" spans="1:20" x14ac:dyDescent="0.25">
      <c r="A387" s="251"/>
      <c r="B387" s="55"/>
      <c r="D387" s="251" t="s">
        <v>692</v>
      </c>
      <c r="E387" s="186"/>
      <c r="F387" s="186"/>
      <c r="G387" s="186"/>
      <c r="H387" s="186"/>
      <c r="I387" s="258"/>
      <c r="J387" s="80"/>
      <c r="K387" s="80"/>
      <c r="L387" s="32"/>
      <c r="M387" s="258"/>
      <c r="N387" s="32"/>
      <c r="O387" s="32"/>
      <c r="P387" s="32"/>
      <c r="Q387" s="32"/>
      <c r="R387" s="186"/>
      <c r="S387" s="80"/>
    </row>
    <row r="388" spans="1:20" x14ac:dyDescent="0.25">
      <c r="A388" s="255"/>
      <c r="E388" s="251" t="s">
        <v>355</v>
      </c>
      <c r="G388" s="251" t="s">
        <v>1123</v>
      </c>
      <c r="I388" s="258">
        <f>Salaries!AM378</f>
        <v>0</v>
      </c>
      <c r="K388" s="80"/>
      <c r="L388" s="31"/>
      <c r="M388" s="258">
        <v>0</v>
      </c>
      <c r="N388" s="31"/>
      <c r="O388" s="32"/>
      <c r="P388" s="31"/>
      <c r="Q388" s="254" t="s">
        <v>342</v>
      </c>
      <c r="T388" s="210"/>
    </row>
    <row r="389" spans="1:20" x14ac:dyDescent="0.25">
      <c r="A389" s="255"/>
      <c r="E389" s="251" t="s">
        <v>1085</v>
      </c>
      <c r="G389" s="251" t="s">
        <v>1264</v>
      </c>
      <c r="I389" s="258">
        <f>'Op Detail'!D1458</f>
        <v>5220</v>
      </c>
      <c r="K389" s="80">
        <f>I388+I389</f>
        <v>5220</v>
      </c>
      <c r="L389" s="31"/>
      <c r="M389" s="258">
        <v>3220</v>
      </c>
      <c r="N389" s="31"/>
      <c r="O389" s="32">
        <v>3220</v>
      </c>
      <c r="P389" s="31"/>
      <c r="Q389" s="32">
        <f>K389-O389</f>
        <v>2000</v>
      </c>
    </row>
    <row r="390" spans="1:20" x14ac:dyDescent="0.25">
      <c r="A390" s="251"/>
      <c r="B390" s="55"/>
      <c r="D390" s="251" t="s">
        <v>695</v>
      </c>
      <c r="I390" s="258"/>
      <c r="K390" s="80"/>
      <c r="L390" s="31"/>
      <c r="M390" s="258"/>
      <c r="N390" s="31"/>
      <c r="O390" s="32"/>
      <c r="P390" s="31"/>
      <c r="Q390" s="32"/>
    </row>
    <row r="391" spans="1:20" x14ac:dyDescent="0.25">
      <c r="A391" s="255"/>
      <c r="E391" s="251" t="s">
        <v>1087</v>
      </c>
      <c r="G391" s="251" t="s">
        <v>1264</v>
      </c>
      <c r="I391" s="260">
        <f>'Op Detail'!D1518</f>
        <v>86342.04</v>
      </c>
      <c r="L391" s="31"/>
      <c r="M391" s="260">
        <v>56392.04</v>
      </c>
      <c r="N391" s="31"/>
      <c r="O391" s="31"/>
      <c r="P391" s="31"/>
      <c r="Q391" s="32"/>
    </row>
    <row r="392" spans="1:20" x14ac:dyDescent="0.25">
      <c r="A392" s="255"/>
      <c r="E392" s="251" t="s">
        <v>1088</v>
      </c>
      <c r="G392" s="251" t="s">
        <v>1123</v>
      </c>
      <c r="I392" s="258">
        <f>Salaries!AH378</f>
        <v>71175.44</v>
      </c>
      <c r="K392" s="80">
        <f>I391+I392</f>
        <v>157517.48000000001</v>
      </c>
      <c r="L392" s="31"/>
      <c r="M392" s="258">
        <v>69601.27</v>
      </c>
      <c r="N392" s="31"/>
      <c r="O392" s="32">
        <v>125993</v>
      </c>
      <c r="P392" s="31"/>
      <c r="Q392" s="32">
        <f>K392-O392</f>
        <v>31524</v>
      </c>
      <c r="T392" s="210"/>
    </row>
    <row r="393" spans="1:20" x14ac:dyDescent="0.25">
      <c r="A393" s="251"/>
      <c r="B393" s="55"/>
      <c r="D393" s="251" t="s">
        <v>693</v>
      </c>
      <c r="I393" s="258"/>
      <c r="K393" s="80"/>
      <c r="L393" s="31"/>
      <c r="M393" s="258"/>
      <c r="N393" s="31"/>
      <c r="O393" s="32"/>
      <c r="P393" s="31"/>
      <c r="Q393" s="32"/>
    </row>
    <row r="394" spans="1:20" x14ac:dyDescent="0.25">
      <c r="A394" s="255"/>
      <c r="E394" s="251" t="s">
        <v>1086</v>
      </c>
      <c r="G394" s="251" t="s">
        <v>1264</v>
      </c>
      <c r="I394" s="260">
        <f>'Op Detail'!D1475</f>
        <v>21400</v>
      </c>
      <c r="K394" s="80">
        <f>I394</f>
        <v>21400</v>
      </c>
      <c r="L394" s="31"/>
      <c r="M394" s="260">
        <v>20250</v>
      </c>
      <c r="N394" s="31"/>
      <c r="O394" s="32">
        <v>20250</v>
      </c>
      <c r="P394" s="31"/>
      <c r="Q394" s="32">
        <f>K394-O394</f>
        <v>1150</v>
      </c>
    </row>
    <row r="395" spans="1:20" x14ac:dyDescent="0.25">
      <c r="A395" s="251"/>
      <c r="B395" s="55"/>
      <c r="D395" s="251" t="s">
        <v>696</v>
      </c>
      <c r="I395" s="258"/>
      <c r="K395" s="259" t="s">
        <v>342</v>
      </c>
      <c r="L395" s="31"/>
      <c r="M395" s="258"/>
      <c r="N395" s="31"/>
      <c r="O395" s="254" t="s">
        <v>342</v>
      </c>
      <c r="P395" s="31"/>
      <c r="Q395" s="32"/>
    </row>
    <row r="396" spans="1:20" x14ac:dyDescent="0.25">
      <c r="A396" s="255"/>
      <c r="E396" s="251" t="s">
        <v>1089</v>
      </c>
      <c r="G396" s="251" t="s">
        <v>1264</v>
      </c>
      <c r="I396" s="259">
        <f>'Op Detail'!D1539</f>
        <v>0</v>
      </c>
      <c r="K396" s="259" t="s">
        <v>342</v>
      </c>
      <c r="L396" s="31"/>
      <c r="M396" s="259">
        <v>0</v>
      </c>
      <c r="N396" s="31"/>
      <c r="O396" s="254" t="s">
        <v>342</v>
      </c>
      <c r="P396" s="31"/>
      <c r="Q396" s="32"/>
    </row>
    <row r="397" spans="1:20" x14ac:dyDescent="0.25">
      <c r="A397" s="255"/>
      <c r="E397" s="251" t="s">
        <v>1090</v>
      </c>
      <c r="G397" s="251" t="s">
        <v>1123</v>
      </c>
      <c r="I397" s="258">
        <f>Salaries!AI378</f>
        <v>0</v>
      </c>
      <c r="K397" s="80">
        <f>I396+I397</f>
        <v>0</v>
      </c>
      <c r="L397" s="31"/>
      <c r="M397" s="258">
        <v>0</v>
      </c>
      <c r="N397" s="31"/>
      <c r="O397" s="32">
        <v>0</v>
      </c>
      <c r="P397" s="31"/>
      <c r="Q397" s="32">
        <f>K397-O397</f>
        <v>0</v>
      </c>
    </row>
    <row r="398" spans="1:20" x14ac:dyDescent="0.25">
      <c r="A398" s="251"/>
      <c r="B398" s="55"/>
      <c r="D398" s="251" t="s">
        <v>1706</v>
      </c>
      <c r="I398" s="258"/>
      <c r="K398" s="80"/>
      <c r="L398" s="31"/>
      <c r="M398" s="258"/>
      <c r="N398" s="31"/>
      <c r="O398" s="32"/>
      <c r="P398" s="31"/>
      <c r="Q398" s="32"/>
    </row>
    <row r="399" spans="1:20" x14ac:dyDescent="0.25">
      <c r="A399" s="251"/>
      <c r="B399" s="55"/>
      <c r="E399" s="251" t="s">
        <v>1092</v>
      </c>
      <c r="G399" s="251" t="s">
        <v>1264</v>
      </c>
      <c r="I399" s="260">
        <f>'Op Detail'!D1572</f>
        <v>360522.4</v>
      </c>
      <c r="L399" s="31"/>
      <c r="M399" s="260">
        <v>424300</v>
      </c>
      <c r="N399" s="31"/>
      <c r="O399" s="31"/>
      <c r="P399" s="31"/>
      <c r="Q399" s="32"/>
    </row>
    <row r="400" spans="1:20" x14ac:dyDescent="0.25">
      <c r="A400" s="255"/>
      <c r="E400" s="257" t="s">
        <v>1990</v>
      </c>
      <c r="G400" s="251" t="s">
        <v>1123</v>
      </c>
      <c r="I400" s="258">
        <f>Salaries!AJ378</f>
        <v>200839.54</v>
      </c>
      <c r="K400" s="80">
        <f>I399+I400</f>
        <v>561361.93999999994</v>
      </c>
      <c r="L400" s="31"/>
      <c r="M400" s="258">
        <v>203379.74</v>
      </c>
      <c r="N400" s="31"/>
      <c r="O400" s="32">
        <v>627680</v>
      </c>
      <c r="P400" s="31"/>
      <c r="Q400" s="32">
        <f>K400-O400</f>
        <v>-66318</v>
      </c>
      <c r="T400" s="210"/>
    </row>
    <row r="401" spans="1:20" x14ac:dyDescent="0.25">
      <c r="A401" s="255"/>
      <c r="D401" s="255" t="s">
        <v>2877</v>
      </c>
      <c r="E401" s="257"/>
      <c r="G401" s="251"/>
      <c r="I401" s="258"/>
      <c r="K401" s="80"/>
      <c r="L401" s="31"/>
      <c r="M401" s="258"/>
      <c r="N401" s="31"/>
      <c r="O401" s="32"/>
      <c r="P401" s="31"/>
      <c r="Q401" s="32"/>
      <c r="T401" s="210"/>
    </row>
    <row r="402" spans="1:20" x14ac:dyDescent="0.25">
      <c r="A402" s="255"/>
      <c r="E402" s="251" t="s">
        <v>2880</v>
      </c>
      <c r="G402" s="34" t="s">
        <v>1264</v>
      </c>
      <c r="I402" s="258">
        <f>+'Op Detail'!D6668</f>
        <v>218000</v>
      </c>
      <c r="K402" s="80">
        <f>+I402</f>
        <v>218000</v>
      </c>
      <c r="L402" s="31"/>
      <c r="M402" s="258">
        <v>156000</v>
      </c>
      <c r="N402" s="31"/>
      <c r="O402" s="32">
        <v>156000</v>
      </c>
      <c r="P402" s="31"/>
      <c r="Q402" s="32">
        <f>K402-O402</f>
        <v>62000</v>
      </c>
      <c r="T402" s="210"/>
    </row>
    <row r="403" spans="1:20" x14ac:dyDescent="0.25">
      <c r="A403" s="251"/>
      <c r="B403" s="55"/>
      <c r="D403" s="34" t="s">
        <v>912</v>
      </c>
      <c r="I403" s="259"/>
      <c r="L403" s="31"/>
      <c r="M403" s="259"/>
      <c r="N403" s="31"/>
      <c r="O403" s="31"/>
      <c r="P403" s="31"/>
      <c r="Q403" s="32"/>
    </row>
    <row r="404" spans="1:20" x14ac:dyDescent="0.25">
      <c r="A404" s="251"/>
      <c r="B404" s="55"/>
      <c r="E404" s="34" t="s">
        <v>1082</v>
      </c>
      <c r="G404" s="34" t="s">
        <v>1264</v>
      </c>
      <c r="I404" s="259">
        <f>'Op Detail'!E3499</f>
        <v>99760</v>
      </c>
      <c r="M404" s="259">
        <v>124000</v>
      </c>
    </row>
    <row r="405" spans="1:20" x14ac:dyDescent="0.25">
      <c r="A405" s="251"/>
      <c r="B405" s="55"/>
      <c r="E405" s="34" t="s">
        <v>923</v>
      </c>
      <c r="G405" s="34" t="s">
        <v>1123</v>
      </c>
      <c r="I405" s="259">
        <f>Salaries!AU378</f>
        <v>58793.03</v>
      </c>
      <c r="K405" s="79">
        <f>I404+I405</f>
        <v>158553.03</v>
      </c>
      <c r="L405" s="31"/>
      <c r="M405" s="259">
        <v>26340.38</v>
      </c>
      <c r="N405" s="31"/>
      <c r="O405" s="31">
        <v>150340</v>
      </c>
      <c r="P405" s="31"/>
      <c r="Q405" s="32">
        <f>K405-O405</f>
        <v>8213</v>
      </c>
      <c r="T405" s="210"/>
    </row>
    <row r="406" spans="1:20" x14ac:dyDescent="0.25">
      <c r="A406" s="251"/>
      <c r="B406" s="55"/>
      <c r="D406" s="34" t="s">
        <v>141</v>
      </c>
      <c r="E406" s="251"/>
      <c r="G406" s="251"/>
      <c r="I406" s="258"/>
      <c r="K406" s="80"/>
      <c r="L406" s="31"/>
      <c r="M406" s="258"/>
      <c r="N406" s="31"/>
      <c r="O406" s="32"/>
      <c r="P406" s="31"/>
      <c r="Q406" s="32"/>
    </row>
    <row r="407" spans="1:20" x14ac:dyDescent="0.25">
      <c r="A407" s="255"/>
      <c r="E407" s="251" t="s">
        <v>1091</v>
      </c>
      <c r="G407" s="251" t="s">
        <v>1264</v>
      </c>
      <c r="I407" s="258">
        <f>'Op Detail'!D1604+'Op Detail'!E1604</f>
        <v>0</v>
      </c>
      <c r="K407" s="80"/>
      <c r="L407" s="31"/>
      <c r="M407" s="258">
        <v>0</v>
      </c>
      <c r="N407" s="31"/>
      <c r="O407" s="32"/>
      <c r="P407" s="31"/>
      <c r="Q407" s="32"/>
    </row>
    <row r="408" spans="1:20" x14ac:dyDescent="0.25">
      <c r="A408" s="255"/>
      <c r="E408" s="251" t="s">
        <v>1424</v>
      </c>
      <c r="G408" s="251" t="s">
        <v>1123</v>
      </c>
      <c r="I408" s="258">
        <f>Salaries!AK378</f>
        <v>0</v>
      </c>
      <c r="K408" s="80">
        <f>I407+I408</f>
        <v>0</v>
      </c>
      <c r="L408" s="31"/>
      <c r="M408" s="258">
        <v>0</v>
      </c>
      <c r="N408" s="31"/>
      <c r="O408" s="32">
        <v>0</v>
      </c>
      <c r="P408" s="31"/>
      <c r="Q408" s="32">
        <f>K408-O408</f>
        <v>0</v>
      </c>
      <c r="T408" s="210"/>
    </row>
    <row r="409" spans="1:20" x14ac:dyDescent="0.25">
      <c r="A409" s="251"/>
      <c r="B409" s="55"/>
      <c r="D409" s="34" t="s">
        <v>697</v>
      </c>
      <c r="E409" s="251"/>
      <c r="G409" s="251"/>
      <c r="I409" s="258"/>
      <c r="K409" s="80"/>
      <c r="L409" s="31"/>
      <c r="M409" s="258"/>
      <c r="N409" s="31"/>
      <c r="O409" s="32"/>
      <c r="P409" s="31"/>
      <c r="Q409" s="32"/>
    </row>
    <row r="410" spans="1:20" x14ac:dyDescent="0.25">
      <c r="A410" s="255"/>
      <c r="E410" s="251" t="s">
        <v>1097</v>
      </c>
      <c r="G410" s="251" t="s">
        <v>1264</v>
      </c>
      <c r="I410" s="258">
        <f>'Op Detail'!D5046</f>
        <v>263878.71000000002</v>
      </c>
      <c r="K410" s="80"/>
      <c r="L410" s="31"/>
      <c r="M410" s="258">
        <v>263551.5</v>
      </c>
      <c r="N410" s="31"/>
      <c r="O410" s="32"/>
      <c r="P410" s="31"/>
      <c r="Q410" s="32"/>
    </row>
    <row r="411" spans="1:20" x14ac:dyDescent="0.25">
      <c r="A411" s="255"/>
      <c r="E411" s="251" t="s">
        <v>1098</v>
      </c>
      <c r="G411" s="251" t="s">
        <v>1123</v>
      </c>
      <c r="I411" s="258">
        <f>Salaries!AS378</f>
        <v>119227.73</v>
      </c>
      <c r="K411" s="80">
        <f>I410+I411</f>
        <v>383106.44</v>
      </c>
      <c r="L411" s="31"/>
      <c r="M411" s="258">
        <v>150257.49</v>
      </c>
      <c r="N411" s="31"/>
      <c r="O411" s="32">
        <v>413809</v>
      </c>
      <c r="P411" s="31"/>
      <c r="Q411" s="32">
        <f>K411-O411</f>
        <v>-30703</v>
      </c>
      <c r="T411" s="210"/>
    </row>
    <row r="412" spans="1:20" x14ac:dyDescent="0.25">
      <c r="A412" s="251"/>
      <c r="B412" s="55"/>
      <c r="D412" s="251" t="s">
        <v>699</v>
      </c>
      <c r="I412" s="258"/>
      <c r="K412" s="80"/>
      <c r="L412" s="31"/>
      <c r="M412" s="258"/>
      <c r="N412" s="31"/>
      <c r="O412" s="32"/>
      <c r="P412" s="31"/>
      <c r="Q412" s="32"/>
    </row>
    <row r="413" spans="1:20" x14ac:dyDescent="0.25">
      <c r="A413" s="255"/>
      <c r="E413" s="251" t="s">
        <v>1100</v>
      </c>
      <c r="G413" s="251" t="s">
        <v>1264</v>
      </c>
      <c r="I413" s="258">
        <f>'Op Detail'!D1631</f>
        <v>150050</v>
      </c>
      <c r="K413" s="80"/>
      <c r="L413" s="31"/>
      <c r="M413" s="258">
        <v>197120</v>
      </c>
      <c r="N413" s="31"/>
      <c r="O413" s="32"/>
      <c r="P413" s="31"/>
      <c r="Q413" s="32"/>
    </row>
    <row r="414" spans="1:20" x14ac:dyDescent="0.25">
      <c r="A414" s="255"/>
      <c r="E414" s="251" t="s">
        <v>1099</v>
      </c>
      <c r="G414" s="251" t="s">
        <v>1123</v>
      </c>
      <c r="I414" s="258">
        <f>Salaries!AL378</f>
        <v>29135</v>
      </c>
      <c r="K414" s="80">
        <f>I413+I414</f>
        <v>179185</v>
      </c>
      <c r="L414" s="31"/>
      <c r="M414" s="258">
        <v>28079.96</v>
      </c>
      <c r="N414" s="31"/>
      <c r="O414" s="32">
        <v>225200</v>
      </c>
      <c r="P414" s="31"/>
      <c r="Q414" s="32">
        <f>K414-O414</f>
        <v>-46015</v>
      </c>
      <c r="T414" s="210"/>
    </row>
    <row r="415" spans="1:20" x14ac:dyDescent="0.25">
      <c r="A415" s="255"/>
      <c r="C415" s="251" t="s">
        <v>700</v>
      </c>
      <c r="I415" s="258"/>
      <c r="J415" s="80"/>
      <c r="K415" s="80"/>
      <c r="L415" s="31"/>
      <c r="M415" s="258"/>
      <c r="N415" s="31"/>
      <c r="O415" s="32"/>
      <c r="P415" s="31"/>
      <c r="Q415" s="32"/>
    </row>
    <row r="416" spans="1:20" x14ac:dyDescent="0.25">
      <c r="A416" s="251"/>
      <c r="B416" s="55"/>
      <c r="D416" s="251" t="s">
        <v>880</v>
      </c>
      <c r="I416" s="259"/>
      <c r="J416" s="80"/>
      <c r="K416" s="80"/>
      <c r="L416" s="31"/>
      <c r="M416" s="259"/>
      <c r="N416" s="31"/>
      <c r="O416" s="32"/>
      <c r="P416" s="31"/>
      <c r="Q416" s="32"/>
    </row>
    <row r="417" spans="1:17" x14ac:dyDescent="0.25">
      <c r="A417" s="251"/>
      <c r="B417" s="55"/>
      <c r="E417" s="251" t="s">
        <v>1102</v>
      </c>
      <c r="G417" s="251" t="s">
        <v>1264</v>
      </c>
      <c r="I417" s="259">
        <f>'Op Detail'!D1675</f>
        <v>1154648</v>
      </c>
      <c r="J417" s="80"/>
      <c r="K417" s="80"/>
      <c r="L417" s="31"/>
      <c r="M417" s="259">
        <v>893961</v>
      </c>
      <c r="N417" s="31"/>
      <c r="O417" s="32"/>
      <c r="P417" s="31"/>
      <c r="Q417" s="32"/>
    </row>
    <row r="418" spans="1:17" x14ac:dyDescent="0.25">
      <c r="A418" s="251"/>
      <c r="B418" s="55"/>
      <c r="E418" s="251" t="s">
        <v>1103</v>
      </c>
      <c r="G418" s="251" t="s">
        <v>1264</v>
      </c>
      <c r="I418" s="258">
        <f>'Op Detail'!D1676</f>
        <v>1154648</v>
      </c>
      <c r="J418" s="80"/>
      <c r="K418" s="80">
        <f>I418+I417</f>
        <v>2309296</v>
      </c>
      <c r="L418" s="31"/>
      <c r="M418" s="258">
        <v>1560000</v>
      </c>
      <c r="N418" s="31"/>
      <c r="O418" s="32">
        <v>2453961</v>
      </c>
      <c r="P418" s="31"/>
      <c r="Q418" s="32">
        <f>K418-O418</f>
        <v>-144665</v>
      </c>
    </row>
    <row r="419" spans="1:17" x14ac:dyDescent="0.25">
      <c r="A419" s="251"/>
      <c r="B419" s="55"/>
      <c r="D419" s="251" t="s">
        <v>881</v>
      </c>
      <c r="I419" s="258"/>
      <c r="J419" s="80"/>
      <c r="K419" s="80"/>
      <c r="L419" s="31"/>
      <c r="M419" s="258"/>
      <c r="N419" s="31"/>
      <c r="O419" s="32"/>
      <c r="P419" s="31"/>
      <c r="Q419" s="32"/>
    </row>
    <row r="420" spans="1:17" x14ac:dyDescent="0.25">
      <c r="A420" s="251"/>
      <c r="B420" s="55"/>
      <c r="D420" s="251"/>
      <c r="E420" s="255" t="s">
        <v>2860</v>
      </c>
      <c r="G420" s="251" t="s">
        <v>2861</v>
      </c>
      <c r="I420" s="258">
        <f>+'Op Detail'!D1687</f>
        <v>260000</v>
      </c>
      <c r="J420" s="80"/>
      <c r="K420" s="80"/>
      <c r="L420" s="31"/>
      <c r="M420" s="258">
        <v>200000</v>
      </c>
      <c r="N420" s="31"/>
      <c r="O420" s="32"/>
      <c r="P420" s="31"/>
      <c r="Q420" s="32"/>
    </row>
    <row r="421" spans="1:17" x14ac:dyDescent="0.25">
      <c r="A421" s="251"/>
      <c r="B421" s="55"/>
      <c r="D421" s="251"/>
      <c r="E421" s="255" t="s">
        <v>3686</v>
      </c>
      <c r="G421" s="251" t="s">
        <v>2862</v>
      </c>
      <c r="I421" s="258">
        <f>+'Op Detail'!D1688</f>
        <v>200000</v>
      </c>
      <c r="J421" s="80"/>
      <c r="K421" s="80"/>
      <c r="L421" s="31"/>
      <c r="M421" s="258">
        <v>0</v>
      </c>
      <c r="N421" s="31"/>
      <c r="O421" s="32"/>
      <c r="P421" s="31"/>
      <c r="Q421" s="32"/>
    </row>
    <row r="422" spans="1:17" x14ac:dyDescent="0.25">
      <c r="A422" s="255"/>
      <c r="E422" s="251" t="s">
        <v>1104</v>
      </c>
      <c r="G422" s="251" t="s">
        <v>1264</v>
      </c>
      <c r="I422" s="260">
        <f>+'Op Detail'!D1689</f>
        <v>460000</v>
      </c>
      <c r="J422" s="80"/>
      <c r="K422" s="80">
        <f>SUM(I420:I422)</f>
        <v>920000</v>
      </c>
      <c r="L422" s="31"/>
      <c r="M422" s="260">
        <v>438000</v>
      </c>
      <c r="N422" s="31"/>
      <c r="O422" s="32">
        <v>638000</v>
      </c>
      <c r="P422" s="31"/>
      <c r="Q422" s="32">
        <f>K422-O422</f>
        <v>282000</v>
      </c>
    </row>
    <row r="423" spans="1:17" x14ac:dyDescent="0.25">
      <c r="A423" s="251"/>
      <c r="B423" s="55"/>
      <c r="D423" s="251" t="s">
        <v>882</v>
      </c>
      <c r="I423" s="258"/>
      <c r="J423" s="80"/>
      <c r="K423" s="80"/>
      <c r="L423" s="31"/>
      <c r="M423" s="258"/>
      <c r="N423" s="31"/>
      <c r="O423" s="32"/>
      <c r="P423" s="31"/>
      <c r="Q423" s="32"/>
    </row>
    <row r="424" spans="1:17" x14ac:dyDescent="0.25">
      <c r="A424" s="255"/>
      <c r="E424" s="251" t="s">
        <v>1105</v>
      </c>
      <c r="G424" s="251" t="s">
        <v>1264</v>
      </c>
      <c r="I424" s="259">
        <f>'Op Detail'!D1702</f>
        <v>260000</v>
      </c>
      <c r="J424" s="80"/>
      <c r="K424" s="80">
        <f>I424</f>
        <v>260000</v>
      </c>
      <c r="L424" s="31"/>
      <c r="M424" s="259">
        <v>260000</v>
      </c>
      <c r="N424" s="31"/>
      <c r="O424" s="32">
        <v>260000</v>
      </c>
      <c r="P424" s="31"/>
      <c r="Q424" s="32">
        <f>K424-O424</f>
        <v>0</v>
      </c>
    </row>
    <row r="425" spans="1:17" x14ac:dyDescent="0.25">
      <c r="A425" s="251"/>
      <c r="B425" s="55"/>
      <c r="D425" s="251" t="s">
        <v>883</v>
      </c>
      <c r="I425" s="258"/>
      <c r="J425" s="80"/>
      <c r="K425" s="80"/>
      <c r="L425" s="31"/>
      <c r="M425" s="258"/>
      <c r="N425" s="31"/>
      <c r="O425" s="32"/>
      <c r="P425" s="31"/>
      <c r="Q425" s="32"/>
    </row>
    <row r="426" spans="1:17" x14ac:dyDescent="0.25">
      <c r="A426" s="255"/>
      <c r="E426" s="251" t="s">
        <v>1589</v>
      </c>
      <c r="G426" s="251" t="s">
        <v>1264</v>
      </c>
      <c r="I426" s="258">
        <f>'Op Detail'!D1713</f>
        <v>15000</v>
      </c>
      <c r="J426" s="80"/>
      <c r="K426" s="80">
        <f>I426</f>
        <v>15000</v>
      </c>
      <c r="L426" s="31"/>
      <c r="M426" s="258">
        <v>15000</v>
      </c>
      <c r="N426" s="31"/>
      <c r="O426" s="32">
        <v>15000</v>
      </c>
      <c r="P426" s="31"/>
      <c r="Q426" s="32">
        <f>K426-O426</f>
        <v>0</v>
      </c>
    </row>
    <row r="427" spans="1:17" x14ac:dyDescent="0.25">
      <c r="A427" s="251"/>
      <c r="B427" s="55"/>
      <c r="D427" s="251" t="s">
        <v>884</v>
      </c>
      <c r="I427" s="258"/>
      <c r="J427" s="80"/>
      <c r="K427" s="80"/>
      <c r="L427" s="31"/>
      <c r="M427" s="258"/>
      <c r="N427" s="31"/>
      <c r="O427" s="32"/>
      <c r="P427" s="31"/>
      <c r="Q427" s="32"/>
    </row>
    <row r="428" spans="1:17" x14ac:dyDescent="0.25">
      <c r="A428" s="255"/>
      <c r="E428" s="251" t="s">
        <v>1106</v>
      </c>
      <c r="G428" s="251" t="s">
        <v>1264</v>
      </c>
      <c r="I428" s="258">
        <f>'Op Detail'!D1724</f>
        <v>50000</v>
      </c>
      <c r="J428" s="80"/>
      <c r="K428" s="80">
        <f>I428</f>
        <v>50000</v>
      </c>
      <c r="L428" s="31"/>
      <c r="M428" s="258">
        <v>50000</v>
      </c>
      <c r="N428" s="31"/>
      <c r="O428" s="32">
        <v>50000</v>
      </c>
      <c r="P428" s="31"/>
      <c r="Q428" s="32">
        <f>K428-O428</f>
        <v>0</v>
      </c>
    </row>
    <row r="429" spans="1:17" x14ac:dyDescent="0.25">
      <c r="A429" s="255"/>
      <c r="I429" s="258"/>
      <c r="J429" s="80"/>
      <c r="K429" s="80"/>
      <c r="L429" s="31"/>
      <c r="M429" s="258"/>
      <c r="N429" s="31"/>
      <c r="O429" s="32"/>
      <c r="P429" s="31"/>
      <c r="Q429" s="32"/>
    </row>
    <row r="430" spans="1:17" x14ac:dyDescent="0.25">
      <c r="A430" s="255"/>
      <c r="B430" s="54" t="s">
        <v>1525</v>
      </c>
      <c r="I430" s="259"/>
      <c r="M430" s="259"/>
    </row>
    <row r="431" spans="1:17" x14ac:dyDescent="0.25">
      <c r="A431" s="268"/>
      <c r="B431" s="185"/>
      <c r="D431" s="251" t="s">
        <v>831</v>
      </c>
      <c r="I431" s="258"/>
      <c r="J431" s="80"/>
      <c r="K431" s="80"/>
      <c r="L431" s="31"/>
      <c r="M431" s="258"/>
      <c r="N431" s="31"/>
      <c r="O431" s="32"/>
      <c r="P431" s="31"/>
      <c r="Q431" s="32"/>
    </row>
    <row r="432" spans="1:17" x14ac:dyDescent="0.25">
      <c r="A432" s="251"/>
      <c r="B432" s="55"/>
      <c r="E432" s="251" t="s">
        <v>1048</v>
      </c>
      <c r="G432" s="251" t="s">
        <v>1264</v>
      </c>
      <c r="I432" s="258">
        <f>'Op Detail'!D4495</f>
        <v>125649</v>
      </c>
      <c r="J432" s="80"/>
      <c r="K432" s="259" t="s">
        <v>342</v>
      </c>
      <c r="L432" s="31"/>
      <c r="M432" s="258">
        <v>141000</v>
      </c>
      <c r="N432" s="31"/>
      <c r="O432" s="254" t="s">
        <v>342</v>
      </c>
      <c r="P432" s="31"/>
      <c r="Q432" s="32"/>
    </row>
    <row r="433" spans="1:20" x14ac:dyDescent="0.25">
      <c r="A433" s="255"/>
      <c r="E433" s="251" t="s">
        <v>1049</v>
      </c>
      <c r="G433" s="251" t="s">
        <v>1123</v>
      </c>
      <c r="I433" s="259">
        <f>Salaries!CV378</f>
        <v>58437.66</v>
      </c>
      <c r="J433" s="80"/>
      <c r="K433" s="80">
        <f>I432+I433</f>
        <v>184086.66</v>
      </c>
      <c r="L433" s="31"/>
      <c r="M433" s="259">
        <v>57744.72</v>
      </c>
      <c r="N433" s="31"/>
      <c r="O433" s="32">
        <v>198745</v>
      </c>
      <c r="P433" s="31"/>
      <c r="Q433" s="32">
        <f>K433-O433</f>
        <v>-14658</v>
      </c>
      <c r="T433" s="210"/>
    </row>
    <row r="434" spans="1:20" x14ac:dyDescent="0.25">
      <c r="A434" s="255"/>
      <c r="D434" s="251" t="s">
        <v>834</v>
      </c>
      <c r="I434" s="258"/>
      <c r="J434" s="80"/>
      <c r="K434" s="80"/>
      <c r="L434" s="31"/>
      <c r="M434" s="258"/>
      <c r="N434" s="31"/>
      <c r="O434" s="32"/>
      <c r="P434" s="31"/>
      <c r="Q434" s="32"/>
    </row>
    <row r="435" spans="1:20" x14ac:dyDescent="0.25">
      <c r="A435" s="251"/>
      <c r="B435" s="55"/>
      <c r="E435" s="251" t="s">
        <v>907</v>
      </c>
      <c r="G435" s="251" t="s">
        <v>1264</v>
      </c>
      <c r="I435" s="258">
        <f>'Op Detail'!D4591</f>
        <v>255639</v>
      </c>
      <c r="J435" s="80"/>
      <c r="K435" s="80"/>
      <c r="L435" s="31"/>
      <c r="M435" s="258">
        <v>236750</v>
      </c>
      <c r="N435" s="31"/>
      <c r="O435" s="32"/>
      <c r="P435" s="31"/>
      <c r="Q435" s="32"/>
    </row>
    <row r="436" spans="1:20" x14ac:dyDescent="0.25">
      <c r="A436" s="255"/>
      <c r="E436" s="251" t="s">
        <v>908</v>
      </c>
      <c r="G436" s="251" t="s">
        <v>1123</v>
      </c>
      <c r="I436" s="259">
        <f>Salaries!CY378</f>
        <v>304697.24</v>
      </c>
      <c r="J436" s="80"/>
      <c r="K436" s="80">
        <f>I436+I435</f>
        <v>560336.24</v>
      </c>
      <c r="L436" s="31"/>
      <c r="M436" s="259">
        <v>268290.93</v>
      </c>
      <c r="N436" s="31"/>
      <c r="O436" s="32">
        <v>505041</v>
      </c>
      <c r="P436" s="31"/>
      <c r="Q436" s="32">
        <f>K436-O436</f>
        <v>55295</v>
      </c>
      <c r="T436" s="210"/>
    </row>
    <row r="437" spans="1:20" x14ac:dyDescent="0.25">
      <c r="A437" s="255"/>
      <c r="D437" s="251" t="s">
        <v>835</v>
      </c>
      <c r="I437" s="258"/>
      <c r="J437" s="80"/>
      <c r="K437" s="80"/>
      <c r="L437" s="31"/>
      <c r="M437" s="258"/>
      <c r="N437" s="31"/>
      <c r="O437" s="32"/>
      <c r="P437" s="31"/>
      <c r="Q437" s="32"/>
    </row>
    <row r="438" spans="1:20" x14ac:dyDescent="0.25">
      <c r="A438" s="251"/>
      <c r="B438" s="55"/>
      <c r="E438" s="251" t="s">
        <v>909</v>
      </c>
      <c r="G438" s="251" t="s">
        <v>1264</v>
      </c>
      <c r="I438" s="258">
        <f>'Op Detail'!D4690</f>
        <v>49278</v>
      </c>
      <c r="J438" s="80"/>
      <c r="K438" s="80"/>
      <c r="L438" s="31"/>
      <c r="M438" s="258">
        <v>84750</v>
      </c>
      <c r="N438" s="31"/>
      <c r="O438" s="32"/>
      <c r="P438" s="31"/>
      <c r="Q438" s="32"/>
    </row>
    <row r="439" spans="1:20" x14ac:dyDescent="0.25">
      <c r="A439" s="255"/>
      <c r="E439" s="251" t="s">
        <v>910</v>
      </c>
      <c r="G439" s="251" t="s">
        <v>1123</v>
      </c>
      <c r="I439" s="258">
        <f>Salaries!CZ378</f>
        <v>216355.05</v>
      </c>
      <c r="J439" s="80"/>
      <c r="K439" s="80">
        <f>I438+I439</f>
        <v>265633.05</v>
      </c>
      <c r="L439" s="31"/>
      <c r="M439" s="258">
        <v>269039.96999999997</v>
      </c>
      <c r="N439" s="31"/>
      <c r="O439" s="32">
        <v>353790</v>
      </c>
      <c r="P439" s="31"/>
      <c r="Q439" s="32">
        <f>K439-O439</f>
        <v>-88157</v>
      </c>
      <c r="T439" s="210"/>
    </row>
    <row r="440" spans="1:20" x14ac:dyDescent="0.25">
      <c r="A440" s="255"/>
      <c r="D440" s="251" t="s">
        <v>836</v>
      </c>
      <c r="I440" s="258"/>
      <c r="J440" s="80"/>
      <c r="K440" s="80"/>
      <c r="L440" s="31"/>
      <c r="M440" s="258"/>
      <c r="N440" s="31"/>
      <c r="O440" s="32"/>
      <c r="P440" s="31"/>
      <c r="Q440" s="32"/>
    </row>
    <row r="441" spans="1:20" x14ac:dyDescent="0.25">
      <c r="A441" s="251"/>
      <c r="B441" s="55"/>
      <c r="E441" s="251" t="s">
        <v>1234</v>
      </c>
      <c r="G441" s="251" t="s">
        <v>1264</v>
      </c>
      <c r="I441" s="258">
        <f>'Op Detail'!D4718</f>
        <v>27608</v>
      </c>
      <c r="J441" s="80"/>
      <c r="K441" s="80"/>
      <c r="L441" s="31"/>
      <c r="M441" s="258">
        <v>59650</v>
      </c>
      <c r="N441" s="31"/>
      <c r="O441" s="32"/>
      <c r="P441" s="31"/>
      <c r="Q441" s="32"/>
    </row>
    <row r="442" spans="1:20" x14ac:dyDescent="0.25">
      <c r="A442" s="255"/>
      <c r="E442" s="251" t="s">
        <v>1235</v>
      </c>
      <c r="G442" s="251" t="s">
        <v>1123</v>
      </c>
      <c r="I442" s="258">
        <f>Salaries!DC378</f>
        <v>100253.34</v>
      </c>
      <c r="J442" s="80"/>
      <c r="K442" s="80">
        <f>I441+I442</f>
        <v>127861.34</v>
      </c>
      <c r="L442" s="31"/>
      <c r="M442" s="258">
        <v>70688.86</v>
      </c>
      <c r="N442" s="31"/>
      <c r="O442" s="32">
        <v>130339</v>
      </c>
      <c r="P442" s="31"/>
      <c r="Q442" s="32">
        <f>K442-O442</f>
        <v>-2478</v>
      </c>
      <c r="T442" s="210"/>
    </row>
    <row r="443" spans="1:20" x14ac:dyDescent="0.25">
      <c r="A443" s="255"/>
      <c r="D443" s="251" t="s">
        <v>837</v>
      </c>
      <c r="I443" s="258"/>
      <c r="J443" s="80"/>
      <c r="K443" s="80"/>
      <c r="L443" s="31"/>
      <c r="M443" s="258"/>
      <c r="N443" s="31"/>
      <c r="O443" s="32"/>
      <c r="P443" s="31"/>
      <c r="Q443" s="32"/>
    </row>
    <row r="444" spans="1:20" x14ac:dyDescent="0.25">
      <c r="A444" s="251"/>
      <c r="B444" s="55"/>
      <c r="E444" s="251" t="s">
        <v>1236</v>
      </c>
      <c r="G444" s="251" t="s">
        <v>1264</v>
      </c>
      <c r="I444" s="258">
        <f>'Op Detail'!D4734</f>
        <v>428000</v>
      </c>
      <c r="J444" s="80"/>
      <c r="K444" s="80">
        <f>I444</f>
        <v>428000</v>
      </c>
      <c r="L444" s="31"/>
      <c r="M444" s="258">
        <v>522500</v>
      </c>
      <c r="N444" s="31"/>
      <c r="O444" s="32">
        <v>522500</v>
      </c>
      <c r="P444" s="31"/>
      <c r="Q444" s="32">
        <f>K444-O444</f>
        <v>-94500</v>
      </c>
    </row>
    <row r="445" spans="1:20" x14ac:dyDescent="0.25">
      <c r="A445" s="251"/>
      <c r="B445" s="55"/>
      <c r="D445" s="34" t="s">
        <v>290</v>
      </c>
      <c r="E445" s="251"/>
      <c r="G445" s="251"/>
      <c r="I445" s="258"/>
      <c r="J445" s="80"/>
      <c r="K445" s="80"/>
      <c r="L445" s="31"/>
      <c r="M445" s="258"/>
      <c r="N445" s="31"/>
      <c r="O445" s="32"/>
      <c r="P445" s="31"/>
      <c r="Q445" s="32"/>
    </row>
    <row r="446" spans="1:20" x14ac:dyDescent="0.25">
      <c r="A446" s="251"/>
      <c r="B446" s="55"/>
      <c r="E446" s="251" t="s">
        <v>1843</v>
      </c>
      <c r="G446" s="251" t="s">
        <v>1264</v>
      </c>
      <c r="I446" s="258">
        <f>'Op Detail'!D6141</f>
        <v>24002</v>
      </c>
      <c r="J446" s="80"/>
      <c r="K446" s="80">
        <f>I446</f>
        <v>24002</v>
      </c>
      <c r="L446" s="31"/>
      <c r="M446" s="258">
        <v>1500</v>
      </c>
      <c r="N446" s="31"/>
      <c r="O446" s="32">
        <v>1500</v>
      </c>
      <c r="P446" s="31"/>
      <c r="Q446" s="32">
        <f>K446-O446</f>
        <v>22502</v>
      </c>
    </row>
    <row r="447" spans="1:20" x14ac:dyDescent="0.25">
      <c r="A447" s="251"/>
      <c r="B447" s="55"/>
      <c r="E447" s="251"/>
      <c r="G447" s="251"/>
      <c r="I447" s="258"/>
      <c r="J447" s="80"/>
      <c r="K447" s="80"/>
      <c r="L447" s="31"/>
      <c r="M447" s="258"/>
      <c r="N447" s="31"/>
      <c r="O447" s="32"/>
      <c r="P447" s="31"/>
      <c r="Q447" s="32"/>
    </row>
    <row r="448" spans="1:20" x14ac:dyDescent="0.25">
      <c r="A448" s="251"/>
      <c r="B448" s="55"/>
      <c r="C448" s="34" t="s">
        <v>1695</v>
      </c>
      <c r="E448" s="251"/>
      <c r="G448" s="251"/>
      <c r="I448" s="258"/>
      <c r="J448" s="80"/>
      <c r="K448" s="80"/>
      <c r="L448" s="31"/>
      <c r="M448" s="258"/>
      <c r="N448" s="31"/>
      <c r="O448" s="32"/>
      <c r="P448" s="31"/>
      <c r="Q448" s="32"/>
    </row>
    <row r="449" spans="1:20" x14ac:dyDescent="0.25">
      <c r="A449" s="255"/>
      <c r="D449" s="251" t="s">
        <v>832</v>
      </c>
      <c r="I449" s="259" t="s">
        <v>342</v>
      </c>
      <c r="J449" s="80"/>
      <c r="K449" s="80"/>
      <c r="L449" s="31"/>
      <c r="M449" s="259" t="s">
        <v>342</v>
      </c>
      <c r="N449" s="31"/>
      <c r="O449" s="32"/>
      <c r="P449" s="31"/>
      <c r="Q449" s="32"/>
    </row>
    <row r="450" spans="1:20" x14ac:dyDescent="0.25">
      <c r="A450" s="251"/>
      <c r="B450" s="55"/>
      <c r="E450" s="251" t="s">
        <v>1050</v>
      </c>
      <c r="G450" s="251" t="s">
        <v>1264</v>
      </c>
      <c r="I450" s="260">
        <f>'Op Detail'!D4520</f>
        <v>130000</v>
      </c>
      <c r="J450" s="80"/>
      <c r="K450" s="80"/>
      <c r="L450" s="31"/>
      <c r="M450" s="260">
        <v>-29200</v>
      </c>
      <c r="N450" s="31"/>
      <c r="O450" s="32"/>
      <c r="P450" s="31"/>
      <c r="Q450" s="32"/>
    </row>
    <row r="451" spans="1:20" x14ac:dyDescent="0.25">
      <c r="A451" s="255"/>
      <c r="E451" s="251" t="s">
        <v>1051</v>
      </c>
      <c r="G451" s="251" t="s">
        <v>1123</v>
      </c>
      <c r="I451" s="258">
        <f>Salaries!CW378</f>
        <v>66362.97</v>
      </c>
      <c r="J451" s="80"/>
      <c r="K451" s="80">
        <f>I450+I451</f>
        <v>196362.97</v>
      </c>
      <c r="L451" s="31"/>
      <c r="M451" s="258">
        <v>66958.289999999994</v>
      </c>
      <c r="N451" s="31"/>
      <c r="O451" s="32">
        <v>37758</v>
      </c>
      <c r="P451" s="31"/>
      <c r="Q451" s="32">
        <f>K451-O451</f>
        <v>158605</v>
      </c>
      <c r="T451" s="210"/>
    </row>
    <row r="452" spans="1:20" x14ac:dyDescent="0.25">
      <c r="A452" s="251"/>
      <c r="B452" s="55"/>
      <c r="D452" s="251" t="s">
        <v>694</v>
      </c>
      <c r="I452" s="258"/>
      <c r="K452" s="80"/>
      <c r="L452" s="31"/>
      <c r="M452" s="258"/>
      <c r="N452" s="31"/>
      <c r="O452" s="32"/>
      <c r="P452" s="31"/>
      <c r="Q452" s="32"/>
    </row>
    <row r="453" spans="1:20" x14ac:dyDescent="0.25">
      <c r="A453" s="255"/>
      <c r="E453" s="251" t="s">
        <v>1339</v>
      </c>
      <c r="G453" s="251" t="s">
        <v>1264</v>
      </c>
      <c r="I453" s="259">
        <f>'Op Detail'!D1486</f>
        <v>40000</v>
      </c>
      <c r="K453" s="80">
        <f>I453</f>
        <v>40000</v>
      </c>
      <c r="L453" s="31"/>
      <c r="M453" s="259">
        <v>110000</v>
      </c>
      <c r="N453" s="31"/>
      <c r="O453" s="32">
        <v>110000</v>
      </c>
      <c r="P453" s="31"/>
      <c r="Q453" s="32">
        <f>K453-O453</f>
        <v>-70000</v>
      </c>
    </row>
    <row r="454" spans="1:20" x14ac:dyDescent="0.25">
      <c r="A454" s="255"/>
      <c r="D454" s="34" t="s">
        <v>1938</v>
      </c>
      <c r="E454" s="251"/>
      <c r="G454" s="251"/>
      <c r="I454" s="259"/>
      <c r="M454" s="259"/>
    </row>
    <row r="455" spans="1:20" x14ac:dyDescent="0.25">
      <c r="A455" s="255"/>
      <c r="E455" s="34" t="s">
        <v>1393</v>
      </c>
      <c r="G455" s="251" t="s">
        <v>1264</v>
      </c>
      <c r="I455" s="259">
        <f>'Op Detail'!D4465</f>
        <v>95000</v>
      </c>
      <c r="K455" s="80">
        <f>I455</f>
        <v>95000</v>
      </c>
      <c r="L455" s="31"/>
      <c r="M455" s="259">
        <v>100000</v>
      </c>
      <c r="N455" s="31"/>
      <c r="O455" s="32">
        <v>100000</v>
      </c>
      <c r="P455" s="31"/>
      <c r="Q455" s="32">
        <f>K455-O455</f>
        <v>-5000</v>
      </c>
    </row>
    <row r="456" spans="1:20" x14ac:dyDescent="0.25">
      <c r="A456" s="251"/>
      <c r="B456" s="55"/>
      <c r="D456" s="34" t="s">
        <v>1000</v>
      </c>
      <c r="E456" s="251"/>
      <c r="G456" s="251"/>
      <c r="I456" s="259"/>
      <c r="J456" s="80"/>
      <c r="K456" s="80"/>
      <c r="L456" s="31"/>
      <c r="M456" s="259"/>
      <c r="N456" s="31"/>
      <c r="O456" s="32"/>
      <c r="P456" s="31"/>
      <c r="Q456" s="32"/>
    </row>
    <row r="457" spans="1:20" x14ac:dyDescent="0.25">
      <c r="A457" s="251"/>
      <c r="B457" s="55"/>
      <c r="E457" s="255" t="s">
        <v>2904</v>
      </c>
      <c r="G457" s="251" t="s">
        <v>1264</v>
      </c>
      <c r="H457" s="34" t="s">
        <v>1015</v>
      </c>
      <c r="I457" s="259">
        <f>'Op Detail'!D4446</f>
        <v>368920</v>
      </c>
      <c r="J457" s="80"/>
      <c r="K457" s="80">
        <f t="shared" ref="K457:K462" si="1">I457</f>
        <v>368920</v>
      </c>
      <c r="L457" s="31"/>
      <c r="M457" s="259">
        <v>365416</v>
      </c>
      <c r="N457" s="31"/>
      <c r="O457" s="32">
        <v>365416</v>
      </c>
      <c r="P457" s="31"/>
      <c r="Q457" s="32">
        <f t="shared" ref="Q457:Q463" si="2">K457-O457</f>
        <v>3504</v>
      </c>
    </row>
    <row r="458" spans="1:20" x14ac:dyDescent="0.25">
      <c r="A458" s="251"/>
      <c r="B458" s="55"/>
      <c r="E458" s="255" t="s">
        <v>2903</v>
      </c>
      <c r="G458" s="251" t="s">
        <v>1264</v>
      </c>
      <c r="H458" s="34" t="s">
        <v>1016</v>
      </c>
      <c r="I458" s="259">
        <f>'Op Detail'!D4447</f>
        <v>238650</v>
      </c>
      <c r="J458" s="80"/>
      <c r="K458" s="80">
        <f t="shared" si="1"/>
        <v>238650</v>
      </c>
      <c r="L458" s="31"/>
      <c r="M458" s="259">
        <v>238150</v>
      </c>
      <c r="N458" s="31"/>
      <c r="O458" s="32">
        <v>238150</v>
      </c>
      <c r="P458" s="31"/>
      <c r="Q458" s="32">
        <f t="shared" si="2"/>
        <v>500</v>
      </c>
    </row>
    <row r="459" spans="1:20" x14ac:dyDescent="0.25">
      <c r="A459" s="251"/>
      <c r="B459" s="55"/>
      <c r="E459" s="255" t="s">
        <v>2902</v>
      </c>
      <c r="G459" s="251" t="s">
        <v>1264</v>
      </c>
      <c r="H459" s="255" t="s">
        <v>3191</v>
      </c>
      <c r="I459" s="259">
        <f>'Op Detail'!D4448</f>
        <v>83395</v>
      </c>
      <c r="J459" s="80"/>
      <c r="K459" s="80">
        <f t="shared" si="1"/>
        <v>83395</v>
      </c>
      <c r="L459" s="31"/>
      <c r="M459" s="259">
        <v>75000</v>
      </c>
      <c r="N459" s="31"/>
      <c r="O459" s="32">
        <v>75000</v>
      </c>
      <c r="P459" s="31"/>
      <c r="Q459" s="32">
        <f t="shared" si="2"/>
        <v>8395</v>
      </c>
    </row>
    <row r="460" spans="1:20" x14ac:dyDescent="0.25">
      <c r="A460" s="251"/>
      <c r="B460" s="55"/>
      <c r="E460" s="255" t="s">
        <v>2905</v>
      </c>
      <c r="G460" s="251" t="s">
        <v>1264</v>
      </c>
      <c r="H460" s="255" t="s">
        <v>3192</v>
      </c>
      <c r="I460" s="259">
        <f>'Op Detail'!D4449</f>
        <v>257520</v>
      </c>
      <c r="J460" s="80"/>
      <c r="K460" s="80">
        <f t="shared" si="1"/>
        <v>257520</v>
      </c>
      <c r="L460" s="31"/>
      <c r="M460" s="259">
        <v>60579.86</v>
      </c>
      <c r="N460" s="31"/>
      <c r="O460" s="32">
        <v>60580</v>
      </c>
      <c r="P460" s="31"/>
      <c r="Q460" s="32">
        <f t="shared" si="2"/>
        <v>196940</v>
      </c>
    </row>
    <row r="461" spans="1:20" x14ac:dyDescent="0.25">
      <c r="A461" s="251"/>
      <c r="B461" s="55"/>
      <c r="E461" s="255" t="s">
        <v>3683</v>
      </c>
      <c r="F461" s="255"/>
      <c r="G461" s="251" t="s">
        <v>1264</v>
      </c>
      <c r="H461" s="255" t="s">
        <v>3199</v>
      </c>
      <c r="I461" s="259">
        <f>+'Op Detail'!D4451</f>
        <v>342493.59</v>
      </c>
      <c r="J461" s="80"/>
      <c r="K461" s="80">
        <f t="shared" si="1"/>
        <v>342493.59</v>
      </c>
      <c r="L461" s="31"/>
      <c r="M461" s="259">
        <v>0</v>
      </c>
      <c r="N461" s="31"/>
      <c r="O461" s="32">
        <v>0</v>
      </c>
      <c r="P461" s="31"/>
      <c r="Q461" s="32">
        <f t="shared" si="2"/>
        <v>342494</v>
      </c>
    </row>
    <row r="462" spans="1:20" x14ac:dyDescent="0.25">
      <c r="A462" s="251"/>
      <c r="B462" s="55"/>
      <c r="E462" s="255" t="s">
        <v>3682</v>
      </c>
      <c r="G462" s="251" t="s">
        <v>1264</v>
      </c>
      <c r="H462" s="255" t="s">
        <v>180</v>
      </c>
      <c r="I462" s="259">
        <f>+'Op Detail'!D4452</f>
        <v>26095</v>
      </c>
      <c r="J462" s="80"/>
      <c r="K462" s="80">
        <f t="shared" si="1"/>
        <v>26095</v>
      </c>
      <c r="L462" s="31"/>
      <c r="M462" s="259">
        <v>0</v>
      </c>
      <c r="N462" s="31"/>
      <c r="O462" s="32">
        <v>0</v>
      </c>
      <c r="P462" s="31"/>
      <c r="Q462" s="32">
        <f t="shared" si="2"/>
        <v>26095</v>
      </c>
    </row>
    <row r="463" spans="1:20" x14ac:dyDescent="0.25">
      <c r="A463" s="251"/>
      <c r="B463" s="55"/>
      <c r="E463" s="255" t="s">
        <v>3165</v>
      </c>
      <c r="G463" s="251" t="s">
        <v>1264</v>
      </c>
      <c r="H463" s="255" t="s">
        <v>2910</v>
      </c>
      <c r="I463" s="259">
        <f>'Op Detail'!D4450</f>
        <v>337655</v>
      </c>
      <c r="J463" s="80"/>
      <c r="K463" s="80">
        <f>+I463</f>
        <v>337655</v>
      </c>
      <c r="L463" s="31"/>
      <c r="M463" s="259">
        <v>108327.08</v>
      </c>
      <c r="N463" s="31"/>
      <c r="O463" s="32">
        <v>108327</v>
      </c>
      <c r="P463" s="31"/>
      <c r="Q463" s="32">
        <f t="shared" si="2"/>
        <v>229328</v>
      </c>
    </row>
    <row r="464" spans="1:20" x14ac:dyDescent="0.25">
      <c r="A464" s="251"/>
      <c r="B464" s="55"/>
      <c r="E464" s="251"/>
      <c r="G464" s="251"/>
      <c r="I464" s="259"/>
      <c r="J464" s="80"/>
      <c r="K464" s="80"/>
      <c r="L464" s="31"/>
      <c r="M464" s="259"/>
      <c r="N464" s="31"/>
      <c r="O464" s="32"/>
      <c r="P464" s="31"/>
      <c r="Q464" s="32"/>
    </row>
    <row r="465" spans="1:20" x14ac:dyDescent="0.25">
      <c r="A465" s="251"/>
      <c r="B465" s="55"/>
      <c r="E465" s="251"/>
      <c r="G465" s="251"/>
      <c r="I465" s="259"/>
      <c r="J465" s="80"/>
      <c r="K465" s="80"/>
      <c r="L465" s="31"/>
      <c r="M465" s="259"/>
      <c r="N465" s="31"/>
      <c r="O465" s="32"/>
      <c r="P465" s="31"/>
      <c r="Q465" s="32"/>
    </row>
    <row r="466" spans="1:20" x14ac:dyDescent="0.25">
      <c r="A466" s="255"/>
      <c r="B466" s="54" t="s">
        <v>1696</v>
      </c>
      <c r="I466" s="259"/>
      <c r="M466" s="259"/>
    </row>
    <row r="467" spans="1:20" x14ac:dyDescent="0.25">
      <c r="A467" s="255"/>
      <c r="C467" s="251"/>
      <c r="D467" s="34" t="s">
        <v>446</v>
      </c>
      <c r="I467" s="258"/>
      <c r="J467" s="80"/>
      <c r="K467" s="80"/>
      <c r="L467" s="32"/>
      <c r="M467" s="258"/>
      <c r="N467" s="32"/>
      <c r="O467" s="32"/>
      <c r="P467" s="32"/>
      <c r="Q467" s="32"/>
      <c r="R467" s="39"/>
    </row>
    <row r="468" spans="1:20" ht="16.5" thickBot="1" x14ac:dyDescent="0.3">
      <c r="A468" s="251"/>
      <c r="B468" s="55"/>
      <c r="E468" s="251" t="s">
        <v>1045</v>
      </c>
      <c r="G468" s="251" t="s">
        <v>1264</v>
      </c>
      <c r="I468" s="360">
        <f>'Revenue Start'!F58-'Combine Sal Op'!I469</f>
        <v>234190.48</v>
      </c>
      <c r="J468" s="80"/>
      <c r="L468" s="32"/>
      <c r="M468" s="258">
        <v>284615.69</v>
      </c>
      <c r="N468" s="254"/>
      <c r="O468" s="32"/>
      <c r="P468" s="32"/>
      <c r="Q468" s="32" t="s">
        <v>342</v>
      </c>
      <c r="R468" s="39"/>
    </row>
    <row r="469" spans="1:20" ht="16.5" thickBot="1" x14ac:dyDescent="0.3">
      <c r="A469" s="255"/>
      <c r="E469" s="251" t="s">
        <v>1719</v>
      </c>
      <c r="G469" s="34" t="s">
        <v>1123</v>
      </c>
      <c r="I469" s="258">
        <f>Salaries!CK378</f>
        <v>411826.52</v>
      </c>
      <c r="J469" s="80"/>
      <c r="K469" s="80">
        <f>I468+I469</f>
        <v>646017</v>
      </c>
      <c r="L469" s="254"/>
      <c r="M469" s="258">
        <v>361401.31</v>
      </c>
      <c r="N469" s="32"/>
      <c r="O469" s="32">
        <v>646017</v>
      </c>
      <c r="P469" s="32"/>
      <c r="Q469" s="32">
        <f>K469-O469</f>
        <v>0</v>
      </c>
      <c r="R469" s="39"/>
      <c r="S469" s="272"/>
      <c r="T469" s="210"/>
    </row>
    <row r="470" spans="1:20" x14ac:dyDescent="0.25">
      <c r="A470" s="255"/>
      <c r="D470" s="34" t="s">
        <v>596</v>
      </c>
      <c r="E470" s="251"/>
      <c r="I470" s="258"/>
      <c r="J470" s="80"/>
      <c r="K470" s="80"/>
      <c r="L470" s="254"/>
      <c r="M470" s="258"/>
      <c r="N470" s="32"/>
      <c r="O470" s="32"/>
      <c r="P470" s="32"/>
      <c r="Q470" s="32"/>
      <c r="R470" s="39"/>
    </row>
    <row r="471" spans="1:20" x14ac:dyDescent="0.25">
      <c r="A471" s="255"/>
      <c r="E471" s="251" t="s">
        <v>447</v>
      </c>
      <c r="G471" s="251" t="s">
        <v>1264</v>
      </c>
      <c r="I471" s="360">
        <f>'Revenue Start'!F54</f>
        <v>122602</v>
      </c>
      <c r="J471" s="80"/>
      <c r="K471" s="80">
        <f>I471</f>
        <v>122602</v>
      </c>
      <c r="L471" s="254"/>
      <c r="M471" s="258">
        <v>122602</v>
      </c>
      <c r="N471" s="32"/>
      <c r="O471" s="32">
        <v>122602</v>
      </c>
      <c r="P471" s="32"/>
      <c r="Q471" s="32">
        <f>K471-O471</f>
        <v>0</v>
      </c>
      <c r="R471" s="39"/>
    </row>
    <row r="472" spans="1:20" x14ac:dyDescent="0.25">
      <c r="A472" s="255"/>
      <c r="D472" s="34" t="s">
        <v>448</v>
      </c>
      <c r="E472" s="251"/>
      <c r="G472" s="251"/>
      <c r="I472" s="258"/>
      <c r="J472" s="80"/>
      <c r="K472" s="80"/>
      <c r="L472" s="254"/>
      <c r="M472" s="258"/>
      <c r="N472" s="32"/>
      <c r="O472" s="32"/>
      <c r="P472" s="32"/>
      <c r="Q472" s="32"/>
      <c r="R472" s="39"/>
    </row>
    <row r="473" spans="1:20" x14ac:dyDescent="0.25">
      <c r="A473" s="255"/>
      <c r="E473" s="251" t="s">
        <v>450</v>
      </c>
      <c r="G473" s="251" t="s">
        <v>1264</v>
      </c>
      <c r="I473" s="360">
        <f>'Revenue Start'!F55</f>
        <v>32205</v>
      </c>
      <c r="J473" s="80"/>
      <c r="K473" s="80">
        <f>I473</f>
        <v>32205</v>
      </c>
      <c r="L473" s="254"/>
      <c r="M473" s="258">
        <v>32205</v>
      </c>
      <c r="N473" s="32"/>
      <c r="O473" s="32">
        <v>32205</v>
      </c>
      <c r="P473" s="32"/>
      <c r="Q473" s="32">
        <f>K473-O473</f>
        <v>0</v>
      </c>
      <c r="R473" s="39"/>
    </row>
    <row r="474" spans="1:20" x14ac:dyDescent="0.25">
      <c r="A474" s="255"/>
      <c r="D474" s="34" t="s">
        <v>449</v>
      </c>
      <c r="E474" s="251"/>
      <c r="G474" s="251"/>
      <c r="I474" s="258"/>
      <c r="J474" s="80"/>
      <c r="K474" s="80"/>
      <c r="L474" s="254"/>
      <c r="M474" s="258"/>
      <c r="N474" s="32"/>
      <c r="O474" s="32"/>
      <c r="P474" s="32"/>
      <c r="Q474" s="32"/>
      <c r="R474" s="39"/>
    </row>
    <row r="475" spans="1:20" x14ac:dyDescent="0.25">
      <c r="A475" s="255"/>
      <c r="E475" s="251" t="s">
        <v>451</v>
      </c>
      <c r="G475" s="251" t="s">
        <v>1264</v>
      </c>
      <c r="I475" s="360">
        <f>'Revenue Start'!F57</f>
        <v>62130</v>
      </c>
      <c r="J475" s="80"/>
      <c r="K475" s="80">
        <f>I475</f>
        <v>62130</v>
      </c>
      <c r="L475" s="254"/>
      <c r="M475" s="258">
        <v>62130</v>
      </c>
      <c r="N475" s="32"/>
      <c r="O475" s="32">
        <v>62130</v>
      </c>
      <c r="P475" s="32"/>
      <c r="Q475" s="32">
        <f>K475-O475</f>
        <v>0</v>
      </c>
      <c r="R475" s="39"/>
    </row>
    <row r="476" spans="1:20" x14ac:dyDescent="0.25">
      <c r="A476" s="255"/>
      <c r="D476" s="34" t="s">
        <v>452</v>
      </c>
      <c r="E476" s="251"/>
      <c r="G476" s="251"/>
      <c r="I476" s="258"/>
      <c r="J476" s="80"/>
      <c r="K476" s="80"/>
      <c r="L476" s="254"/>
      <c r="M476" s="258"/>
      <c r="N476" s="32"/>
      <c r="O476" s="32"/>
      <c r="P476" s="32"/>
      <c r="Q476" s="32"/>
      <c r="R476" s="39"/>
    </row>
    <row r="477" spans="1:20" x14ac:dyDescent="0.25">
      <c r="A477" s="255"/>
      <c r="E477" s="251" t="s">
        <v>453</v>
      </c>
      <c r="G477" s="251" t="s">
        <v>1264</v>
      </c>
      <c r="I477" s="360">
        <f>'Revenue Start'!F59</f>
        <v>102000</v>
      </c>
      <c r="J477" s="80"/>
      <c r="K477" s="80">
        <f>I477</f>
        <v>102000</v>
      </c>
      <c r="L477" s="254"/>
      <c r="M477" s="258">
        <v>102000</v>
      </c>
      <c r="N477" s="32"/>
      <c r="O477" s="32">
        <v>102000</v>
      </c>
      <c r="P477" s="32"/>
      <c r="Q477" s="32">
        <f>K477-O477</f>
        <v>0</v>
      </c>
      <c r="R477" s="39"/>
    </row>
    <row r="478" spans="1:20" x14ac:dyDescent="0.25">
      <c r="A478" s="255"/>
      <c r="D478" s="251" t="s">
        <v>701</v>
      </c>
      <c r="I478" s="258"/>
      <c r="J478" s="80"/>
      <c r="K478" s="80"/>
      <c r="L478" s="32"/>
      <c r="M478" s="258"/>
      <c r="N478" s="31"/>
      <c r="O478" s="31"/>
      <c r="P478" s="32"/>
      <c r="Q478" s="32"/>
      <c r="R478" s="39"/>
    </row>
    <row r="479" spans="1:20" ht="16.5" thickBot="1" x14ac:dyDescent="0.3">
      <c r="A479" s="251"/>
      <c r="B479" s="55"/>
      <c r="E479" s="251" t="s">
        <v>1046</v>
      </c>
      <c r="G479" s="251" t="s">
        <v>1264</v>
      </c>
      <c r="I479" s="360">
        <f>'Revenue Start'!F60-'Combine Sal Op'!I480</f>
        <v>128528.08</v>
      </c>
      <c r="J479" s="80"/>
      <c r="K479" s="259" t="s">
        <v>342</v>
      </c>
      <c r="L479" s="254"/>
      <c r="M479" s="258">
        <v>120268.59</v>
      </c>
      <c r="N479" s="31"/>
      <c r="O479" s="31" t="s">
        <v>342</v>
      </c>
      <c r="P479" s="32"/>
      <c r="Q479" s="32"/>
      <c r="R479" s="39"/>
    </row>
    <row r="480" spans="1:20" ht="16.5" thickBot="1" x14ac:dyDescent="0.3">
      <c r="A480" s="255"/>
      <c r="E480" s="251" t="s">
        <v>1047</v>
      </c>
      <c r="G480" s="251" t="s">
        <v>1123</v>
      </c>
      <c r="I480" s="259">
        <f>Salaries!CN378</f>
        <v>172394.92</v>
      </c>
      <c r="J480" s="80"/>
      <c r="K480" s="259">
        <f>I479+I480</f>
        <v>300923</v>
      </c>
      <c r="L480" s="32"/>
      <c r="M480" s="259">
        <v>180654.41</v>
      </c>
      <c r="N480" s="31"/>
      <c r="O480" s="32">
        <v>300923</v>
      </c>
      <c r="P480" s="32"/>
      <c r="Q480" s="32">
        <f>K480-O480</f>
        <v>0</v>
      </c>
      <c r="R480" s="39"/>
      <c r="S480" s="272"/>
      <c r="T480" s="210"/>
    </row>
    <row r="481" spans="1:20" x14ac:dyDescent="0.25">
      <c r="A481" s="255"/>
      <c r="D481" s="251" t="s">
        <v>838</v>
      </c>
      <c r="I481" s="259"/>
      <c r="L481" s="31"/>
      <c r="M481" s="259"/>
      <c r="N481" s="31"/>
      <c r="O481" s="31"/>
      <c r="P481" s="31"/>
      <c r="Q481" s="32"/>
    </row>
    <row r="482" spans="1:20" x14ac:dyDescent="0.25">
      <c r="A482" s="251"/>
      <c r="B482" s="55"/>
      <c r="E482" s="251" t="s">
        <v>1237</v>
      </c>
      <c r="G482" s="251" t="s">
        <v>1264</v>
      </c>
      <c r="I482" s="360">
        <f>'Revenue Start'!F56</f>
        <v>0</v>
      </c>
      <c r="J482" s="80"/>
      <c r="K482" s="80">
        <f>I482</f>
        <v>0</v>
      </c>
      <c r="L482" s="31"/>
      <c r="M482" s="258">
        <v>0</v>
      </c>
      <c r="N482" s="31"/>
      <c r="O482" s="31">
        <v>0</v>
      </c>
      <c r="P482" s="31"/>
      <c r="Q482" s="32">
        <f>K482-O482</f>
        <v>0</v>
      </c>
    </row>
    <row r="483" spans="1:20" x14ac:dyDescent="0.25">
      <c r="A483" s="255"/>
      <c r="D483" s="34" t="s">
        <v>316</v>
      </c>
      <c r="E483" s="251"/>
      <c r="G483" s="251"/>
      <c r="I483" s="258"/>
      <c r="J483" s="80"/>
      <c r="K483" s="80"/>
      <c r="L483" s="31"/>
      <c r="M483" s="258"/>
      <c r="N483" s="31"/>
      <c r="O483" s="32"/>
      <c r="P483" s="31"/>
      <c r="Q483" s="32"/>
    </row>
    <row r="484" spans="1:20" ht="16.5" thickBot="1" x14ac:dyDescent="0.3">
      <c r="A484" s="255"/>
      <c r="E484" s="251" t="s">
        <v>1720</v>
      </c>
      <c r="G484" s="251" t="s">
        <v>1264</v>
      </c>
      <c r="I484" s="360">
        <f>'Revenue Start'!F61-'Combine Sal Op'!I485</f>
        <v>40232.47</v>
      </c>
      <c r="J484" s="80"/>
      <c r="L484" s="31"/>
      <c r="M484" s="258">
        <v>75619.28</v>
      </c>
      <c r="N484" s="31"/>
      <c r="P484" s="31"/>
      <c r="Q484" s="32"/>
    </row>
    <row r="485" spans="1:20" ht="16.5" thickBot="1" x14ac:dyDescent="0.3">
      <c r="A485" s="255"/>
      <c r="E485" s="251" t="s">
        <v>1721</v>
      </c>
      <c r="G485" s="251" t="s">
        <v>1123</v>
      </c>
      <c r="I485" s="258">
        <f>Salaries!CP378</f>
        <v>185964.53</v>
      </c>
      <c r="J485" s="80"/>
      <c r="K485" s="80">
        <f>I484+I485</f>
        <v>226197</v>
      </c>
      <c r="L485" s="31"/>
      <c r="M485" s="258">
        <v>150577.72</v>
      </c>
      <c r="N485" s="31"/>
      <c r="O485" s="32">
        <v>226197</v>
      </c>
      <c r="P485" s="31"/>
      <c r="Q485" s="32">
        <f>K485-O485</f>
        <v>0</v>
      </c>
      <c r="S485" s="272"/>
      <c r="T485" s="210"/>
    </row>
    <row r="486" spans="1:20" x14ac:dyDescent="0.25">
      <c r="A486" s="255"/>
      <c r="C486" s="186"/>
      <c r="D486" s="251" t="s">
        <v>839</v>
      </c>
      <c r="E486" s="186"/>
      <c r="F486" s="186"/>
      <c r="G486" s="186"/>
      <c r="H486" s="186"/>
      <c r="I486" s="258"/>
      <c r="J486" s="80"/>
      <c r="K486" s="80"/>
      <c r="L486" s="32"/>
      <c r="M486" s="258"/>
      <c r="N486" s="32"/>
      <c r="O486" s="32"/>
      <c r="P486" s="32"/>
      <c r="Q486" s="32"/>
      <c r="R486" s="186"/>
      <c r="S486" s="80"/>
    </row>
    <row r="487" spans="1:20" ht="16.5" thickBot="1" x14ac:dyDescent="0.3">
      <c r="A487" s="255"/>
      <c r="E487" s="251" t="s">
        <v>1238</v>
      </c>
      <c r="G487" s="251" t="s">
        <v>1264</v>
      </c>
      <c r="I487" s="360">
        <f>'Revenue Start'!F62-'Combine Sal Op'!I488</f>
        <v>171175.36</v>
      </c>
      <c r="J487" s="80"/>
      <c r="K487" s="80"/>
      <c r="L487" s="31"/>
      <c r="M487" s="258">
        <v>134661.19</v>
      </c>
      <c r="N487" s="31"/>
      <c r="O487" s="31"/>
      <c r="P487" s="31"/>
      <c r="Q487" s="32"/>
    </row>
    <row r="488" spans="1:20" ht="16.5" thickBot="1" x14ac:dyDescent="0.3">
      <c r="A488" s="255"/>
      <c r="E488" s="251" t="s">
        <v>1239</v>
      </c>
      <c r="G488" s="251" t="s">
        <v>1123</v>
      </c>
      <c r="I488" s="258">
        <f>Salaries!CL378</f>
        <v>75776.639999999999</v>
      </c>
      <c r="J488" s="80"/>
      <c r="K488" s="80">
        <f>I487+I488</f>
        <v>246952</v>
      </c>
      <c r="L488" s="31"/>
      <c r="M488" s="258">
        <v>112290.81</v>
      </c>
      <c r="N488" s="31"/>
      <c r="O488" s="31">
        <v>246952</v>
      </c>
      <c r="P488" s="31"/>
      <c r="Q488" s="32">
        <f>K488-O488</f>
        <v>0</v>
      </c>
      <c r="S488" s="272"/>
      <c r="T488" s="210"/>
    </row>
    <row r="489" spans="1:20" x14ac:dyDescent="0.25">
      <c r="A489" s="255"/>
      <c r="D489" s="34" t="s">
        <v>425</v>
      </c>
      <c r="E489" s="251"/>
      <c r="G489" s="251"/>
      <c r="I489" s="258"/>
      <c r="J489" s="80"/>
      <c r="K489" s="80"/>
      <c r="L489" s="31"/>
      <c r="M489" s="258"/>
      <c r="N489" s="31"/>
      <c r="O489" s="32"/>
      <c r="P489" s="31"/>
      <c r="Q489" s="32"/>
    </row>
    <row r="490" spans="1:20" x14ac:dyDescent="0.25">
      <c r="A490" s="255"/>
      <c r="E490" s="251" t="s">
        <v>1739</v>
      </c>
      <c r="G490" s="251" t="s">
        <v>1264</v>
      </c>
      <c r="I490" s="258"/>
      <c r="J490" s="80"/>
      <c r="K490" s="80"/>
      <c r="L490" s="31"/>
      <c r="M490" s="258"/>
      <c r="N490" s="31"/>
      <c r="O490" s="31"/>
      <c r="P490" s="31"/>
      <c r="Q490" s="32"/>
    </row>
    <row r="491" spans="1:20" x14ac:dyDescent="0.25">
      <c r="A491" s="255"/>
      <c r="E491" s="251" t="s">
        <v>1740</v>
      </c>
      <c r="G491" s="251" t="s">
        <v>1123</v>
      </c>
      <c r="I491" s="360">
        <f>Salaries!DN378</f>
        <v>0</v>
      </c>
      <c r="J491" s="80"/>
      <c r="K491" s="80">
        <f>I490+I491</f>
        <v>0</v>
      </c>
      <c r="L491" s="31"/>
      <c r="M491" s="258">
        <v>0</v>
      </c>
      <c r="N491" s="31"/>
      <c r="O491" s="32">
        <v>0</v>
      </c>
      <c r="P491" s="31"/>
      <c r="Q491" s="32">
        <f>K491-O491</f>
        <v>0</v>
      </c>
    </row>
    <row r="492" spans="1:20" x14ac:dyDescent="0.25">
      <c r="A492" s="255"/>
      <c r="D492" s="263" t="s">
        <v>761</v>
      </c>
      <c r="E492" s="251"/>
      <c r="G492" s="251"/>
      <c r="I492" s="258"/>
      <c r="J492" s="80"/>
      <c r="K492" s="80"/>
      <c r="L492" s="31"/>
      <c r="M492" s="258"/>
      <c r="N492" s="31"/>
      <c r="O492" s="32"/>
      <c r="P492" s="31"/>
      <c r="Q492" s="32"/>
    </row>
    <row r="493" spans="1:20" ht="16.5" thickBot="1" x14ac:dyDescent="0.3">
      <c r="A493" s="255"/>
      <c r="E493" s="251" t="s">
        <v>2900</v>
      </c>
      <c r="G493" s="251" t="s">
        <v>1264</v>
      </c>
      <c r="I493" s="360">
        <f>'Revenue Start'!F66-'Combine Sal Op'!I494</f>
        <v>0</v>
      </c>
      <c r="J493" s="80"/>
      <c r="K493" s="80"/>
      <c r="L493" s="31"/>
      <c r="M493" s="258">
        <v>426866.2</v>
      </c>
      <c r="N493" s="31"/>
      <c r="O493" s="32"/>
      <c r="P493" s="31"/>
      <c r="Q493" s="32"/>
    </row>
    <row r="494" spans="1:20" ht="16.5" thickBot="1" x14ac:dyDescent="0.3">
      <c r="A494" s="255"/>
      <c r="E494" s="251" t="s">
        <v>2901</v>
      </c>
      <c r="G494" s="251" t="s">
        <v>1123</v>
      </c>
      <c r="I494" s="258">
        <f>Salaries!CQ378</f>
        <v>0</v>
      </c>
      <c r="J494" s="80"/>
      <c r="K494" s="80">
        <f>I494+I493</f>
        <v>0</v>
      </c>
      <c r="L494" s="31"/>
      <c r="M494" s="258">
        <v>123174.8</v>
      </c>
      <c r="N494" s="31"/>
      <c r="O494" s="32">
        <v>550041</v>
      </c>
      <c r="P494" s="31"/>
      <c r="Q494" s="32">
        <f>K494-O494</f>
        <v>-550041</v>
      </c>
      <c r="S494" s="272"/>
      <c r="T494" s="210"/>
    </row>
    <row r="495" spans="1:20" x14ac:dyDescent="0.25">
      <c r="A495" s="255"/>
      <c r="D495" s="34" t="s">
        <v>435</v>
      </c>
      <c r="E495" s="251"/>
      <c r="G495" s="251"/>
      <c r="I495" s="258"/>
      <c r="J495" s="80"/>
      <c r="K495" s="80"/>
      <c r="L495" s="31"/>
      <c r="M495" s="258"/>
      <c r="N495" s="31"/>
      <c r="O495" s="32"/>
      <c r="P495" s="31"/>
      <c r="Q495" s="32"/>
    </row>
    <row r="496" spans="1:20" x14ac:dyDescent="0.25">
      <c r="A496" s="255"/>
      <c r="E496" s="251" t="s">
        <v>258</v>
      </c>
      <c r="G496" s="251" t="s">
        <v>1264</v>
      </c>
      <c r="I496" s="360">
        <f>+'Revenue Start'!F64-I497</f>
        <v>264094.2</v>
      </c>
      <c r="J496" s="80"/>
      <c r="K496" s="80"/>
      <c r="L496" s="31"/>
      <c r="M496" s="258">
        <v>260104.44</v>
      </c>
      <c r="N496" s="31"/>
      <c r="O496" s="32"/>
      <c r="P496" s="31"/>
      <c r="Q496" s="32"/>
    </row>
    <row r="497" spans="1:20" x14ac:dyDescent="0.25">
      <c r="A497" s="255"/>
      <c r="E497" s="251" t="s">
        <v>259</v>
      </c>
      <c r="G497" s="251" t="s">
        <v>1123</v>
      </c>
      <c r="I497" s="258">
        <f>Salaries!DM378</f>
        <v>35905.800000000003</v>
      </c>
      <c r="J497" s="80"/>
      <c r="K497" s="80">
        <f>I496+I497</f>
        <v>300000</v>
      </c>
      <c r="L497" s="31"/>
      <c r="M497" s="258">
        <v>39895.56</v>
      </c>
      <c r="N497" s="31"/>
      <c r="O497" s="32">
        <v>300000</v>
      </c>
      <c r="P497" s="31"/>
      <c r="Q497" s="32">
        <f>K497-O497</f>
        <v>0</v>
      </c>
    </row>
    <row r="498" spans="1:20" x14ac:dyDescent="0.25">
      <c r="A498" s="255"/>
      <c r="D498" s="34" t="s">
        <v>1894</v>
      </c>
      <c r="E498" s="251"/>
      <c r="G498" s="251"/>
      <c r="I498" s="258"/>
      <c r="J498" s="80"/>
      <c r="K498" s="80"/>
      <c r="L498" s="31"/>
      <c r="M498" s="258"/>
      <c r="N498" s="31"/>
      <c r="O498" s="32"/>
      <c r="P498" s="31"/>
      <c r="Q498" s="32"/>
    </row>
    <row r="499" spans="1:20" x14ac:dyDescent="0.25">
      <c r="A499" s="255"/>
      <c r="E499" s="251" t="s">
        <v>1895</v>
      </c>
      <c r="G499" s="251" t="s">
        <v>1264</v>
      </c>
      <c r="I499" s="360">
        <v>0</v>
      </c>
      <c r="J499" s="80"/>
      <c r="K499" s="80"/>
      <c r="L499" s="31"/>
      <c r="M499" s="258">
        <v>0</v>
      </c>
      <c r="N499" s="31"/>
      <c r="O499" s="32"/>
      <c r="P499" s="31"/>
      <c r="Q499" s="32"/>
    </row>
    <row r="500" spans="1:20" x14ac:dyDescent="0.25">
      <c r="A500" s="255"/>
      <c r="E500" s="251" t="s">
        <v>1896</v>
      </c>
      <c r="G500" s="251" t="s">
        <v>1123</v>
      </c>
      <c r="I500" s="258">
        <f>Salaries!CR378</f>
        <v>912.7</v>
      </c>
      <c r="J500" s="80"/>
      <c r="K500" s="80">
        <f>I499+I500</f>
        <v>912.7</v>
      </c>
      <c r="L500" s="31"/>
      <c r="M500" s="258">
        <v>3978.45</v>
      </c>
      <c r="N500" s="31"/>
      <c r="O500" s="32">
        <v>3978</v>
      </c>
      <c r="P500" s="31"/>
      <c r="Q500" s="32">
        <f>K500-O500</f>
        <v>-3065</v>
      </c>
    </row>
    <row r="501" spans="1:20" x14ac:dyDescent="0.25">
      <c r="A501" s="255"/>
      <c r="D501" s="34" t="s">
        <v>1072</v>
      </c>
      <c r="E501" s="251"/>
      <c r="G501" s="251"/>
      <c r="I501" s="258"/>
      <c r="J501" s="80"/>
      <c r="K501" s="80"/>
      <c r="L501" s="31"/>
      <c r="M501" s="258"/>
      <c r="N501" s="31"/>
      <c r="O501" s="32"/>
      <c r="P501" s="31"/>
      <c r="Q501" s="32"/>
    </row>
    <row r="502" spans="1:20" ht="16.5" thickBot="1" x14ac:dyDescent="0.3">
      <c r="A502" s="255"/>
      <c r="E502" s="251" t="s">
        <v>1073</v>
      </c>
      <c r="G502" s="251" t="s">
        <v>1264</v>
      </c>
      <c r="I502" s="360">
        <f>'Revenue Start'!F65-'Combine Sal Op'!I503</f>
        <v>0</v>
      </c>
      <c r="J502" s="80"/>
      <c r="K502" s="80"/>
      <c r="L502" s="31"/>
      <c r="M502" s="258">
        <v>0</v>
      </c>
      <c r="N502" s="31"/>
      <c r="O502" s="32"/>
      <c r="P502" s="31"/>
      <c r="Q502" s="32"/>
    </row>
    <row r="503" spans="1:20" ht="16.5" thickBot="1" x14ac:dyDescent="0.3">
      <c r="A503" s="255"/>
      <c r="E503" s="251" t="s">
        <v>1074</v>
      </c>
      <c r="G503" s="251" t="s">
        <v>1123</v>
      </c>
      <c r="I503" s="259">
        <f>Salaries!DK378</f>
        <v>0</v>
      </c>
      <c r="J503" s="80"/>
      <c r="K503" s="80">
        <f>I502+I503</f>
        <v>0</v>
      </c>
      <c r="L503" s="31"/>
      <c r="M503" s="259">
        <v>0</v>
      </c>
      <c r="N503" s="31"/>
      <c r="O503" s="31">
        <v>0</v>
      </c>
      <c r="P503" s="31"/>
      <c r="Q503" s="32">
        <f>K503-O503</f>
        <v>0</v>
      </c>
      <c r="S503" s="272"/>
      <c r="T503" s="210"/>
    </row>
    <row r="504" spans="1:20" x14ac:dyDescent="0.25">
      <c r="A504" s="255"/>
      <c r="C504" s="251" t="s">
        <v>702</v>
      </c>
      <c r="I504" s="258"/>
      <c r="J504" s="80"/>
      <c r="K504" s="80"/>
      <c r="L504" s="31"/>
      <c r="M504" s="258"/>
      <c r="N504" s="31"/>
      <c r="O504" s="32"/>
      <c r="P504" s="31"/>
      <c r="Q504" s="32"/>
    </row>
    <row r="505" spans="1:20" x14ac:dyDescent="0.25">
      <c r="A505" s="255"/>
      <c r="D505" s="251" t="s">
        <v>840</v>
      </c>
      <c r="I505" s="258"/>
      <c r="J505" s="80"/>
      <c r="K505" s="80"/>
      <c r="L505" s="31"/>
      <c r="M505" s="258"/>
      <c r="N505" s="31"/>
      <c r="O505" s="32"/>
      <c r="P505" s="31"/>
      <c r="Q505" s="32"/>
    </row>
    <row r="506" spans="1:20" x14ac:dyDescent="0.25">
      <c r="A506" s="251"/>
      <c r="B506" s="55"/>
      <c r="E506" s="251" t="s">
        <v>1240</v>
      </c>
      <c r="G506" s="251" t="s">
        <v>1290</v>
      </c>
      <c r="I506" s="333">
        <f>50000-20000</f>
        <v>30000</v>
      </c>
      <c r="J506" s="80"/>
      <c r="K506" s="80">
        <f>I506</f>
        <v>30000</v>
      </c>
      <c r="L506" s="31"/>
      <c r="M506" s="258">
        <v>50000</v>
      </c>
      <c r="N506" s="31"/>
      <c r="O506" s="32">
        <v>50000</v>
      </c>
      <c r="P506" s="31"/>
      <c r="Q506" s="32">
        <f>K506-O506</f>
        <v>-20000</v>
      </c>
    </row>
    <row r="507" spans="1:20" x14ac:dyDescent="0.25">
      <c r="A507" s="255"/>
      <c r="D507" s="251" t="s">
        <v>455</v>
      </c>
      <c r="I507" s="258"/>
      <c r="J507" s="80"/>
      <c r="K507" s="80"/>
      <c r="L507" s="31"/>
      <c r="M507" s="258"/>
      <c r="N507" s="31"/>
      <c r="O507" s="32"/>
      <c r="P507" s="31"/>
      <c r="Q507" s="32"/>
    </row>
    <row r="508" spans="1:20" x14ac:dyDescent="0.25">
      <c r="A508" s="255"/>
      <c r="E508" s="251" t="s">
        <v>1241</v>
      </c>
      <c r="G508" s="251" t="s">
        <v>1123</v>
      </c>
      <c r="I508" s="360">
        <f>'Revenue Start'!F70</f>
        <v>147534</v>
      </c>
      <c r="J508" s="80"/>
      <c r="K508" s="80">
        <f>I508</f>
        <v>147534</v>
      </c>
      <c r="L508" s="31"/>
      <c r="M508" s="259">
        <v>147534</v>
      </c>
      <c r="N508" s="31"/>
      <c r="O508" s="32">
        <v>147534</v>
      </c>
      <c r="P508" s="31"/>
      <c r="Q508" s="32">
        <f>K508-O508</f>
        <v>0</v>
      </c>
    </row>
    <row r="509" spans="1:20" x14ac:dyDescent="0.25">
      <c r="A509" s="255"/>
      <c r="D509" s="34" t="s">
        <v>454</v>
      </c>
      <c r="E509" s="251"/>
      <c r="G509" s="251"/>
      <c r="I509" s="259"/>
      <c r="J509" s="80"/>
      <c r="K509" s="80"/>
      <c r="L509" s="31"/>
      <c r="M509" s="259"/>
      <c r="N509" s="31"/>
      <c r="O509" s="32"/>
      <c r="P509" s="31"/>
      <c r="Q509" s="32"/>
    </row>
    <row r="510" spans="1:20" x14ac:dyDescent="0.25">
      <c r="A510" s="255"/>
      <c r="E510" s="251" t="s">
        <v>456</v>
      </c>
      <c r="G510" s="251" t="s">
        <v>1123</v>
      </c>
      <c r="I510" s="360">
        <f>'Revenue Start'!F71</f>
        <v>33881</v>
      </c>
      <c r="J510" s="80"/>
      <c r="K510" s="80">
        <f>I510</f>
        <v>33881</v>
      </c>
      <c r="L510" s="31"/>
      <c r="M510" s="259">
        <v>33881</v>
      </c>
      <c r="N510" s="31"/>
      <c r="O510" s="32">
        <v>33881</v>
      </c>
      <c r="P510" s="31"/>
      <c r="Q510" s="32">
        <f>K510-O510</f>
        <v>0</v>
      </c>
    </row>
    <row r="511" spans="1:20" x14ac:dyDescent="0.25">
      <c r="A511" s="255"/>
      <c r="D511" s="251" t="s">
        <v>841</v>
      </c>
      <c r="I511" s="259"/>
      <c r="J511" s="80"/>
      <c r="K511" s="80"/>
      <c r="L511" s="31"/>
      <c r="M511" s="259"/>
      <c r="N511" s="31"/>
      <c r="O511" s="32"/>
      <c r="P511" s="31"/>
      <c r="Q511" s="32"/>
    </row>
    <row r="512" spans="1:20" x14ac:dyDescent="0.25">
      <c r="A512" s="251"/>
      <c r="B512" s="55"/>
      <c r="E512" s="251" t="s">
        <v>1242</v>
      </c>
      <c r="G512" s="251" t="s">
        <v>1264</v>
      </c>
      <c r="I512" s="360">
        <f>'Revenue Start'!F72</f>
        <v>12000000</v>
      </c>
      <c r="J512" s="80"/>
      <c r="K512" s="80">
        <f>I512</f>
        <v>12000000</v>
      </c>
      <c r="L512" s="31"/>
      <c r="M512" s="258">
        <v>12000000</v>
      </c>
      <c r="N512" s="31"/>
      <c r="O512" s="32">
        <v>12000000</v>
      </c>
      <c r="P512" s="31"/>
      <c r="Q512" s="32">
        <f>K512-O512</f>
        <v>0</v>
      </c>
    </row>
    <row r="513" spans="1:19" x14ac:dyDescent="0.25">
      <c r="A513" s="255"/>
      <c r="D513" s="251" t="s">
        <v>842</v>
      </c>
      <c r="I513" s="258"/>
      <c r="J513" s="80"/>
      <c r="K513" s="80"/>
      <c r="L513" s="31"/>
      <c r="M513" s="258"/>
      <c r="N513" s="31"/>
      <c r="O513" s="32"/>
      <c r="P513" s="31"/>
      <c r="Q513" s="32"/>
    </row>
    <row r="514" spans="1:19" x14ac:dyDescent="0.25">
      <c r="A514" s="255"/>
      <c r="E514" s="251" t="s">
        <v>1243</v>
      </c>
      <c r="G514" s="251" t="s">
        <v>1264</v>
      </c>
      <c r="I514" s="361">
        <f>'Revenue Start'!F73</f>
        <v>0</v>
      </c>
      <c r="J514" s="80"/>
      <c r="K514" s="80">
        <f>I514</f>
        <v>0</v>
      </c>
      <c r="L514" s="31"/>
      <c r="M514" s="258">
        <v>0</v>
      </c>
      <c r="N514" s="31"/>
      <c r="O514" s="32">
        <v>0</v>
      </c>
      <c r="P514" s="31"/>
      <c r="Q514" s="32">
        <f>K514-O514</f>
        <v>0</v>
      </c>
    </row>
    <row r="515" spans="1:19" x14ac:dyDescent="0.25">
      <c r="A515" s="255"/>
      <c r="D515" s="251" t="s">
        <v>843</v>
      </c>
      <c r="E515" s="251"/>
      <c r="G515" s="251"/>
      <c r="I515" s="259"/>
      <c r="J515" s="80"/>
      <c r="K515" s="80"/>
      <c r="L515" s="31"/>
      <c r="M515" s="259"/>
      <c r="N515" s="31"/>
      <c r="O515" s="32"/>
      <c r="P515" s="31"/>
      <c r="Q515" s="32"/>
    </row>
    <row r="516" spans="1:19" x14ac:dyDescent="0.25">
      <c r="A516" s="251"/>
      <c r="B516" s="55"/>
      <c r="E516" s="251" t="s">
        <v>1244</v>
      </c>
      <c r="G516" s="251" t="s">
        <v>1264</v>
      </c>
      <c r="I516" s="361">
        <v>350000</v>
      </c>
      <c r="J516" s="80"/>
      <c r="K516" s="80">
        <f>I516</f>
        <v>350000</v>
      </c>
      <c r="L516" s="31"/>
      <c r="M516" s="259">
        <v>400000</v>
      </c>
      <c r="N516" s="31"/>
      <c r="O516" s="32">
        <v>400000</v>
      </c>
      <c r="P516" s="31"/>
      <c r="Q516" s="32">
        <f>K516-O516</f>
        <v>-50000</v>
      </c>
    </row>
    <row r="517" spans="1:19" x14ac:dyDescent="0.25">
      <c r="A517" s="255"/>
      <c r="D517" s="251" t="s">
        <v>844</v>
      </c>
      <c r="I517" s="259"/>
      <c r="L517" s="31"/>
      <c r="M517" s="259"/>
      <c r="N517" s="31"/>
      <c r="O517" s="31"/>
      <c r="P517" s="31"/>
      <c r="Q517" s="32"/>
    </row>
    <row r="518" spans="1:19" x14ac:dyDescent="0.25">
      <c r="A518" s="251"/>
      <c r="B518" s="55"/>
      <c r="E518" s="251" t="s">
        <v>2899</v>
      </c>
      <c r="G518" s="251" t="s">
        <v>1264</v>
      </c>
      <c r="I518" s="360">
        <f>'Revenue Start'!F77</f>
        <v>435925</v>
      </c>
      <c r="J518" s="80"/>
      <c r="K518" s="80">
        <f>I518</f>
        <v>435925</v>
      </c>
      <c r="L518" s="31"/>
      <c r="M518" s="258">
        <v>435925</v>
      </c>
      <c r="N518" s="31"/>
      <c r="O518" s="31">
        <v>435925</v>
      </c>
      <c r="P518" s="31"/>
      <c r="Q518" s="32">
        <f>K518-O518</f>
        <v>0</v>
      </c>
    </row>
    <row r="519" spans="1:19" x14ac:dyDescent="0.25">
      <c r="A519" s="251"/>
      <c r="B519" s="55"/>
      <c r="D519" s="34" t="s">
        <v>457</v>
      </c>
      <c r="E519" s="251"/>
      <c r="G519" s="251"/>
      <c r="I519" s="258"/>
      <c r="J519" s="80"/>
      <c r="K519" s="80"/>
      <c r="L519" s="31"/>
      <c r="M519" s="258"/>
      <c r="N519" s="31"/>
      <c r="O519" s="31"/>
      <c r="P519" s="31"/>
      <c r="Q519" s="32"/>
    </row>
    <row r="520" spans="1:19" x14ac:dyDescent="0.25">
      <c r="A520" s="251"/>
      <c r="B520" s="55"/>
      <c r="E520" s="251" t="s">
        <v>2898</v>
      </c>
      <c r="G520" s="251" t="s">
        <v>1264</v>
      </c>
      <c r="I520" s="360">
        <f>'Revenue Start'!F76</f>
        <v>136913</v>
      </c>
      <c r="J520" s="80"/>
      <c r="K520" s="80">
        <f>I520</f>
        <v>136913</v>
      </c>
      <c r="L520" s="31"/>
      <c r="M520" s="258">
        <v>136913</v>
      </c>
      <c r="N520" s="31"/>
      <c r="O520" s="31">
        <v>136913</v>
      </c>
      <c r="P520" s="31"/>
      <c r="Q520" s="32">
        <f>K520-O520</f>
        <v>0</v>
      </c>
    </row>
    <row r="521" spans="1:19" x14ac:dyDescent="0.25">
      <c r="A521" s="255"/>
      <c r="C521" s="186"/>
      <c r="D521" s="251" t="s">
        <v>845</v>
      </c>
      <c r="E521" s="186"/>
      <c r="F521" s="186"/>
      <c r="G521" s="186"/>
      <c r="H521" s="186"/>
      <c r="I521" s="258"/>
      <c r="J521" s="80"/>
      <c r="K521" s="80"/>
      <c r="L521" s="32"/>
      <c r="M521" s="258"/>
      <c r="N521" s="32"/>
      <c r="O521" s="32"/>
      <c r="P521" s="32"/>
      <c r="Q521" s="32"/>
      <c r="R521" s="186"/>
      <c r="S521" s="80"/>
    </row>
    <row r="522" spans="1:19" x14ac:dyDescent="0.25">
      <c r="A522" s="251"/>
      <c r="B522" s="55"/>
      <c r="E522" s="251" t="s">
        <v>2906</v>
      </c>
      <c r="G522" s="251" t="s">
        <v>1264</v>
      </c>
      <c r="I522" s="360">
        <f>+'Revenue Start'!F74</f>
        <v>0</v>
      </c>
      <c r="J522" s="80"/>
      <c r="K522" s="80">
        <f>I522</f>
        <v>0</v>
      </c>
      <c r="L522" s="31"/>
      <c r="M522" s="258">
        <v>0</v>
      </c>
      <c r="N522" s="31"/>
      <c r="O522" s="31">
        <v>0</v>
      </c>
      <c r="P522" s="31"/>
      <c r="Q522" s="32">
        <f>K522-O522</f>
        <v>0</v>
      </c>
    </row>
    <row r="523" spans="1:19" x14ac:dyDescent="0.25">
      <c r="A523" s="255"/>
      <c r="D523" s="251" t="s">
        <v>846</v>
      </c>
      <c r="I523" s="258"/>
      <c r="J523" s="80"/>
      <c r="K523" s="80"/>
      <c r="L523" s="31"/>
      <c r="M523" s="258"/>
      <c r="N523" s="31"/>
      <c r="O523" s="31"/>
      <c r="P523" s="31"/>
      <c r="Q523" s="32"/>
    </row>
    <row r="524" spans="1:19" x14ac:dyDescent="0.25">
      <c r="A524" s="251"/>
      <c r="B524" s="55"/>
      <c r="E524" s="251" t="s">
        <v>2909</v>
      </c>
      <c r="G524" s="251" t="s">
        <v>1264</v>
      </c>
      <c r="I524" s="360">
        <f>'Revenue Start'!F75</f>
        <v>0</v>
      </c>
      <c r="J524" s="80" t="s">
        <v>342</v>
      </c>
      <c r="K524" s="80">
        <f>I524</f>
        <v>0</v>
      </c>
      <c r="L524" s="31"/>
      <c r="M524" s="258">
        <v>0</v>
      </c>
      <c r="N524" s="31" t="s">
        <v>342</v>
      </c>
      <c r="O524" s="31">
        <v>0</v>
      </c>
      <c r="P524" s="31"/>
      <c r="Q524" s="32">
        <f>K524-O524</f>
        <v>0</v>
      </c>
    </row>
    <row r="525" spans="1:19" x14ac:dyDescent="0.25">
      <c r="A525" s="255"/>
      <c r="I525" s="259"/>
      <c r="L525" s="31"/>
      <c r="M525" s="259"/>
      <c r="N525" s="31"/>
      <c r="O525" s="31"/>
      <c r="P525" s="31"/>
      <c r="Q525" s="32"/>
    </row>
    <row r="526" spans="1:19" x14ac:dyDescent="0.25">
      <c r="A526" s="255"/>
      <c r="B526" s="55" t="s">
        <v>703</v>
      </c>
      <c r="I526" s="258"/>
      <c r="J526" s="80"/>
      <c r="K526" s="80"/>
      <c r="L526" s="31"/>
      <c r="M526" s="258"/>
      <c r="N526" s="31"/>
      <c r="O526" s="32"/>
      <c r="P526" s="31"/>
      <c r="Q526" s="32"/>
    </row>
    <row r="527" spans="1:19" x14ac:dyDescent="0.25">
      <c r="A527" s="255"/>
      <c r="D527" s="34" t="s">
        <v>1698</v>
      </c>
      <c r="E527" s="251"/>
      <c r="I527" s="258"/>
      <c r="J527" s="80"/>
      <c r="K527" s="80"/>
      <c r="L527" s="31"/>
      <c r="M527" s="258"/>
      <c r="N527" s="31"/>
      <c r="O527" s="32"/>
      <c r="P527" s="31"/>
      <c r="Q527" s="32"/>
    </row>
    <row r="528" spans="1:19" x14ac:dyDescent="0.25">
      <c r="A528" s="251"/>
      <c r="B528" s="55"/>
      <c r="E528" s="251" t="s">
        <v>1245</v>
      </c>
      <c r="G528" s="251" t="s">
        <v>1264</v>
      </c>
      <c r="I528" s="260">
        <f>'Op Detail'!D4758</f>
        <v>106100</v>
      </c>
      <c r="J528" s="80"/>
      <c r="K528" s="80"/>
      <c r="L528" s="31"/>
      <c r="M528" s="260">
        <v>125100</v>
      </c>
      <c r="N528" s="31"/>
      <c r="O528" s="32"/>
      <c r="P528" s="31"/>
      <c r="Q528" s="32"/>
    </row>
    <row r="529" spans="1:20" x14ac:dyDescent="0.25">
      <c r="A529" s="255"/>
      <c r="E529" s="251" t="s">
        <v>1246</v>
      </c>
      <c r="G529" s="251" t="s">
        <v>1123</v>
      </c>
      <c r="I529" s="259">
        <f>Salaries!DF378</f>
        <v>5526.27</v>
      </c>
      <c r="J529" s="80"/>
      <c r="K529" s="80">
        <f>I529+I528</f>
        <v>111626.27</v>
      </c>
      <c r="L529" s="31"/>
      <c r="M529" s="259">
        <v>6094.57</v>
      </c>
      <c r="N529" s="31"/>
      <c r="O529" s="32">
        <v>131195</v>
      </c>
      <c r="P529" s="31"/>
      <c r="Q529" s="32">
        <f>K529-O529</f>
        <v>-19569</v>
      </c>
      <c r="T529" s="210"/>
    </row>
    <row r="530" spans="1:20" x14ac:dyDescent="0.25">
      <c r="A530" s="255"/>
      <c r="D530" s="34" t="s">
        <v>1699</v>
      </c>
      <c r="E530" s="251"/>
      <c r="I530" s="259" t="s">
        <v>342</v>
      </c>
      <c r="J530" s="80"/>
      <c r="K530" s="80"/>
      <c r="L530" s="31"/>
      <c r="M530" s="259" t="s">
        <v>342</v>
      </c>
      <c r="N530" s="31"/>
      <c r="O530" s="32"/>
      <c r="P530" s="31"/>
      <c r="Q530" s="32"/>
    </row>
    <row r="531" spans="1:20" x14ac:dyDescent="0.25">
      <c r="A531" s="251"/>
      <c r="B531" s="55"/>
      <c r="E531" s="251" t="s">
        <v>1247</v>
      </c>
      <c r="G531" s="251" t="s">
        <v>1264</v>
      </c>
      <c r="I531" s="258">
        <f>'Op Detail'!E4758</f>
        <v>42900</v>
      </c>
      <c r="J531" s="80"/>
      <c r="K531" s="80"/>
      <c r="L531" s="31"/>
      <c r="M531" s="258">
        <v>48900</v>
      </c>
      <c r="N531" s="31"/>
      <c r="O531" s="32"/>
      <c r="P531" s="31"/>
      <c r="Q531" s="32"/>
    </row>
    <row r="532" spans="1:20" x14ac:dyDescent="0.25">
      <c r="A532" s="255"/>
      <c r="E532" s="251" t="s">
        <v>1263</v>
      </c>
      <c r="G532" s="251" t="s">
        <v>1123</v>
      </c>
      <c r="I532" s="259">
        <f>Salaries!DG378</f>
        <v>18458.78</v>
      </c>
      <c r="J532" s="80"/>
      <c r="K532" s="79">
        <f>I532+I531</f>
        <v>61358.78</v>
      </c>
      <c r="L532" s="31"/>
      <c r="M532" s="259">
        <v>17708.5</v>
      </c>
      <c r="N532" s="31"/>
      <c r="O532" s="31">
        <v>66609</v>
      </c>
      <c r="P532" s="31"/>
      <c r="Q532" s="31">
        <f>K532-O532</f>
        <v>-5250</v>
      </c>
      <c r="T532" s="210"/>
    </row>
    <row r="533" spans="1:20" x14ac:dyDescent="0.25">
      <c r="A533" s="255"/>
      <c r="D533" s="34" t="s">
        <v>1781</v>
      </c>
      <c r="E533" s="251"/>
      <c r="G533" s="251"/>
      <c r="I533" s="259"/>
      <c r="J533" s="80"/>
      <c r="L533" s="31"/>
      <c r="M533" s="259"/>
      <c r="N533" s="31"/>
      <c r="O533" s="31"/>
      <c r="P533" s="31"/>
      <c r="Q533" s="31"/>
    </row>
    <row r="534" spans="1:20" x14ac:dyDescent="0.25">
      <c r="A534" s="255"/>
      <c r="E534" s="251" t="s">
        <v>1700</v>
      </c>
      <c r="G534" s="251" t="s">
        <v>1264</v>
      </c>
      <c r="I534" s="259">
        <f>'Op Detail'!F4757</f>
        <v>0</v>
      </c>
      <c r="J534" s="80"/>
      <c r="K534" s="80">
        <f>I534</f>
        <v>0</v>
      </c>
      <c r="L534" s="31"/>
      <c r="M534" s="259">
        <v>0</v>
      </c>
      <c r="N534" s="31"/>
      <c r="O534" s="32">
        <v>0</v>
      </c>
      <c r="P534" s="31"/>
      <c r="Q534" s="32">
        <f>K534-O534</f>
        <v>0</v>
      </c>
    </row>
    <row r="535" spans="1:20" x14ac:dyDescent="0.25">
      <c r="A535" s="255"/>
      <c r="D535" s="251" t="s">
        <v>849</v>
      </c>
      <c r="I535" s="258"/>
      <c r="J535" s="80"/>
      <c r="K535" s="80"/>
      <c r="L535" s="31"/>
      <c r="M535" s="258"/>
      <c r="N535" s="31"/>
      <c r="O535" s="32"/>
      <c r="P535" s="31"/>
      <c r="Q535" s="32"/>
    </row>
    <row r="536" spans="1:20" x14ac:dyDescent="0.25">
      <c r="A536" s="251"/>
      <c r="B536" s="55"/>
      <c r="E536" s="251" t="s">
        <v>1248</v>
      </c>
      <c r="G536" s="251" t="s">
        <v>1264</v>
      </c>
      <c r="I536" s="258">
        <f>'Op Detail'!D5076</f>
        <v>251835</v>
      </c>
      <c r="J536" s="80"/>
      <c r="K536" s="259" t="s">
        <v>342</v>
      </c>
      <c r="L536" s="31"/>
      <c r="M536" s="258">
        <v>302735</v>
      </c>
      <c r="N536" s="31"/>
      <c r="O536" s="254" t="s">
        <v>342</v>
      </c>
      <c r="P536" s="31"/>
      <c r="Q536" s="32"/>
    </row>
    <row r="537" spans="1:20" x14ac:dyDescent="0.25">
      <c r="A537" s="255"/>
      <c r="E537" s="251" t="s">
        <v>1249</v>
      </c>
      <c r="G537" s="251" t="s">
        <v>1123</v>
      </c>
      <c r="I537" s="258">
        <f>Salaries!DD378</f>
        <v>117471.4</v>
      </c>
      <c r="J537" s="80"/>
      <c r="K537" s="80">
        <f>I536+I537</f>
        <v>369306.4</v>
      </c>
      <c r="L537" s="31"/>
      <c r="M537" s="258">
        <v>116234.31</v>
      </c>
      <c r="N537" s="31"/>
      <c r="O537" s="32">
        <v>418969</v>
      </c>
      <c r="P537" s="31"/>
      <c r="Q537" s="32">
        <f>K537-O537</f>
        <v>-49663</v>
      </c>
      <c r="T537" s="210"/>
    </row>
    <row r="538" spans="1:20" x14ac:dyDescent="0.25">
      <c r="A538" s="255"/>
      <c r="D538" s="251" t="s">
        <v>850</v>
      </c>
      <c r="I538" s="258"/>
      <c r="J538" s="80"/>
      <c r="K538" s="80"/>
      <c r="L538" s="31"/>
      <c r="M538" s="258"/>
      <c r="N538" s="31"/>
      <c r="O538" s="32"/>
      <c r="P538" s="31"/>
      <c r="Q538" s="32"/>
    </row>
    <row r="539" spans="1:20" x14ac:dyDescent="0.25">
      <c r="A539" s="251"/>
      <c r="B539" s="55"/>
      <c r="E539" s="251" t="s">
        <v>1250</v>
      </c>
      <c r="G539" s="251" t="s">
        <v>1264</v>
      </c>
      <c r="I539" s="260">
        <f>'Op Detail'!D5112</f>
        <v>0</v>
      </c>
      <c r="J539" s="80"/>
      <c r="K539" s="80"/>
      <c r="L539" s="31"/>
      <c r="M539" s="260">
        <v>0</v>
      </c>
      <c r="N539" s="31"/>
      <c r="O539" s="32"/>
      <c r="P539" s="31"/>
      <c r="Q539" s="32"/>
    </row>
    <row r="540" spans="1:20" x14ac:dyDescent="0.25">
      <c r="A540" s="255"/>
      <c r="E540" s="251" t="s">
        <v>1118</v>
      </c>
      <c r="G540" s="251" t="s">
        <v>1123</v>
      </c>
      <c r="I540" s="258">
        <f>Salaries!DE378</f>
        <v>0</v>
      </c>
      <c r="J540" s="80"/>
      <c r="K540" s="80">
        <f>I539+I540</f>
        <v>0</v>
      </c>
      <c r="L540" s="31"/>
      <c r="M540" s="258">
        <v>0</v>
      </c>
      <c r="N540" s="31"/>
      <c r="O540" s="32">
        <v>0</v>
      </c>
      <c r="P540" s="31"/>
      <c r="Q540" s="32">
        <f>K540-O540</f>
        <v>0</v>
      </c>
      <c r="T540" s="210"/>
    </row>
    <row r="541" spans="1:20" x14ac:dyDescent="0.25">
      <c r="A541" s="255"/>
      <c r="D541" s="251" t="s">
        <v>851</v>
      </c>
      <c r="I541" s="258"/>
      <c r="J541" s="80"/>
      <c r="K541" s="80"/>
      <c r="L541" s="31"/>
      <c r="M541" s="258"/>
      <c r="N541" s="31"/>
      <c r="O541" s="32"/>
      <c r="P541" s="31"/>
      <c r="Q541" s="32"/>
    </row>
    <row r="542" spans="1:20" x14ac:dyDescent="0.25">
      <c r="A542" s="251"/>
      <c r="B542" s="55"/>
      <c r="E542" s="251" t="s">
        <v>1119</v>
      </c>
      <c r="G542" s="251" t="s">
        <v>1264</v>
      </c>
      <c r="I542" s="259">
        <f>'Op Detail'!D5131</f>
        <v>49228</v>
      </c>
      <c r="J542" s="80"/>
      <c r="K542" s="80">
        <f>I542</f>
        <v>49228</v>
      </c>
      <c r="L542" s="31"/>
      <c r="M542" s="259">
        <v>49228</v>
      </c>
      <c r="N542" s="31"/>
      <c r="O542" s="32">
        <v>49228</v>
      </c>
      <c r="P542" s="31"/>
      <c r="Q542" s="32">
        <f>K542-O542</f>
        <v>0</v>
      </c>
    </row>
    <row r="543" spans="1:20" x14ac:dyDescent="0.25">
      <c r="A543" s="255"/>
      <c r="D543" s="251" t="s">
        <v>852</v>
      </c>
      <c r="I543" s="258"/>
      <c r="J543" s="80"/>
      <c r="K543" s="80"/>
      <c r="L543" s="31"/>
      <c r="M543" s="258"/>
      <c r="N543" s="31"/>
      <c r="O543" s="32"/>
      <c r="P543" s="31"/>
      <c r="Q543" s="32"/>
    </row>
    <row r="544" spans="1:20" x14ac:dyDescent="0.25">
      <c r="A544" s="251"/>
      <c r="B544" s="55"/>
      <c r="E544" s="251" t="s">
        <v>1120</v>
      </c>
      <c r="G544" s="251" t="s">
        <v>1264</v>
      </c>
      <c r="I544" s="259">
        <f>'Op Detail'!D4780</f>
        <v>170000</v>
      </c>
      <c r="J544" s="80"/>
      <c r="K544" s="80">
        <f>I544</f>
        <v>170000</v>
      </c>
      <c r="L544" s="31"/>
      <c r="M544" s="259">
        <v>170000</v>
      </c>
      <c r="N544" s="31"/>
      <c r="O544" s="32">
        <v>170000</v>
      </c>
      <c r="P544" s="31"/>
      <c r="Q544" s="32">
        <f>K544-O544</f>
        <v>0</v>
      </c>
    </row>
    <row r="545" spans="1:20" x14ac:dyDescent="0.25">
      <c r="A545" s="255"/>
      <c r="D545" s="251" t="s">
        <v>1004</v>
      </c>
      <c r="I545" s="258"/>
      <c r="J545" s="80"/>
      <c r="K545" s="80"/>
      <c r="L545" s="31"/>
      <c r="M545" s="258"/>
      <c r="N545" s="31"/>
      <c r="O545" s="32"/>
      <c r="P545" s="31"/>
      <c r="Q545" s="32"/>
    </row>
    <row r="546" spans="1:20" x14ac:dyDescent="0.25">
      <c r="A546" s="251"/>
      <c r="B546" s="55"/>
      <c r="E546" s="251" t="s">
        <v>1121</v>
      </c>
      <c r="G546" s="251" t="s">
        <v>1264</v>
      </c>
      <c r="I546" s="259">
        <f>'Op Detail'!D4799</f>
        <v>37500</v>
      </c>
      <c r="J546" s="80"/>
      <c r="K546" s="80">
        <f>I546</f>
        <v>37500</v>
      </c>
      <c r="L546" s="31"/>
      <c r="M546" s="259">
        <v>37500</v>
      </c>
      <c r="N546" s="31"/>
      <c r="O546" s="32">
        <v>37500</v>
      </c>
      <c r="P546" s="31"/>
      <c r="Q546" s="32">
        <f>K546-O546</f>
        <v>0</v>
      </c>
    </row>
    <row r="547" spans="1:20" x14ac:dyDescent="0.25">
      <c r="A547" s="255"/>
      <c r="D547" s="251" t="s">
        <v>1005</v>
      </c>
      <c r="I547" s="258"/>
      <c r="J547" s="80"/>
      <c r="K547" s="80"/>
      <c r="L547" s="31"/>
      <c r="M547" s="258"/>
      <c r="N547" s="31"/>
      <c r="O547" s="32"/>
      <c r="P547" s="31"/>
      <c r="Q547" s="32"/>
    </row>
    <row r="548" spans="1:20" x14ac:dyDescent="0.25">
      <c r="A548" s="251"/>
      <c r="B548" s="55"/>
      <c r="E548" s="251" t="s">
        <v>1122</v>
      </c>
      <c r="G548" s="251" t="s">
        <v>1264</v>
      </c>
      <c r="I548" s="258">
        <f>'Op Detail'!D5363</f>
        <v>100000</v>
      </c>
      <c r="J548" s="80"/>
      <c r="K548" s="80">
        <f>I548</f>
        <v>100000</v>
      </c>
      <c r="L548" s="31"/>
      <c r="M548" s="258">
        <v>100000</v>
      </c>
      <c r="N548" s="31"/>
      <c r="O548" s="32">
        <v>100000</v>
      </c>
      <c r="P548" s="31"/>
      <c r="Q548" s="32">
        <f>K548-O548</f>
        <v>0</v>
      </c>
    </row>
    <row r="549" spans="1:20" x14ac:dyDescent="0.25">
      <c r="A549" s="255"/>
      <c r="D549" s="251" t="s">
        <v>1006</v>
      </c>
      <c r="I549" s="258"/>
      <c r="J549" s="80"/>
      <c r="K549" s="80"/>
      <c r="L549" s="31"/>
      <c r="M549" s="258"/>
      <c r="N549" s="31"/>
      <c r="O549" s="32"/>
      <c r="P549" s="31"/>
      <c r="Q549" s="32"/>
    </row>
    <row r="550" spans="1:20" x14ac:dyDescent="0.25">
      <c r="A550" s="251"/>
      <c r="B550" s="55"/>
      <c r="E550" s="251" t="s">
        <v>980</v>
      </c>
      <c r="G550" s="251" t="s">
        <v>1264</v>
      </c>
      <c r="H550" s="39"/>
      <c r="I550" s="258">
        <f>'Op Detail'!D4838</f>
        <v>94735</v>
      </c>
      <c r="J550" s="80"/>
      <c r="K550" s="80"/>
      <c r="L550" s="31"/>
      <c r="M550" s="258">
        <v>99560</v>
      </c>
      <c r="N550" s="31"/>
      <c r="O550" s="32"/>
      <c r="P550" s="31"/>
      <c r="Q550" s="32"/>
    </row>
    <row r="551" spans="1:20" x14ac:dyDescent="0.25">
      <c r="A551" s="255"/>
      <c r="E551" s="251" t="s">
        <v>983</v>
      </c>
      <c r="G551" s="251" t="s">
        <v>1123</v>
      </c>
      <c r="I551" s="258">
        <f>Salaries!DO378</f>
        <v>154109.68</v>
      </c>
      <c r="J551" s="80"/>
      <c r="K551" s="80">
        <f>I550+I551</f>
        <v>248844.68</v>
      </c>
      <c r="L551" s="31"/>
      <c r="M551" s="258">
        <v>123536.8</v>
      </c>
      <c r="N551" s="31"/>
      <c r="O551" s="32">
        <v>223097</v>
      </c>
      <c r="P551" s="31"/>
      <c r="Q551" s="32">
        <f>K551-O551</f>
        <v>25748</v>
      </c>
      <c r="T551" s="210"/>
    </row>
    <row r="552" spans="1:20" x14ac:dyDescent="0.25">
      <c r="A552" s="255"/>
      <c r="D552" s="251" t="s">
        <v>1710</v>
      </c>
      <c r="E552" s="251"/>
      <c r="G552" s="251"/>
      <c r="I552" s="259"/>
      <c r="J552" s="80"/>
      <c r="K552" s="80"/>
      <c r="L552" s="31"/>
      <c r="M552" s="259"/>
      <c r="N552" s="31"/>
      <c r="O552" s="32"/>
      <c r="P552" s="31"/>
      <c r="Q552" s="32"/>
    </row>
    <row r="553" spans="1:20" x14ac:dyDescent="0.25">
      <c r="A553" s="251"/>
      <c r="B553" s="55"/>
      <c r="E553" s="251" t="s">
        <v>984</v>
      </c>
      <c r="G553" s="251" t="s">
        <v>1264</v>
      </c>
      <c r="I553" s="258">
        <f>'Op Detail'!D4867</f>
        <v>0</v>
      </c>
      <c r="J553" s="80"/>
      <c r="K553" s="259" t="s">
        <v>342</v>
      </c>
      <c r="L553" s="31"/>
      <c r="M553" s="258">
        <v>0</v>
      </c>
      <c r="N553" s="31"/>
      <c r="O553" s="254" t="s">
        <v>342</v>
      </c>
      <c r="P553" s="31"/>
      <c r="Q553" s="32"/>
    </row>
    <row r="554" spans="1:20" x14ac:dyDescent="0.25">
      <c r="A554" s="255"/>
      <c r="E554" s="251" t="s">
        <v>1697</v>
      </c>
      <c r="G554" s="251" t="s">
        <v>1123</v>
      </c>
      <c r="I554" s="258">
        <f>Salaries!CC378</f>
        <v>0</v>
      </c>
      <c r="J554" s="80"/>
      <c r="K554" s="80">
        <f>I553+I554</f>
        <v>0</v>
      </c>
      <c r="L554" s="31"/>
      <c r="M554" s="258">
        <v>0</v>
      </c>
      <c r="N554" s="31"/>
      <c r="O554" s="32">
        <v>0</v>
      </c>
      <c r="P554" s="31"/>
      <c r="Q554" s="32">
        <f>K554-O554</f>
        <v>0</v>
      </c>
    </row>
    <row r="555" spans="1:20" x14ac:dyDescent="0.25">
      <c r="A555" s="255"/>
      <c r="E555" s="251"/>
      <c r="G555" s="251"/>
      <c r="I555" s="258"/>
      <c r="J555" s="80"/>
      <c r="K555" s="80"/>
      <c r="L555" s="31"/>
      <c r="M555" s="258"/>
      <c r="N555" s="31"/>
      <c r="O555" s="32"/>
      <c r="P555" s="31"/>
      <c r="Q555" s="32"/>
    </row>
    <row r="556" spans="1:20" ht="18" x14ac:dyDescent="0.25">
      <c r="A556" s="261" t="s">
        <v>491</v>
      </c>
      <c r="B556" s="261"/>
      <c r="E556" s="251"/>
      <c r="G556" s="251"/>
      <c r="I556" s="258"/>
      <c r="K556" s="80"/>
      <c r="L556" s="31"/>
      <c r="M556" s="258"/>
      <c r="N556" s="31"/>
      <c r="O556" s="32"/>
      <c r="P556" s="31"/>
      <c r="Q556" s="32"/>
    </row>
    <row r="557" spans="1:20" ht="18" x14ac:dyDescent="0.25">
      <c r="A557" s="261"/>
      <c r="B557" s="54" t="s">
        <v>1340</v>
      </c>
      <c r="E557" s="251"/>
      <c r="G557" s="251"/>
      <c r="I557" s="258"/>
      <c r="K557" s="80"/>
      <c r="L557" s="31"/>
      <c r="M557" s="258"/>
      <c r="N557" s="31"/>
      <c r="O557" s="32"/>
      <c r="P557" s="31"/>
      <c r="Q557" s="32"/>
    </row>
    <row r="558" spans="1:20" x14ac:dyDescent="0.25">
      <c r="A558" s="255"/>
      <c r="C558" s="34" t="s">
        <v>361</v>
      </c>
      <c r="I558" s="259"/>
      <c r="M558" s="259"/>
      <c r="N558" s="31"/>
      <c r="O558" s="31"/>
      <c r="P558" s="31"/>
      <c r="Q558" s="32"/>
    </row>
    <row r="559" spans="1:20" x14ac:dyDescent="0.25">
      <c r="A559" s="251"/>
      <c r="B559" s="55"/>
      <c r="D559" s="34" t="s">
        <v>801</v>
      </c>
      <c r="E559" s="251"/>
      <c r="G559" s="251"/>
      <c r="I559" s="258"/>
      <c r="L559" s="31"/>
      <c r="M559" s="258"/>
      <c r="N559" s="31"/>
      <c r="O559" s="31"/>
      <c r="P559" s="31"/>
      <c r="Q559" s="32"/>
    </row>
    <row r="560" spans="1:20" x14ac:dyDescent="0.25">
      <c r="A560" s="255"/>
      <c r="E560" s="251" t="s">
        <v>823</v>
      </c>
      <c r="G560" s="251" t="s">
        <v>1264</v>
      </c>
      <c r="I560" s="258">
        <f>'Op Detail'!E2702</f>
        <v>-5853.6</v>
      </c>
      <c r="K560" s="79">
        <f>I560</f>
        <v>-5853.6</v>
      </c>
      <c r="L560" s="31"/>
      <c r="M560" s="258">
        <v>1457</v>
      </c>
      <c r="N560" s="31"/>
      <c r="O560" s="31">
        <v>1457</v>
      </c>
      <c r="P560" s="31"/>
      <c r="Q560" s="32">
        <f>K560-O560</f>
        <v>-7311</v>
      </c>
    </row>
    <row r="561" spans="1:20" x14ac:dyDescent="0.25">
      <c r="A561" s="251"/>
      <c r="B561" s="55"/>
      <c r="D561" s="251" t="s">
        <v>1559</v>
      </c>
      <c r="I561" s="258"/>
      <c r="L561" s="31"/>
      <c r="M561" s="258"/>
      <c r="N561" s="31"/>
      <c r="O561" s="31"/>
      <c r="P561" s="31"/>
      <c r="Q561" s="32"/>
    </row>
    <row r="562" spans="1:20" x14ac:dyDescent="0.25">
      <c r="A562" s="255"/>
      <c r="E562" s="251" t="s">
        <v>824</v>
      </c>
      <c r="G562" s="251" t="s">
        <v>1264</v>
      </c>
      <c r="I562" s="258">
        <f>'Op Detail'!F2533</f>
        <v>12420.8</v>
      </c>
      <c r="K562" s="79">
        <f>I562</f>
        <v>12420.8</v>
      </c>
      <c r="L562" s="31"/>
      <c r="M562" s="258">
        <v>8865</v>
      </c>
      <c r="N562" s="31"/>
      <c r="O562" s="31">
        <v>8865</v>
      </c>
      <c r="P562" s="31"/>
      <c r="Q562" s="32">
        <f>K562-O562</f>
        <v>3556</v>
      </c>
    </row>
    <row r="563" spans="1:20" x14ac:dyDescent="0.25">
      <c r="A563" s="251"/>
      <c r="B563" s="55"/>
      <c r="D563" s="251" t="s">
        <v>803</v>
      </c>
      <c r="I563" s="259"/>
      <c r="L563" s="31"/>
      <c r="M563" s="259"/>
      <c r="N563" s="31"/>
      <c r="O563" s="31"/>
      <c r="P563" s="31"/>
      <c r="Q563" s="32"/>
      <c r="T563" s="34"/>
    </row>
    <row r="564" spans="1:20" x14ac:dyDescent="0.25">
      <c r="A564" s="255"/>
      <c r="E564" s="251" t="s">
        <v>825</v>
      </c>
      <c r="G564" s="251" t="s">
        <v>1264</v>
      </c>
      <c r="I564" s="258">
        <f>'Op Detail'!F2614</f>
        <v>720.8</v>
      </c>
      <c r="K564" s="79">
        <f>I564</f>
        <v>720.8</v>
      </c>
      <c r="L564" s="31"/>
      <c r="M564" s="258">
        <v>901</v>
      </c>
      <c r="N564" s="31"/>
      <c r="O564" s="31">
        <v>901</v>
      </c>
      <c r="P564" s="31"/>
      <c r="Q564" s="32">
        <f>K564-O564</f>
        <v>-180</v>
      </c>
      <c r="T564" s="34"/>
    </row>
    <row r="565" spans="1:20" x14ac:dyDescent="0.25">
      <c r="A565" s="251"/>
      <c r="B565" s="55"/>
      <c r="D565" s="251" t="s">
        <v>804</v>
      </c>
      <c r="I565" s="258"/>
      <c r="L565" s="31"/>
      <c r="M565" s="258"/>
      <c r="N565" s="31"/>
      <c r="O565" s="31"/>
      <c r="P565" s="31"/>
      <c r="Q565" s="32"/>
      <c r="T565" s="34"/>
    </row>
    <row r="566" spans="1:20" x14ac:dyDescent="0.25">
      <c r="A566" s="255"/>
      <c r="E566" s="251" t="s">
        <v>826</v>
      </c>
      <c r="G566" s="251" t="s">
        <v>1264</v>
      </c>
      <c r="I566" s="258">
        <f>'Op Detail'!F2491</f>
        <v>406.02</v>
      </c>
      <c r="K566" s="79">
        <f>I566</f>
        <v>406.02</v>
      </c>
      <c r="L566" s="31"/>
      <c r="M566" s="258">
        <v>1993</v>
      </c>
      <c r="N566" s="31"/>
      <c r="O566" s="31">
        <v>1993</v>
      </c>
      <c r="P566" s="31"/>
      <c r="Q566" s="32">
        <f>K566-O566</f>
        <v>-1587</v>
      </c>
      <c r="T566" s="34"/>
    </row>
    <row r="567" spans="1:20" x14ac:dyDescent="0.25">
      <c r="A567" s="255"/>
      <c r="D567" s="255" t="s">
        <v>2720</v>
      </c>
      <c r="E567" s="251"/>
      <c r="G567" s="251"/>
      <c r="I567" s="258"/>
      <c r="L567" s="31"/>
      <c r="M567" s="258"/>
      <c r="N567" s="31"/>
      <c r="O567" s="31"/>
      <c r="P567" s="31"/>
      <c r="Q567" s="32"/>
      <c r="T567" s="34"/>
    </row>
    <row r="568" spans="1:20" x14ac:dyDescent="0.25">
      <c r="A568" s="255"/>
      <c r="E568" s="251" t="s">
        <v>2721</v>
      </c>
      <c r="G568" s="251" t="s">
        <v>1264</v>
      </c>
      <c r="I568" s="258">
        <f>'Op Detail'!H2702</f>
        <v>14751.73</v>
      </c>
      <c r="K568" s="79">
        <f>I568</f>
        <v>14751.73</v>
      </c>
      <c r="L568" s="31"/>
      <c r="M568" s="258">
        <v>22850</v>
      </c>
      <c r="N568" s="31"/>
      <c r="O568" s="31">
        <v>22850</v>
      </c>
      <c r="P568" s="31"/>
      <c r="Q568" s="32"/>
      <c r="T568" s="34"/>
    </row>
    <row r="569" spans="1:20" x14ac:dyDescent="0.25">
      <c r="A569" s="251"/>
      <c r="B569" s="55"/>
      <c r="D569" s="251" t="s">
        <v>805</v>
      </c>
      <c r="I569" s="258"/>
      <c r="L569" s="31"/>
      <c r="M569" s="258"/>
      <c r="N569" s="31"/>
      <c r="O569" s="31"/>
      <c r="P569" s="31"/>
      <c r="Q569" s="32"/>
      <c r="T569" s="34"/>
    </row>
    <row r="570" spans="1:20" x14ac:dyDescent="0.25">
      <c r="A570" s="255"/>
      <c r="E570" s="251" t="s">
        <v>827</v>
      </c>
      <c r="G570" s="251" t="s">
        <v>1264</v>
      </c>
      <c r="I570" s="258">
        <f>'Op Detail'!E2533</f>
        <v>2789</v>
      </c>
      <c r="K570" s="79">
        <f>I570</f>
        <v>2789</v>
      </c>
      <c r="L570" s="31"/>
      <c r="M570" s="258">
        <v>3486</v>
      </c>
      <c r="N570" s="31"/>
      <c r="O570" s="31">
        <v>3486</v>
      </c>
      <c r="P570" s="31"/>
      <c r="Q570" s="32">
        <f>K570-O570</f>
        <v>-697</v>
      </c>
      <c r="T570" s="34"/>
    </row>
    <row r="571" spans="1:20" x14ac:dyDescent="0.25">
      <c r="A571" s="255"/>
      <c r="D571" s="255" t="s">
        <v>2865</v>
      </c>
      <c r="E571" s="251"/>
      <c r="G571" s="251"/>
      <c r="I571" s="258"/>
      <c r="L571" s="31"/>
      <c r="M571" s="258"/>
      <c r="N571" s="31"/>
      <c r="O571" s="31"/>
      <c r="P571" s="31"/>
      <c r="Q571" s="32"/>
      <c r="T571" s="34"/>
    </row>
    <row r="572" spans="1:20" x14ac:dyDescent="0.25">
      <c r="A572" s="255"/>
      <c r="E572" s="251" t="s">
        <v>2866</v>
      </c>
      <c r="G572" s="251" t="s">
        <v>1264</v>
      </c>
      <c r="I572" s="258">
        <f>+'Op Detail'!G2491</f>
        <v>515</v>
      </c>
      <c r="K572" s="79">
        <f>I572</f>
        <v>515</v>
      </c>
      <c r="L572" s="31"/>
      <c r="M572" s="258">
        <v>3515</v>
      </c>
      <c r="N572" s="31"/>
      <c r="O572" s="31">
        <v>3515</v>
      </c>
      <c r="P572" s="31"/>
      <c r="Q572" s="32">
        <f>K572-O572</f>
        <v>-3000</v>
      </c>
      <c r="T572" s="34"/>
    </row>
    <row r="573" spans="1:20" x14ac:dyDescent="0.25">
      <c r="A573" s="255"/>
      <c r="E573" s="251"/>
      <c r="G573" s="251"/>
      <c r="I573" s="258"/>
      <c r="L573" s="31"/>
      <c r="M573" s="258"/>
      <c r="N573" s="31"/>
      <c r="O573" s="31"/>
      <c r="P573" s="31"/>
      <c r="Q573" s="32"/>
      <c r="T573" s="34"/>
    </row>
    <row r="574" spans="1:20" x14ac:dyDescent="0.25">
      <c r="A574" s="251"/>
      <c r="B574" s="55"/>
      <c r="D574" s="251" t="s">
        <v>806</v>
      </c>
      <c r="I574" s="258"/>
      <c r="L574" s="31"/>
      <c r="M574" s="258"/>
      <c r="N574" s="31"/>
      <c r="O574" s="31"/>
      <c r="P574" s="31"/>
      <c r="Q574" s="32"/>
      <c r="T574" s="34"/>
    </row>
    <row r="575" spans="1:20" x14ac:dyDescent="0.25">
      <c r="A575" s="255"/>
      <c r="E575" s="251" t="s">
        <v>828</v>
      </c>
      <c r="G575" s="251" t="s">
        <v>1264</v>
      </c>
      <c r="I575" s="258">
        <f>'Op Detail'!H2491</f>
        <v>6490.63</v>
      </c>
      <c r="K575" s="79">
        <f>I575</f>
        <v>6490.63</v>
      </c>
      <c r="L575" s="31"/>
      <c r="M575" s="258">
        <v>4973</v>
      </c>
      <c r="N575" s="31"/>
      <c r="O575" s="31">
        <v>4973</v>
      </c>
      <c r="P575" s="31"/>
      <c r="Q575" s="32">
        <f>K575-O575</f>
        <v>1518</v>
      </c>
      <c r="T575" s="34"/>
    </row>
    <row r="576" spans="1:20" x14ac:dyDescent="0.25">
      <c r="A576" s="255"/>
      <c r="D576" s="34" t="s">
        <v>1942</v>
      </c>
      <c r="E576" s="251"/>
      <c r="G576" s="251"/>
      <c r="I576" s="258"/>
      <c r="L576" s="31"/>
      <c r="M576" s="258"/>
      <c r="N576" s="31"/>
      <c r="O576" s="31"/>
      <c r="P576" s="31"/>
      <c r="Q576" s="32"/>
      <c r="T576" s="34"/>
    </row>
    <row r="577" spans="1:20" x14ac:dyDescent="0.25">
      <c r="A577" s="255"/>
      <c r="E577" s="251" t="s">
        <v>1926</v>
      </c>
      <c r="G577" s="251" t="s">
        <v>1264</v>
      </c>
      <c r="I577" s="258">
        <f>'Op Detail'!H2614</f>
        <v>1819</v>
      </c>
      <c r="K577" s="79">
        <f>I577</f>
        <v>1819</v>
      </c>
      <c r="L577" s="31"/>
      <c r="M577" s="258">
        <v>1843</v>
      </c>
      <c r="N577" s="31"/>
      <c r="O577" s="31">
        <v>1843</v>
      </c>
      <c r="P577" s="31"/>
      <c r="Q577" s="32">
        <f>K577-O577</f>
        <v>-24</v>
      </c>
      <c r="T577" s="34"/>
    </row>
    <row r="578" spans="1:20" x14ac:dyDescent="0.25">
      <c r="A578" s="251"/>
      <c r="B578" s="55"/>
      <c r="C578" s="186"/>
      <c r="D578" s="251" t="s">
        <v>807</v>
      </c>
      <c r="E578" s="186"/>
      <c r="F578" s="186"/>
      <c r="G578" s="186"/>
      <c r="H578" s="186"/>
      <c r="I578" s="259"/>
      <c r="J578" s="80"/>
      <c r="L578" s="32"/>
      <c r="M578" s="259"/>
      <c r="N578" s="32"/>
      <c r="O578" s="31"/>
      <c r="P578" s="32"/>
      <c r="Q578" s="32"/>
      <c r="R578" s="186"/>
      <c r="S578" s="80"/>
      <c r="T578" s="34"/>
    </row>
    <row r="579" spans="1:20" x14ac:dyDescent="0.25">
      <c r="A579" s="255"/>
      <c r="E579" s="251" t="s">
        <v>829</v>
      </c>
      <c r="G579" s="251" t="s">
        <v>1264</v>
      </c>
      <c r="I579" s="258">
        <f>'Op Detail'!D2533</f>
        <v>1712.8</v>
      </c>
      <c r="K579" s="79">
        <f>I579</f>
        <v>1712.8</v>
      </c>
      <c r="L579" s="31"/>
      <c r="M579" s="258">
        <v>2165</v>
      </c>
      <c r="N579" s="31"/>
      <c r="O579" s="31">
        <v>2165</v>
      </c>
      <c r="P579" s="31"/>
      <c r="Q579" s="32">
        <f>K579-O579</f>
        <v>-452</v>
      </c>
      <c r="S579" s="34"/>
      <c r="T579" s="34"/>
    </row>
    <row r="580" spans="1:20" x14ac:dyDescent="0.25">
      <c r="A580" s="251"/>
      <c r="B580" s="55"/>
      <c r="D580" s="251" t="s">
        <v>1560</v>
      </c>
      <c r="I580" s="259"/>
      <c r="L580" s="31"/>
      <c r="M580" s="259"/>
      <c r="N580" s="31"/>
      <c r="O580" s="31"/>
      <c r="P580" s="31"/>
      <c r="Q580" s="32"/>
      <c r="S580" s="34"/>
      <c r="T580" s="34"/>
    </row>
    <row r="581" spans="1:20" x14ac:dyDescent="0.25">
      <c r="A581" s="255"/>
      <c r="E581" s="251" t="s">
        <v>830</v>
      </c>
      <c r="G581" s="251" t="s">
        <v>1264</v>
      </c>
      <c r="I581" s="259">
        <f>'Op Detail'!H2533</f>
        <v>3428</v>
      </c>
      <c r="K581" s="79">
        <f>I581</f>
        <v>3428</v>
      </c>
      <c r="L581" s="31"/>
      <c r="M581" s="259">
        <v>2829</v>
      </c>
      <c r="N581" s="31"/>
      <c r="O581" s="31">
        <v>2829</v>
      </c>
      <c r="P581" s="31"/>
      <c r="Q581" s="32">
        <f>K581-O581</f>
        <v>599</v>
      </c>
      <c r="S581" s="34"/>
      <c r="T581" s="34"/>
    </row>
    <row r="582" spans="1:20" x14ac:dyDescent="0.25">
      <c r="A582" s="251"/>
      <c r="B582" s="55"/>
      <c r="D582" s="251" t="s">
        <v>1561</v>
      </c>
      <c r="I582" s="259"/>
      <c r="L582" s="31"/>
      <c r="M582" s="259"/>
      <c r="N582" s="31"/>
      <c r="O582" s="31"/>
      <c r="P582" s="31"/>
      <c r="Q582" s="32"/>
      <c r="S582" s="34"/>
      <c r="T582" s="34"/>
    </row>
    <row r="583" spans="1:20" x14ac:dyDescent="0.25">
      <c r="A583" s="255"/>
      <c r="E583" s="251" t="s">
        <v>484</v>
      </c>
      <c r="G583" s="251" t="s">
        <v>1264</v>
      </c>
      <c r="I583" s="259">
        <f>'Op Detail'!D2573</f>
        <v>-2142.4</v>
      </c>
      <c r="K583" s="79">
        <f>I583</f>
        <v>-2142.4</v>
      </c>
      <c r="L583" s="31"/>
      <c r="M583" s="259">
        <v>1072</v>
      </c>
      <c r="N583" s="31"/>
      <c r="O583" s="31">
        <v>1072</v>
      </c>
      <c r="P583" s="31"/>
      <c r="Q583" s="32">
        <f>K583-O583</f>
        <v>-3214</v>
      </c>
      <c r="S583" s="34"/>
      <c r="T583" s="34"/>
    </row>
    <row r="584" spans="1:20" x14ac:dyDescent="0.25">
      <c r="A584" s="251"/>
      <c r="B584" s="55"/>
      <c r="D584" s="34" t="s">
        <v>808</v>
      </c>
      <c r="E584" s="251"/>
      <c r="G584" s="251"/>
      <c r="I584" s="259"/>
      <c r="L584" s="31"/>
      <c r="M584" s="259"/>
      <c r="N584" s="31"/>
      <c r="O584" s="31"/>
      <c r="P584" s="31"/>
      <c r="Q584" s="32"/>
      <c r="S584" s="34"/>
      <c r="T584" s="34"/>
    </row>
    <row r="585" spans="1:20" x14ac:dyDescent="0.25">
      <c r="A585" s="255"/>
      <c r="E585" s="251" t="s">
        <v>986</v>
      </c>
      <c r="G585" s="251" t="s">
        <v>1264</v>
      </c>
      <c r="I585" s="259">
        <f>'Op Detail'!D2614</f>
        <v>771.2</v>
      </c>
      <c r="K585" s="79">
        <f>I585</f>
        <v>771.2</v>
      </c>
      <c r="L585" s="31"/>
      <c r="M585" s="259">
        <v>964</v>
      </c>
      <c r="N585" s="31"/>
      <c r="O585" s="31">
        <v>964</v>
      </c>
      <c r="P585" s="31"/>
      <c r="Q585" s="32">
        <f>K585-O585</f>
        <v>-193</v>
      </c>
      <c r="S585" s="34"/>
      <c r="T585" s="34"/>
    </row>
    <row r="586" spans="1:20" x14ac:dyDescent="0.25">
      <c r="A586" s="251"/>
      <c r="B586" s="55"/>
      <c r="D586" s="251" t="s">
        <v>809</v>
      </c>
      <c r="I586" s="259"/>
      <c r="L586" s="31"/>
      <c r="M586" s="259"/>
      <c r="N586" s="31"/>
      <c r="O586" s="31"/>
      <c r="P586" s="31"/>
      <c r="Q586" s="32"/>
      <c r="S586" s="34"/>
      <c r="T586" s="34"/>
    </row>
    <row r="587" spans="1:20" x14ac:dyDescent="0.25">
      <c r="A587" s="255"/>
      <c r="E587" s="251" t="s">
        <v>987</v>
      </c>
      <c r="G587" s="251" t="s">
        <v>1264</v>
      </c>
      <c r="I587" s="259">
        <f>'Op Detail'!E2614</f>
        <v>4176.8</v>
      </c>
      <c r="K587" s="79">
        <f>I587</f>
        <v>4176.8</v>
      </c>
      <c r="L587" s="31"/>
      <c r="M587" s="259">
        <v>6361</v>
      </c>
      <c r="N587" s="31"/>
      <c r="O587" s="31">
        <v>6361</v>
      </c>
      <c r="P587" s="31"/>
      <c r="Q587" s="32">
        <f>K587-O587</f>
        <v>-2184</v>
      </c>
      <c r="S587" s="34"/>
      <c r="T587" s="34"/>
    </row>
    <row r="588" spans="1:20" x14ac:dyDescent="0.25">
      <c r="A588" s="251"/>
      <c r="B588" s="55"/>
      <c r="D588" s="251" t="s">
        <v>810</v>
      </c>
      <c r="I588" s="258"/>
      <c r="L588" s="31"/>
      <c r="M588" s="258"/>
      <c r="N588" s="31"/>
      <c r="O588" s="31"/>
      <c r="P588" s="31"/>
      <c r="Q588" s="32"/>
      <c r="S588" s="34"/>
      <c r="T588" s="34"/>
    </row>
    <row r="589" spans="1:20" x14ac:dyDescent="0.25">
      <c r="A589" s="255"/>
      <c r="E589" s="251" t="s">
        <v>988</v>
      </c>
      <c r="G589" s="251" t="s">
        <v>1264</v>
      </c>
      <c r="I589" s="258">
        <f>'Op Detail'!E2573</f>
        <v>1784.8</v>
      </c>
      <c r="K589" s="79">
        <f>I589</f>
        <v>1784.8</v>
      </c>
      <c r="L589" s="31"/>
      <c r="M589" s="258">
        <v>1449</v>
      </c>
      <c r="N589" s="31"/>
      <c r="O589" s="31">
        <v>1449</v>
      </c>
      <c r="P589" s="31"/>
      <c r="Q589" s="32">
        <f>K589-O589</f>
        <v>336</v>
      </c>
      <c r="S589" s="34"/>
      <c r="T589" s="34"/>
    </row>
    <row r="590" spans="1:20" x14ac:dyDescent="0.25">
      <c r="A590" s="255"/>
      <c r="D590" s="263" t="s">
        <v>947</v>
      </c>
      <c r="E590" s="251"/>
      <c r="G590" s="251"/>
      <c r="I590" s="258"/>
      <c r="L590" s="31"/>
      <c r="M590" s="258"/>
      <c r="N590" s="31"/>
      <c r="O590" s="31"/>
      <c r="P590" s="31"/>
      <c r="Q590" s="32"/>
      <c r="S590" s="34"/>
      <c r="T590" s="34"/>
    </row>
    <row r="591" spans="1:20" x14ac:dyDescent="0.25">
      <c r="A591" s="255"/>
      <c r="E591" s="257" t="s">
        <v>948</v>
      </c>
      <c r="G591" s="257" t="s">
        <v>1264</v>
      </c>
      <c r="I591" s="258">
        <f>'Op Detail'!D2491</f>
        <v>236</v>
      </c>
      <c r="K591" s="79">
        <f>I591</f>
        <v>236</v>
      </c>
      <c r="L591" s="31"/>
      <c r="M591" s="258">
        <v>0</v>
      </c>
      <c r="N591" s="31"/>
      <c r="O591" s="31">
        <v>0</v>
      </c>
      <c r="P591" s="31"/>
      <c r="Q591" s="32">
        <f>K591-O591</f>
        <v>236</v>
      </c>
      <c r="S591" s="34"/>
      <c r="T591" s="34"/>
    </row>
    <row r="592" spans="1:20" x14ac:dyDescent="0.25">
      <c r="A592" s="251"/>
      <c r="B592" s="55"/>
      <c r="D592" s="251" t="s">
        <v>811</v>
      </c>
      <c r="I592" s="258"/>
      <c r="L592" s="31"/>
      <c r="M592" s="258"/>
      <c r="N592" s="31"/>
      <c r="O592" s="31"/>
      <c r="P592" s="31"/>
      <c r="Q592" s="32"/>
      <c r="S592" s="34"/>
      <c r="T592" s="34"/>
    </row>
    <row r="593" spans="1:20" x14ac:dyDescent="0.25">
      <c r="A593" s="255"/>
      <c r="E593" s="251" t="s">
        <v>989</v>
      </c>
      <c r="G593" s="251" t="s">
        <v>1264</v>
      </c>
      <c r="I593" s="258">
        <f>'Op Detail'!F2573</f>
        <v>2451.1999999999998</v>
      </c>
      <c r="K593" s="79">
        <f>I593</f>
        <v>2451.1999999999998</v>
      </c>
      <c r="L593" s="31"/>
      <c r="M593" s="258">
        <v>3111</v>
      </c>
      <c r="N593" s="31"/>
      <c r="O593" s="31">
        <v>3111</v>
      </c>
      <c r="P593" s="31"/>
      <c r="Q593" s="32">
        <f>K593-O593</f>
        <v>-660</v>
      </c>
      <c r="S593" s="34"/>
      <c r="T593" s="34"/>
    </row>
    <row r="594" spans="1:20" x14ac:dyDescent="0.25">
      <c r="A594" s="251"/>
      <c r="B594" s="55"/>
      <c r="D594" s="251" t="s">
        <v>812</v>
      </c>
      <c r="I594" s="258"/>
      <c r="L594" s="31"/>
      <c r="M594" s="258"/>
      <c r="N594" s="31"/>
      <c r="O594" s="31"/>
      <c r="P594" s="31"/>
      <c r="Q594" s="32"/>
      <c r="S594" s="34"/>
      <c r="T594" s="34"/>
    </row>
    <row r="595" spans="1:20" x14ac:dyDescent="0.25">
      <c r="A595" s="255"/>
      <c r="E595" s="251" t="s">
        <v>485</v>
      </c>
      <c r="G595" s="251" t="s">
        <v>1264</v>
      </c>
      <c r="I595" s="259">
        <f>'Op Detail'!H2573</f>
        <v>340</v>
      </c>
      <c r="K595" s="79">
        <f>I595</f>
        <v>340</v>
      </c>
      <c r="L595" s="31"/>
      <c r="M595" s="259">
        <v>425</v>
      </c>
      <c r="N595" s="31"/>
      <c r="O595" s="31">
        <v>425</v>
      </c>
      <c r="P595" s="31"/>
      <c r="Q595" s="32">
        <f>K595-O595</f>
        <v>-85</v>
      </c>
    </row>
    <row r="596" spans="1:20" x14ac:dyDescent="0.25">
      <c r="A596" s="255"/>
      <c r="C596" s="34" t="s">
        <v>1523</v>
      </c>
      <c r="E596" s="251"/>
      <c r="G596" s="251"/>
      <c r="I596" s="259"/>
      <c r="L596" s="31"/>
      <c r="M596" s="259"/>
      <c r="N596" s="31"/>
      <c r="O596" s="31"/>
      <c r="P596" s="31"/>
      <c r="Q596" s="32"/>
    </row>
    <row r="597" spans="1:20" x14ac:dyDescent="0.25">
      <c r="A597" s="255"/>
      <c r="D597" s="34" t="s">
        <v>670</v>
      </c>
      <c r="E597" s="251"/>
      <c r="I597" s="258"/>
      <c r="J597" s="80"/>
      <c r="L597" s="31"/>
      <c r="M597" s="258"/>
      <c r="N597" s="31"/>
      <c r="O597" s="31"/>
      <c r="P597" s="31"/>
      <c r="Q597" s="32"/>
    </row>
    <row r="598" spans="1:20" x14ac:dyDescent="0.25">
      <c r="A598" s="255"/>
      <c r="E598" s="251" t="s">
        <v>1164</v>
      </c>
      <c r="G598" s="251" t="s">
        <v>1264</v>
      </c>
      <c r="I598" s="260">
        <f>'Op Detail'!F2702</f>
        <v>4089.6</v>
      </c>
      <c r="J598" s="80"/>
      <c r="K598" s="79">
        <f>I598</f>
        <v>4089.6</v>
      </c>
      <c r="L598" s="31"/>
      <c r="M598" s="260">
        <v>4228</v>
      </c>
      <c r="N598" s="31"/>
      <c r="O598" s="31">
        <v>4228</v>
      </c>
      <c r="P598" s="31"/>
      <c r="Q598" s="32">
        <f>K598-O598</f>
        <v>-138</v>
      </c>
    </row>
    <row r="599" spans="1:20" x14ac:dyDescent="0.25">
      <c r="A599" s="255"/>
      <c r="D599" s="34" t="s">
        <v>356</v>
      </c>
      <c r="E599" s="251"/>
      <c r="I599" s="258"/>
      <c r="J599" s="80"/>
      <c r="L599" s="31"/>
      <c r="M599" s="258"/>
      <c r="N599" s="31"/>
      <c r="O599" s="31"/>
      <c r="P599" s="31"/>
      <c r="Q599" s="32"/>
    </row>
    <row r="600" spans="1:20" x14ac:dyDescent="0.25">
      <c r="A600" s="255"/>
      <c r="E600" s="251" t="s">
        <v>1165</v>
      </c>
      <c r="G600" s="251" t="s">
        <v>1264</v>
      </c>
      <c r="I600" s="258">
        <f>'Op Detail'!D2656</f>
        <v>2032.8</v>
      </c>
      <c r="J600" s="80"/>
      <c r="K600" s="79">
        <f>I600</f>
        <v>2032.8</v>
      </c>
      <c r="L600" s="31"/>
      <c r="M600" s="258">
        <v>2912</v>
      </c>
      <c r="N600" s="31"/>
      <c r="O600" s="31">
        <v>2912</v>
      </c>
      <c r="P600" s="31"/>
      <c r="Q600" s="32">
        <f>K600-O600</f>
        <v>-879</v>
      </c>
    </row>
    <row r="601" spans="1:20" x14ac:dyDescent="0.25">
      <c r="A601" s="255"/>
      <c r="D601" s="34" t="s">
        <v>357</v>
      </c>
      <c r="E601" s="251"/>
      <c r="I601" s="258"/>
      <c r="J601" s="80"/>
      <c r="L601" s="31"/>
      <c r="M601" s="258"/>
      <c r="N601" s="31"/>
      <c r="O601" s="31"/>
      <c r="P601" s="31"/>
      <c r="Q601" s="32"/>
    </row>
    <row r="602" spans="1:20" x14ac:dyDescent="0.25">
      <c r="A602" s="255"/>
      <c r="E602" s="251" t="s">
        <v>360</v>
      </c>
      <c r="G602" s="251" t="s">
        <v>1264</v>
      </c>
      <c r="I602" s="258">
        <f>'Op Detail'!E2656</f>
        <v>769.6</v>
      </c>
      <c r="J602" s="80"/>
      <c r="K602" s="79">
        <f>I602</f>
        <v>769.6</v>
      </c>
      <c r="L602" s="31"/>
      <c r="M602" s="258">
        <v>986</v>
      </c>
      <c r="N602" s="31"/>
      <c r="O602" s="31">
        <v>986</v>
      </c>
      <c r="P602" s="31"/>
      <c r="Q602" s="32">
        <f>K602-O602</f>
        <v>-216</v>
      </c>
    </row>
    <row r="603" spans="1:20" x14ac:dyDescent="0.25">
      <c r="A603" s="255"/>
      <c r="D603" s="34" t="s">
        <v>672</v>
      </c>
      <c r="E603" s="251"/>
      <c r="I603" s="258"/>
      <c r="J603" s="80"/>
      <c r="L603" s="31"/>
      <c r="M603" s="258"/>
      <c r="N603" s="31"/>
      <c r="O603" s="31"/>
      <c r="P603" s="31"/>
      <c r="Q603" s="32"/>
    </row>
    <row r="604" spans="1:20" x14ac:dyDescent="0.25">
      <c r="A604" s="255"/>
      <c r="E604" s="251" t="s">
        <v>359</v>
      </c>
      <c r="G604" s="251" t="s">
        <v>1264</v>
      </c>
      <c r="I604" s="258">
        <f>'Op Detail'!F2656</f>
        <v>668.8</v>
      </c>
      <c r="J604" s="80"/>
      <c r="K604" s="79">
        <f>I604</f>
        <v>668.8</v>
      </c>
      <c r="L604" s="31"/>
      <c r="M604" s="258">
        <v>836</v>
      </c>
      <c r="N604" s="31"/>
      <c r="O604" s="31">
        <v>836</v>
      </c>
      <c r="P604" s="31"/>
      <c r="Q604" s="32">
        <f>K604-O604</f>
        <v>-167</v>
      </c>
    </row>
    <row r="605" spans="1:20" x14ac:dyDescent="0.25">
      <c r="A605" s="255"/>
      <c r="D605" s="34" t="s">
        <v>870</v>
      </c>
      <c r="E605" s="251"/>
      <c r="I605" s="258"/>
      <c r="J605" s="80"/>
      <c r="L605" s="31"/>
      <c r="M605" s="258"/>
      <c r="N605" s="31"/>
      <c r="O605" s="31"/>
      <c r="P605" s="31"/>
      <c r="Q605" s="32"/>
    </row>
    <row r="606" spans="1:20" x14ac:dyDescent="0.25">
      <c r="A606" s="255"/>
      <c r="E606" s="251" t="s">
        <v>358</v>
      </c>
      <c r="G606" s="251" t="s">
        <v>1264</v>
      </c>
      <c r="I606" s="258">
        <f>'Op Detail'!H2656</f>
        <v>523</v>
      </c>
      <c r="K606" s="79">
        <f>I606</f>
        <v>523</v>
      </c>
      <c r="L606" s="31"/>
      <c r="M606" s="258">
        <v>523</v>
      </c>
      <c r="N606" s="31"/>
      <c r="O606" s="31">
        <v>523</v>
      </c>
      <c r="P606" s="31"/>
      <c r="Q606" s="32">
        <f>K606-O606</f>
        <v>0</v>
      </c>
    </row>
    <row r="607" spans="1:20" x14ac:dyDescent="0.25">
      <c r="A607" s="255"/>
      <c r="D607" s="251" t="s">
        <v>869</v>
      </c>
      <c r="I607" s="259"/>
      <c r="J607" s="80"/>
      <c r="K607" s="80"/>
      <c r="L607" s="254"/>
      <c r="M607" s="259"/>
      <c r="N607" s="31"/>
      <c r="O607" s="32"/>
      <c r="P607" s="31"/>
      <c r="Q607" s="32"/>
    </row>
    <row r="608" spans="1:20" x14ac:dyDescent="0.25">
      <c r="A608" s="255"/>
      <c r="E608" s="251" t="s">
        <v>2980</v>
      </c>
      <c r="G608" s="251" t="s">
        <v>1264</v>
      </c>
      <c r="I608" s="258">
        <f>'Op Detail'!D2702</f>
        <v>31958.5</v>
      </c>
      <c r="J608" s="80"/>
      <c r="K608" s="259"/>
      <c r="L608" s="32"/>
      <c r="M608" s="258">
        <v>32010</v>
      </c>
      <c r="N608" s="31"/>
      <c r="O608" s="254"/>
      <c r="P608" s="31"/>
      <c r="Q608" s="32"/>
    </row>
    <row r="609" spans="1:20" x14ac:dyDescent="0.25">
      <c r="A609" s="255"/>
      <c r="E609" s="251" t="s">
        <v>2981</v>
      </c>
      <c r="G609" s="251" t="s">
        <v>1123</v>
      </c>
      <c r="I609" s="258">
        <f>Salaries!BN378</f>
        <v>26235.16</v>
      </c>
      <c r="J609" s="80"/>
      <c r="K609" s="259">
        <f>I608+I609</f>
        <v>58193.66</v>
      </c>
      <c r="L609" s="32"/>
      <c r="M609" s="258">
        <v>24427.66</v>
      </c>
      <c r="N609" s="31"/>
      <c r="O609" s="254">
        <v>56438</v>
      </c>
      <c r="P609" s="31"/>
      <c r="Q609" s="32">
        <f>K609-O609</f>
        <v>1756</v>
      </c>
      <c r="T609" s="210"/>
    </row>
    <row r="610" spans="1:20" x14ac:dyDescent="0.25">
      <c r="A610" s="255"/>
      <c r="E610" s="251"/>
      <c r="G610" s="251"/>
      <c r="I610" s="258"/>
      <c r="J610" s="80"/>
      <c r="K610" s="259"/>
      <c r="L610" s="32"/>
      <c r="M610" s="258"/>
      <c r="N610" s="31"/>
      <c r="O610" s="254"/>
      <c r="P610" s="31"/>
      <c r="Q610" s="32"/>
    </row>
    <row r="611" spans="1:20" x14ac:dyDescent="0.25">
      <c r="A611" s="255"/>
      <c r="B611" s="54" t="s">
        <v>1342</v>
      </c>
      <c r="E611" s="251"/>
      <c r="G611" s="251"/>
      <c r="I611" s="258"/>
      <c r="J611" s="80"/>
      <c r="K611" s="259"/>
      <c r="L611" s="32"/>
      <c r="M611" s="258"/>
      <c r="N611" s="31"/>
      <c r="O611" s="254"/>
      <c r="P611" s="31"/>
      <c r="Q611" s="32"/>
    </row>
    <row r="612" spans="1:20" x14ac:dyDescent="0.25">
      <c r="A612" s="255"/>
      <c r="D612" s="34" t="s">
        <v>1526</v>
      </c>
      <c r="E612" s="251"/>
      <c r="G612" s="251"/>
      <c r="I612" s="258"/>
      <c r="K612" s="80"/>
      <c r="L612" s="31"/>
      <c r="M612" s="258"/>
      <c r="N612" s="31"/>
      <c r="O612" s="32"/>
      <c r="P612" s="31"/>
      <c r="Q612" s="32"/>
    </row>
    <row r="613" spans="1:20" x14ac:dyDescent="0.25">
      <c r="A613" s="255"/>
      <c r="E613" s="251" t="s">
        <v>821</v>
      </c>
      <c r="G613" s="251" t="s">
        <v>1264</v>
      </c>
      <c r="I613" s="258">
        <f>'Op Detail'!D3391</f>
        <v>18132</v>
      </c>
      <c r="L613" s="31"/>
      <c r="M613" s="258">
        <v>25238</v>
      </c>
      <c r="N613" s="31"/>
      <c r="O613" s="32"/>
      <c r="P613" s="31"/>
      <c r="Q613" s="32"/>
    </row>
    <row r="614" spans="1:20" x14ac:dyDescent="0.25">
      <c r="A614" s="255"/>
      <c r="E614" s="251" t="s">
        <v>822</v>
      </c>
      <c r="G614" s="251" t="s">
        <v>1123</v>
      </c>
      <c r="I614" s="258">
        <f>Salaries!BE378</f>
        <v>142824.13</v>
      </c>
      <c r="K614" s="79">
        <f>I613+I614</f>
        <v>160956.13</v>
      </c>
      <c r="L614" s="31"/>
      <c r="M614" s="258">
        <v>180997.94</v>
      </c>
      <c r="N614" s="31"/>
      <c r="O614" s="32">
        <v>206236</v>
      </c>
      <c r="P614" s="31"/>
      <c r="Q614" s="32">
        <f>K614-O614</f>
        <v>-45280</v>
      </c>
      <c r="T614" s="210"/>
    </row>
    <row r="615" spans="1:20" x14ac:dyDescent="0.25">
      <c r="A615" s="255"/>
      <c r="D615" s="251" t="s">
        <v>1519</v>
      </c>
      <c r="I615" s="259"/>
      <c r="L615" s="31"/>
      <c r="M615" s="259"/>
      <c r="N615" s="31"/>
      <c r="O615" s="31"/>
      <c r="P615" s="31"/>
      <c r="Q615" s="32"/>
    </row>
    <row r="616" spans="1:20" x14ac:dyDescent="0.25">
      <c r="A616" s="255"/>
      <c r="E616" s="251" t="s">
        <v>1163</v>
      </c>
      <c r="G616" s="251" t="s">
        <v>1123</v>
      </c>
      <c r="I616" s="258">
        <f>Salaries!CF378</f>
        <v>29241.51</v>
      </c>
      <c r="J616" s="80"/>
      <c r="K616" s="80">
        <f>I616</f>
        <v>29241.51</v>
      </c>
      <c r="L616" s="31"/>
      <c r="M616" s="258">
        <v>30717.18</v>
      </c>
      <c r="N616" s="31"/>
      <c r="O616" s="32">
        <v>30717</v>
      </c>
      <c r="P616" s="31"/>
      <c r="Q616" s="32">
        <f>K616-O616</f>
        <v>-1475</v>
      </c>
      <c r="T616" s="210"/>
    </row>
    <row r="617" spans="1:20" x14ac:dyDescent="0.25">
      <c r="A617" s="255"/>
      <c r="D617" s="34" t="s">
        <v>496</v>
      </c>
      <c r="I617" s="259"/>
      <c r="M617" s="259"/>
      <c r="N617" s="31"/>
      <c r="O617" s="31"/>
      <c r="P617" s="31"/>
      <c r="Q617" s="32"/>
    </row>
    <row r="618" spans="1:20" x14ac:dyDescent="0.25">
      <c r="A618" s="251"/>
      <c r="B618" s="55"/>
      <c r="E618" s="251" t="s">
        <v>1038</v>
      </c>
      <c r="G618" s="251" t="s">
        <v>1264</v>
      </c>
      <c r="I618" s="260">
        <f>'Op Detail'!E4253</f>
        <v>11372</v>
      </c>
      <c r="J618" s="80"/>
      <c r="K618" s="80"/>
      <c r="L618" s="32"/>
      <c r="M618" s="260">
        <v>16115</v>
      </c>
      <c r="N618" s="32"/>
      <c r="O618" s="32"/>
      <c r="P618" s="32"/>
      <c r="Q618" s="32"/>
      <c r="R618" s="39"/>
    </row>
    <row r="619" spans="1:20" x14ac:dyDescent="0.25">
      <c r="A619" s="255"/>
      <c r="E619" s="34" t="s">
        <v>1039</v>
      </c>
      <c r="G619" s="34" t="s">
        <v>1123</v>
      </c>
      <c r="I619" s="259">
        <f>Salaries!CI378</f>
        <v>55153.31</v>
      </c>
      <c r="K619" s="79">
        <f>I618+I619</f>
        <v>66525.31</v>
      </c>
      <c r="M619" s="259">
        <v>53133.04</v>
      </c>
      <c r="N619" s="31"/>
      <c r="O619" s="31">
        <v>69248</v>
      </c>
      <c r="P619" s="31"/>
      <c r="Q619" s="32">
        <f>K619-O619</f>
        <v>-2723</v>
      </c>
      <c r="T619" s="210"/>
    </row>
    <row r="620" spans="1:20" x14ac:dyDescent="0.25">
      <c r="A620" s="255"/>
      <c r="D620" s="34" t="s">
        <v>668</v>
      </c>
      <c r="I620" s="259"/>
      <c r="M620" s="259"/>
      <c r="N620" s="31"/>
      <c r="O620" s="31"/>
      <c r="P620" s="31"/>
      <c r="Q620" s="32"/>
    </row>
    <row r="621" spans="1:20" x14ac:dyDescent="0.25">
      <c r="A621" s="251"/>
      <c r="B621" s="55"/>
      <c r="E621" s="251" t="s">
        <v>1152</v>
      </c>
      <c r="G621" s="251" t="s">
        <v>1264</v>
      </c>
      <c r="I621" s="258">
        <f>'Op Detail'!E3601</f>
        <v>24500.720000000001</v>
      </c>
      <c r="K621" s="80">
        <f>I621</f>
        <v>24500.720000000001</v>
      </c>
      <c r="L621" s="31"/>
      <c r="M621" s="258">
        <v>35800</v>
      </c>
      <c r="N621" s="31"/>
      <c r="O621" s="32">
        <v>35800</v>
      </c>
      <c r="P621" s="31"/>
      <c r="Q621" s="32">
        <f>K621-O621</f>
        <v>-11299</v>
      </c>
    </row>
    <row r="622" spans="1:20" x14ac:dyDescent="0.25">
      <c r="A622" s="251"/>
      <c r="B622" s="55"/>
      <c r="E622" s="251"/>
      <c r="G622" s="251"/>
      <c r="I622" s="258"/>
      <c r="K622" s="80"/>
      <c r="L622" s="31"/>
      <c r="M622" s="258"/>
      <c r="N622" s="31"/>
      <c r="O622" s="32"/>
      <c r="P622" s="31"/>
      <c r="Q622" s="32"/>
    </row>
    <row r="623" spans="1:20" x14ac:dyDescent="0.25">
      <c r="A623" s="255"/>
      <c r="B623" s="54" t="s">
        <v>535</v>
      </c>
      <c r="E623" s="251"/>
      <c r="G623" s="251"/>
      <c r="I623" s="258"/>
      <c r="L623" s="31"/>
      <c r="M623" s="258"/>
      <c r="N623" s="31"/>
      <c r="O623" s="32"/>
      <c r="P623" s="31"/>
      <c r="Q623" s="32"/>
    </row>
    <row r="624" spans="1:20" x14ac:dyDescent="0.25">
      <c r="A624" s="255"/>
      <c r="D624" s="251" t="s">
        <v>802</v>
      </c>
      <c r="I624" s="258"/>
      <c r="L624" s="31"/>
      <c r="M624" s="258"/>
      <c r="N624" s="31"/>
      <c r="O624" s="32"/>
      <c r="P624" s="31"/>
      <c r="Q624" s="32"/>
    </row>
    <row r="625" spans="1:20" x14ac:dyDescent="0.25">
      <c r="A625" s="255"/>
      <c r="E625" s="251" t="s">
        <v>1524</v>
      </c>
      <c r="G625" s="251" t="s">
        <v>1264</v>
      </c>
      <c r="H625" s="251"/>
      <c r="I625" s="258">
        <f>'Op Detail'!E2491</f>
        <v>889.6</v>
      </c>
      <c r="L625" s="31"/>
      <c r="M625" s="258">
        <v>3034</v>
      </c>
      <c r="N625" s="31"/>
      <c r="O625" s="32"/>
      <c r="P625" s="31"/>
      <c r="Q625" s="32"/>
    </row>
    <row r="626" spans="1:20" x14ac:dyDescent="0.25">
      <c r="A626" s="255"/>
      <c r="E626" s="251" t="s">
        <v>492</v>
      </c>
      <c r="G626" s="251" t="s">
        <v>1123</v>
      </c>
      <c r="I626" s="258">
        <f>Salaries!V378</f>
        <v>76589.3</v>
      </c>
      <c r="K626" s="80">
        <f>I626+I625</f>
        <v>77478.899999999994</v>
      </c>
      <c r="L626" s="31"/>
      <c r="M626" s="258">
        <v>70439.240000000005</v>
      </c>
      <c r="N626" s="31"/>
      <c r="O626" s="32">
        <v>73473</v>
      </c>
      <c r="P626" s="31"/>
      <c r="Q626" s="32">
        <f>K626-O626</f>
        <v>4006</v>
      </c>
      <c r="T626" s="210"/>
    </row>
    <row r="627" spans="1:20" x14ac:dyDescent="0.25">
      <c r="A627" s="255"/>
      <c r="D627" s="34" t="s">
        <v>537</v>
      </c>
      <c r="E627" s="251"/>
      <c r="G627" s="251"/>
      <c r="I627" s="258"/>
      <c r="K627" s="80"/>
      <c r="L627" s="31"/>
      <c r="M627" s="258"/>
      <c r="N627" s="31"/>
      <c r="O627" s="32"/>
      <c r="P627" s="31"/>
      <c r="Q627" s="32"/>
    </row>
    <row r="628" spans="1:20" x14ac:dyDescent="0.25">
      <c r="A628" s="255"/>
      <c r="E628" s="251" t="s">
        <v>493</v>
      </c>
      <c r="G628" s="251" t="s">
        <v>1123</v>
      </c>
      <c r="I628" s="258">
        <f>Salaries!Y378</f>
        <v>41803.660000000003</v>
      </c>
      <c r="K628" s="80">
        <f>I628</f>
        <v>41803.660000000003</v>
      </c>
      <c r="L628" s="31"/>
      <c r="M628" s="258">
        <v>41307.82</v>
      </c>
      <c r="N628" s="31"/>
      <c r="O628" s="32">
        <v>41308</v>
      </c>
      <c r="P628" s="31"/>
      <c r="Q628" s="32">
        <f>K628-O628</f>
        <v>496</v>
      </c>
      <c r="T628" s="210"/>
    </row>
    <row r="629" spans="1:20" x14ac:dyDescent="0.25">
      <c r="A629" s="255"/>
      <c r="D629" s="34" t="s">
        <v>539</v>
      </c>
      <c r="E629" s="251"/>
      <c r="G629" s="251"/>
      <c r="I629" s="258"/>
      <c r="K629" s="80"/>
      <c r="L629" s="31"/>
      <c r="M629" s="258"/>
      <c r="N629" s="31"/>
      <c r="O629" s="32"/>
      <c r="P629" s="31"/>
      <c r="Q629" s="32"/>
    </row>
    <row r="630" spans="1:20" x14ac:dyDescent="0.25">
      <c r="A630" s="251"/>
      <c r="B630" s="55"/>
      <c r="D630" s="251"/>
      <c r="E630" s="251" t="s">
        <v>494</v>
      </c>
      <c r="G630" s="251" t="s">
        <v>1123</v>
      </c>
      <c r="I630" s="258">
        <f>Salaries!AC378</f>
        <v>41438.85</v>
      </c>
      <c r="K630" s="79">
        <f>I630</f>
        <v>41438.85</v>
      </c>
      <c r="L630" s="31"/>
      <c r="M630" s="258">
        <v>40947.47</v>
      </c>
      <c r="N630" s="31"/>
      <c r="O630" s="31">
        <v>40947</v>
      </c>
      <c r="P630" s="31"/>
      <c r="Q630" s="32">
        <f>K630-O630</f>
        <v>492</v>
      </c>
      <c r="T630" s="210"/>
    </row>
    <row r="631" spans="1:20" x14ac:dyDescent="0.25">
      <c r="A631" s="251"/>
      <c r="B631" s="55"/>
      <c r="C631" s="34" t="s">
        <v>1338</v>
      </c>
      <c r="D631" s="251"/>
      <c r="E631" s="251"/>
      <c r="G631" s="251"/>
      <c r="I631" s="258"/>
      <c r="L631" s="31"/>
      <c r="M631" s="258"/>
      <c r="N631" s="31"/>
      <c r="O631" s="31"/>
      <c r="P631" s="31"/>
      <c r="Q631" s="32"/>
    </row>
    <row r="632" spans="1:20" x14ac:dyDescent="0.25">
      <c r="A632" s="251"/>
      <c r="B632" s="55"/>
      <c r="D632" s="251" t="s">
        <v>857</v>
      </c>
      <c r="I632" s="259"/>
      <c r="K632" s="80"/>
      <c r="L632" s="31"/>
      <c r="M632" s="259"/>
      <c r="N632" s="31"/>
      <c r="O632" s="32"/>
      <c r="P632" s="31"/>
      <c r="Q632" s="32"/>
    </row>
    <row r="633" spans="1:20" x14ac:dyDescent="0.25">
      <c r="A633" s="255"/>
      <c r="E633" s="251" t="s">
        <v>896</v>
      </c>
      <c r="G633" s="251" t="s">
        <v>1264</v>
      </c>
      <c r="I633" s="258">
        <f>'Op Detail'!F522</f>
        <v>13310</v>
      </c>
      <c r="K633" s="80"/>
      <c r="L633" s="31"/>
      <c r="M633" s="258">
        <v>8140</v>
      </c>
      <c r="N633" s="31"/>
      <c r="O633" s="32"/>
      <c r="P633" s="31"/>
      <c r="Q633" s="32"/>
    </row>
    <row r="634" spans="1:20" x14ac:dyDescent="0.25">
      <c r="A634" s="251"/>
      <c r="B634" s="55"/>
      <c r="D634" s="251" t="s">
        <v>249</v>
      </c>
      <c r="I634" s="258"/>
      <c r="K634" s="80"/>
      <c r="L634" s="31"/>
      <c r="M634" s="258"/>
      <c r="N634" s="31"/>
      <c r="O634" s="32"/>
      <c r="P634" s="31"/>
      <c r="Q634" s="32"/>
    </row>
    <row r="635" spans="1:20" x14ac:dyDescent="0.25">
      <c r="A635" s="255"/>
      <c r="E635" s="251" t="s">
        <v>250</v>
      </c>
      <c r="G635" s="251" t="s">
        <v>1264</v>
      </c>
      <c r="I635" s="258">
        <f>'Op Detail'!F611</f>
        <v>0</v>
      </c>
      <c r="K635" s="80"/>
      <c r="L635" s="31"/>
      <c r="M635" s="258">
        <v>1500</v>
      </c>
      <c r="N635" s="31"/>
      <c r="O635" s="32"/>
      <c r="P635" s="31"/>
      <c r="Q635" s="32"/>
    </row>
    <row r="636" spans="1:20" x14ac:dyDescent="0.25">
      <c r="A636" s="251"/>
      <c r="B636" s="55"/>
      <c r="D636" s="251" t="s">
        <v>147</v>
      </c>
      <c r="I636" s="258"/>
      <c r="L636" s="31"/>
      <c r="M636" s="258"/>
      <c r="N636" s="31"/>
      <c r="O636" s="31"/>
      <c r="P636" s="31"/>
      <c r="Q636" s="32"/>
    </row>
    <row r="637" spans="1:20" x14ac:dyDescent="0.25">
      <c r="A637" s="255"/>
      <c r="E637" s="251" t="s">
        <v>750</v>
      </c>
      <c r="G637" s="251" t="s">
        <v>1264</v>
      </c>
      <c r="I637" s="258">
        <f>'Op Detail'!D741</f>
        <v>200</v>
      </c>
      <c r="L637" s="31"/>
      <c r="M637" s="258">
        <v>200</v>
      </c>
      <c r="N637" s="31"/>
      <c r="O637" s="31"/>
      <c r="P637" s="31"/>
      <c r="Q637" s="32"/>
    </row>
    <row r="638" spans="1:20" x14ac:dyDescent="0.25">
      <c r="A638" s="251"/>
      <c r="B638" s="55"/>
      <c r="D638" s="34" t="s">
        <v>305</v>
      </c>
      <c r="I638" s="259"/>
      <c r="L638" s="31"/>
      <c r="M638" s="259"/>
      <c r="N638" s="31"/>
      <c r="O638" s="31"/>
      <c r="P638" s="31"/>
      <c r="Q638" s="32"/>
    </row>
    <row r="639" spans="1:20" x14ac:dyDescent="0.25">
      <c r="A639" s="255"/>
      <c r="E639" s="253" t="s">
        <v>1418</v>
      </c>
      <c r="G639" s="34" t="s">
        <v>1264</v>
      </c>
      <c r="I639" s="258">
        <f>'Op Detail'!F830</f>
        <v>0</v>
      </c>
      <c r="L639" s="31"/>
      <c r="M639" s="258">
        <v>200</v>
      </c>
      <c r="N639" s="31"/>
      <c r="O639" s="31"/>
      <c r="P639" s="31"/>
      <c r="Q639" s="32"/>
    </row>
    <row r="640" spans="1:20" x14ac:dyDescent="0.25">
      <c r="A640" s="251"/>
      <c r="B640" s="55"/>
      <c r="D640" s="34" t="s">
        <v>306</v>
      </c>
      <c r="I640" s="259"/>
      <c r="L640" s="31"/>
      <c r="M640" s="259"/>
      <c r="N640" s="31"/>
      <c r="O640" s="31"/>
      <c r="P640" s="31"/>
      <c r="Q640" s="32"/>
    </row>
    <row r="641" spans="1:20" x14ac:dyDescent="0.25">
      <c r="A641" s="255"/>
      <c r="E641" s="253" t="s">
        <v>1419</v>
      </c>
      <c r="G641" s="34" t="s">
        <v>1264</v>
      </c>
      <c r="I641" s="258">
        <f>'Op Detail'!H874</f>
        <v>0</v>
      </c>
      <c r="L641" s="31"/>
      <c r="M641" s="258">
        <v>550</v>
      </c>
      <c r="N641" s="31"/>
      <c r="O641" s="31"/>
      <c r="P641" s="31"/>
      <c r="Q641" s="32"/>
    </row>
    <row r="642" spans="1:20" x14ac:dyDescent="0.25">
      <c r="A642" s="251"/>
      <c r="B642" s="55"/>
      <c r="D642" s="251" t="s">
        <v>1554</v>
      </c>
      <c r="E642" s="253"/>
      <c r="I642" s="258"/>
      <c r="L642" s="31"/>
      <c r="M642" s="258"/>
      <c r="N642" s="31"/>
      <c r="O642" s="31"/>
      <c r="P642" s="31"/>
      <c r="Q642" s="32"/>
    </row>
    <row r="643" spans="1:20" x14ac:dyDescent="0.25">
      <c r="A643" s="255"/>
      <c r="E643" s="253" t="s">
        <v>1423</v>
      </c>
      <c r="G643" s="34" t="s">
        <v>1264</v>
      </c>
      <c r="I643" s="258">
        <f>'Op Detail'!F963</f>
        <v>5000</v>
      </c>
      <c r="L643" s="31"/>
      <c r="M643" s="258">
        <v>5000</v>
      </c>
      <c r="N643" s="31"/>
      <c r="P643" s="31"/>
    </row>
    <row r="644" spans="1:20" x14ac:dyDescent="0.25">
      <c r="A644" s="255"/>
      <c r="D644" s="34" t="s">
        <v>384</v>
      </c>
      <c r="E644" s="253"/>
      <c r="I644" s="258"/>
      <c r="K644" s="80"/>
      <c r="L644" s="31"/>
      <c r="M644" s="258"/>
      <c r="N644" s="31"/>
      <c r="O644" s="32"/>
      <c r="P644" s="31"/>
      <c r="Q644" s="32"/>
    </row>
    <row r="645" spans="1:20" x14ac:dyDescent="0.25">
      <c r="A645" s="255"/>
      <c r="E645" s="253" t="s">
        <v>387</v>
      </c>
      <c r="G645" s="34" t="s">
        <v>1264</v>
      </c>
      <c r="I645" s="258">
        <f>'Op Detail'!E1007</f>
        <v>8300</v>
      </c>
      <c r="K645" s="80"/>
      <c r="L645" s="31"/>
      <c r="M645" s="258">
        <v>8300</v>
      </c>
      <c r="N645" s="31"/>
      <c r="O645" s="32"/>
      <c r="P645" s="31"/>
      <c r="Q645" s="32"/>
    </row>
    <row r="646" spans="1:20" x14ac:dyDescent="0.25">
      <c r="A646" s="251"/>
      <c r="B646" s="55"/>
      <c r="D646" s="251"/>
      <c r="E646" s="251"/>
      <c r="G646" s="251"/>
      <c r="I646" s="258"/>
      <c r="K646" s="79">
        <f>SUM(I633:I645)</f>
        <v>26810</v>
      </c>
      <c r="L646" s="31"/>
      <c r="M646" s="258"/>
      <c r="N646" s="31"/>
      <c r="O646" s="31">
        <v>23890</v>
      </c>
      <c r="P646" s="31"/>
      <c r="Q646" s="32">
        <f>K646-O646</f>
        <v>2920</v>
      </c>
    </row>
    <row r="647" spans="1:20" x14ac:dyDescent="0.25">
      <c r="A647" s="251"/>
      <c r="B647" s="55" t="s">
        <v>1337</v>
      </c>
      <c r="D647" s="251"/>
      <c r="E647" s="251"/>
      <c r="G647" s="251"/>
      <c r="I647" s="258"/>
      <c r="L647" s="31"/>
      <c r="M647" s="258"/>
      <c r="N647" s="31"/>
      <c r="O647" s="31"/>
      <c r="P647" s="31"/>
      <c r="Q647" s="32"/>
    </row>
    <row r="648" spans="1:20" x14ac:dyDescent="0.25">
      <c r="A648" s="255"/>
      <c r="D648" s="34" t="s">
        <v>912</v>
      </c>
      <c r="I648" s="259"/>
      <c r="M648" s="259"/>
      <c r="N648" s="31"/>
      <c r="O648" s="31"/>
      <c r="P648" s="31"/>
      <c r="Q648" s="32"/>
    </row>
    <row r="649" spans="1:20" x14ac:dyDescent="0.25">
      <c r="A649" s="255"/>
      <c r="E649" s="187" t="s">
        <v>1884</v>
      </c>
      <c r="G649" s="187" t="s">
        <v>1264</v>
      </c>
      <c r="I649" s="259">
        <f>+'Op Detail'!F3499</f>
        <v>0</v>
      </c>
      <c r="M649" s="259">
        <v>0</v>
      </c>
      <c r="N649" s="31"/>
      <c r="O649" s="31"/>
      <c r="P649" s="31"/>
      <c r="Q649" s="32"/>
    </row>
    <row r="650" spans="1:20" x14ac:dyDescent="0.25">
      <c r="A650" s="255"/>
      <c r="E650" s="34" t="s">
        <v>495</v>
      </c>
      <c r="G650" s="34" t="s">
        <v>1123</v>
      </c>
      <c r="I650" s="259">
        <f>Salaries!AV378</f>
        <v>27349.439999999999</v>
      </c>
      <c r="K650" s="79">
        <f>I649+I650</f>
        <v>27349.439999999999</v>
      </c>
      <c r="M650" s="259">
        <v>26416.66</v>
      </c>
      <c r="N650" s="31"/>
      <c r="O650" s="79">
        <v>26416.66</v>
      </c>
      <c r="P650" s="31"/>
      <c r="Q650" s="32">
        <f>K650-O650</f>
        <v>933</v>
      </c>
      <c r="T650" s="210"/>
    </row>
    <row r="651" spans="1:20" x14ac:dyDescent="0.25">
      <c r="A651" s="255"/>
      <c r="I651" s="259"/>
      <c r="M651" s="259"/>
      <c r="N651" s="31"/>
      <c r="O651" s="31"/>
      <c r="P651" s="31"/>
      <c r="Q651" s="32"/>
    </row>
    <row r="652" spans="1:20" x14ac:dyDescent="0.25">
      <c r="A652" s="255"/>
      <c r="B652" s="54" t="s">
        <v>1525</v>
      </c>
      <c r="I652" s="259"/>
      <c r="M652" s="259"/>
      <c r="N652" s="31"/>
      <c r="O652" s="31"/>
      <c r="P652" s="31"/>
      <c r="Q652" s="32"/>
    </row>
    <row r="653" spans="1:20" x14ac:dyDescent="0.25">
      <c r="A653" s="255"/>
      <c r="D653" s="34" t="s">
        <v>497</v>
      </c>
      <c r="I653" s="259"/>
      <c r="M653" s="259"/>
      <c r="N653" s="31"/>
      <c r="O653" s="31"/>
      <c r="P653" s="31"/>
      <c r="Q653" s="32"/>
    </row>
    <row r="654" spans="1:20" x14ac:dyDescent="0.25">
      <c r="A654" s="255"/>
      <c r="E654" s="34" t="s">
        <v>1691</v>
      </c>
      <c r="G654" s="34" t="s">
        <v>1264</v>
      </c>
      <c r="I654" s="259">
        <f>'Op Detail'!F4690</f>
        <v>14379</v>
      </c>
      <c r="M654" s="259">
        <v>28500</v>
      </c>
      <c r="N654" s="31"/>
      <c r="O654" s="31"/>
      <c r="P654" s="31"/>
      <c r="Q654" s="32"/>
    </row>
    <row r="655" spans="1:20" x14ac:dyDescent="0.25">
      <c r="A655" s="255"/>
      <c r="E655" s="34" t="s">
        <v>503</v>
      </c>
      <c r="G655" s="34" t="s">
        <v>1123</v>
      </c>
      <c r="I655" s="259">
        <f>Salaries!DA378</f>
        <v>94551.22</v>
      </c>
      <c r="K655" s="79">
        <f>I654+I655</f>
        <v>108930.22</v>
      </c>
      <c r="M655" s="259">
        <v>90807.97</v>
      </c>
      <c r="N655" s="31"/>
      <c r="O655" s="31">
        <v>119308</v>
      </c>
      <c r="P655" s="31"/>
      <c r="Q655" s="32">
        <f>K655-O655</f>
        <v>-10378</v>
      </c>
      <c r="T655" s="210"/>
    </row>
    <row r="656" spans="1:20" x14ac:dyDescent="0.25">
      <c r="A656" s="255"/>
      <c r="D656" s="251" t="s">
        <v>834</v>
      </c>
      <c r="I656" s="258"/>
      <c r="J656" s="80"/>
      <c r="K656" s="80"/>
      <c r="L656" s="31"/>
      <c r="M656" s="258"/>
      <c r="N656" s="31"/>
      <c r="O656" s="32"/>
      <c r="P656" s="31"/>
      <c r="Q656" s="32"/>
    </row>
    <row r="657" spans="1:20" x14ac:dyDescent="0.25">
      <c r="A657" s="251"/>
      <c r="B657" s="55"/>
      <c r="E657" s="251" t="s">
        <v>192</v>
      </c>
      <c r="G657" s="251" t="s">
        <v>1264</v>
      </c>
      <c r="I657" s="258">
        <f>'Op Detail'!D4620</f>
        <v>54769</v>
      </c>
      <c r="J657" s="80"/>
      <c r="K657" s="80"/>
      <c r="L657" s="31"/>
      <c r="M657" s="258">
        <v>53475</v>
      </c>
      <c r="N657" s="31"/>
      <c r="O657" s="32"/>
      <c r="P657" s="31"/>
      <c r="Q657" s="32"/>
    </row>
    <row r="658" spans="1:20" x14ac:dyDescent="0.25">
      <c r="A658" s="255"/>
      <c r="E658" s="251" t="s">
        <v>87</v>
      </c>
      <c r="G658" s="251" t="s">
        <v>1123</v>
      </c>
      <c r="I658" s="258">
        <f>Salaries!BS378</f>
        <v>0</v>
      </c>
      <c r="J658" s="80"/>
      <c r="K658" s="80">
        <f>I657+I658</f>
        <v>54769</v>
      </c>
      <c r="L658" s="31"/>
      <c r="M658" s="258">
        <v>0</v>
      </c>
      <c r="N658" s="31"/>
      <c r="O658" s="32">
        <v>53475</v>
      </c>
      <c r="P658" s="31"/>
      <c r="Q658" s="32">
        <f>K658-O658</f>
        <v>1294</v>
      </c>
    </row>
    <row r="659" spans="1:20" x14ac:dyDescent="0.25">
      <c r="A659" s="255"/>
      <c r="D659" s="34" t="s">
        <v>836</v>
      </c>
      <c r="E659" s="251"/>
      <c r="G659" s="251"/>
      <c r="I659" s="258"/>
      <c r="J659" s="80"/>
      <c r="K659" s="80"/>
      <c r="L659" s="31"/>
      <c r="M659" s="258"/>
      <c r="N659" s="31"/>
      <c r="O659" s="32"/>
      <c r="P659" s="31"/>
      <c r="Q659" s="32"/>
      <c r="S659" s="34"/>
      <c r="T659" s="34"/>
    </row>
    <row r="660" spans="1:20" x14ac:dyDescent="0.25">
      <c r="A660" s="255"/>
      <c r="E660" s="251" t="s">
        <v>1688</v>
      </c>
      <c r="G660" s="251" t="s">
        <v>1264</v>
      </c>
      <c r="I660" s="258">
        <f>'Op Detail'!F4718</f>
        <v>5036</v>
      </c>
      <c r="J660" s="80"/>
      <c r="K660" s="80">
        <f>I660</f>
        <v>5036</v>
      </c>
      <c r="L660" s="31"/>
      <c r="M660" s="258">
        <v>16000</v>
      </c>
      <c r="N660" s="31"/>
      <c r="O660" s="32">
        <v>16000</v>
      </c>
      <c r="P660" s="31"/>
      <c r="Q660" s="32">
        <f>K660-O660</f>
        <v>-10964</v>
      </c>
      <c r="S660" s="34"/>
      <c r="T660" s="34"/>
    </row>
    <row r="661" spans="1:20" x14ac:dyDescent="0.25">
      <c r="A661" s="255"/>
      <c r="D661" s="34" t="s">
        <v>290</v>
      </c>
      <c r="E661" s="251"/>
      <c r="G661" s="251"/>
      <c r="I661" s="258"/>
      <c r="J661" s="80"/>
      <c r="K661" s="80"/>
      <c r="L661" s="31"/>
      <c r="M661" s="258"/>
      <c r="N661" s="31"/>
      <c r="O661" s="32"/>
      <c r="P661" s="31"/>
      <c r="Q661" s="32"/>
      <c r="S661" s="34"/>
      <c r="T661" s="34"/>
    </row>
    <row r="662" spans="1:20" x14ac:dyDescent="0.25">
      <c r="A662" s="255"/>
      <c r="E662" s="251" t="s">
        <v>1689</v>
      </c>
      <c r="G662" s="251" t="s">
        <v>1264</v>
      </c>
      <c r="I662" s="258">
        <f>'Op Detail'!F6141</f>
        <v>444148</v>
      </c>
      <c r="J662" s="80"/>
      <c r="K662" s="80">
        <f>I662</f>
        <v>444148</v>
      </c>
      <c r="L662" s="31"/>
      <c r="M662" s="258">
        <v>465391.37</v>
      </c>
      <c r="N662" s="31"/>
      <c r="O662" s="32">
        <v>465391</v>
      </c>
      <c r="P662" s="31"/>
      <c r="Q662" s="32">
        <f>K662-O662</f>
        <v>-21243</v>
      </c>
      <c r="S662" s="34"/>
      <c r="T662" s="34"/>
    </row>
    <row r="663" spans="1:20" x14ac:dyDescent="0.25">
      <c r="A663" s="255"/>
      <c r="D663" s="34" t="s">
        <v>837</v>
      </c>
      <c r="E663" s="251"/>
      <c r="G663" s="251"/>
      <c r="I663" s="258"/>
      <c r="J663" s="80"/>
      <c r="K663" s="80"/>
      <c r="L663" s="31"/>
      <c r="M663" s="258"/>
      <c r="N663" s="31"/>
      <c r="O663" s="32"/>
      <c r="P663" s="31"/>
      <c r="Q663" s="32"/>
      <c r="S663" s="34"/>
      <c r="T663" s="34"/>
    </row>
    <row r="664" spans="1:20" x14ac:dyDescent="0.25">
      <c r="A664" s="255"/>
      <c r="E664" s="251" t="s">
        <v>1690</v>
      </c>
      <c r="G664" s="251" t="s">
        <v>1264</v>
      </c>
      <c r="I664" s="258">
        <f>'Op Detail'!F4734</f>
        <v>120000</v>
      </c>
      <c r="J664" s="80"/>
      <c r="K664" s="80">
        <f>I664</f>
        <v>120000</v>
      </c>
      <c r="L664" s="31"/>
      <c r="M664" s="258">
        <v>155000</v>
      </c>
      <c r="N664" s="31"/>
      <c r="O664" s="32">
        <v>155000</v>
      </c>
      <c r="P664" s="31"/>
      <c r="Q664" s="32">
        <f>K664-O664</f>
        <v>-35000</v>
      </c>
      <c r="S664" s="34"/>
      <c r="T664" s="34"/>
    </row>
    <row r="665" spans="1:20" x14ac:dyDescent="0.25">
      <c r="A665" s="255"/>
      <c r="E665" s="251"/>
      <c r="G665" s="251"/>
      <c r="I665" s="259"/>
      <c r="K665" s="80"/>
      <c r="L665" s="31"/>
      <c r="M665" s="259"/>
      <c r="N665" s="31"/>
      <c r="O665" s="32"/>
      <c r="P665" s="31"/>
      <c r="Q665" s="32"/>
      <c r="S665" s="34"/>
      <c r="T665" s="34"/>
    </row>
    <row r="666" spans="1:20" ht="18" x14ac:dyDescent="0.25">
      <c r="A666" s="261" t="s">
        <v>498</v>
      </c>
      <c r="B666" s="261"/>
      <c r="E666" s="251"/>
      <c r="G666" s="251"/>
      <c r="I666" s="259"/>
      <c r="K666" s="80"/>
      <c r="L666" s="31"/>
      <c r="M666" s="259"/>
      <c r="N666" s="31"/>
      <c r="O666" s="32"/>
      <c r="P666" s="31"/>
      <c r="Q666" s="32"/>
      <c r="S666" s="34"/>
      <c r="T666" s="34"/>
    </row>
    <row r="667" spans="1:20" x14ac:dyDescent="0.25">
      <c r="A667" s="251"/>
      <c r="B667" s="55" t="s">
        <v>1340</v>
      </c>
      <c r="E667" s="251"/>
      <c r="G667" s="251"/>
      <c r="I667" s="258"/>
      <c r="K667" s="80"/>
      <c r="L667" s="31"/>
      <c r="M667" s="258"/>
      <c r="N667" s="31"/>
      <c r="O667" s="32"/>
      <c r="P667" s="31"/>
      <c r="Q667" s="32"/>
      <c r="S667" s="34"/>
      <c r="T667" s="34"/>
    </row>
    <row r="668" spans="1:20" x14ac:dyDescent="0.25">
      <c r="A668" s="255"/>
      <c r="C668" s="34" t="s">
        <v>361</v>
      </c>
      <c r="E668" s="251"/>
      <c r="G668" s="251"/>
      <c r="I668" s="258"/>
      <c r="L668" s="31"/>
      <c r="M668" s="258"/>
      <c r="N668" s="31"/>
      <c r="O668" s="31"/>
      <c r="P668" s="31"/>
      <c r="Q668" s="32"/>
      <c r="S668" s="34"/>
      <c r="T668" s="34"/>
    </row>
    <row r="669" spans="1:20" x14ac:dyDescent="0.25">
      <c r="A669" s="251"/>
      <c r="B669" s="55"/>
      <c r="D669" s="251" t="s">
        <v>1138</v>
      </c>
      <c r="I669" s="258"/>
      <c r="L669" s="31"/>
      <c r="M669" s="258"/>
      <c r="N669" s="31"/>
      <c r="O669" s="31"/>
      <c r="P669" s="31"/>
      <c r="Q669" s="32"/>
      <c r="S669" s="34"/>
      <c r="T669" s="34"/>
    </row>
    <row r="670" spans="1:20" x14ac:dyDescent="0.25">
      <c r="A670" s="255"/>
      <c r="E670" s="251" t="s">
        <v>993</v>
      </c>
      <c r="G670" s="251" t="s">
        <v>1264</v>
      </c>
      <c r="I670" s="258">
        <f>'Op Detail'!F2748</f>
        <v>7272</v>
      </c>
      <c r="K670" s="79">
        <f>I670</f>
        <v>7272</v>
      </c>
      <c r="L670" s="31"/>
      <c r="M670" s="258">
        <v>11888</v>
      </c>
      <c r="N670" s="31"/>
      <c r="O670" s="31">
        <v>11888</v>
      </c>
      <c r="P670" s="31"/>
      <c r="Q670" s="32">
        <f>K670-O670</f>
        <v>-4616</v>
      </c>
      <c r="S670" s="34"/>
      <c r="T670" s="34"/>
    </row>
    <row r="671" spans="1:20" x14ac:dyDescent="0.25">
      <c r="A671" s="251"/>
      <c r="B671" s="55"/>
      <c r="D671" s="251" t="s">
        <v>1562</v>
      </c>
      <c r="I671" s="258"/>
      <c r="L671" s="31"/>
      <c r="M671" s="258"/>
      <c r="N671" s="31"/>
      <c r="O671" s="31"/>
      <c r="P671" s="31"/>
      <c r="Q671" s="32"/>
      <c r="S671" s="34"/>
      <c r="T671" s="34"/>
    </row>
    <row r="672" spans="1:20" x14ac:dyDescent="0.25">
      <c r="A672" s="255"/>
      <c r="E672" s="251" t="s">
        <v>1650</v>
      </c>
      <c r="G672" s="251" t="s">
        <v>1264</v>
      </c>
      <c r="I672" s="258">
        <f>'Op Detail'!F2879</f>
        <v>480</v>
      </c>
      <c r="K672" s="79">
        <f>I672</f>
        <v>480</v>
      </c>
      <c r="L672" s="31"/>
      <c r="M672" s="258">
        <v>610</v>
      </c>
      <c r="N672" s="254"/>
      <c r="O672" s="31">
        <v>610</v>
      </c>
      <c r="P672" s="31"/>
      <c r="Q672" s="32">
        <f>K672-O672</f>
        <v>-130</v>
      </c>
      <c r="S672" s="34"/>
      <c r="T672" s="34"/>
    </row>
    <row r="673" spans="1:20" x14ac:dyDescent="0.25">
      <c r="A673" s="255"/>
      <c r="D673" s="255" t="s">
        <v>2725</v>
      </c>
      <c r="E673" s="251"/>
      <c r="G673" s="251"/>
      <c r="I673" s="258"/>
      <c r="L673" s="31"/>
      <c r="M673" s="258"/>
      <c r="N673" s="254"/>
      <c r="O673" s="31"/>
      <c r="P673" s="31"/>
      <c r="Q673" s="32"/>
      <c r="S673" s="34"/>
      <c r="T673" s="34"/>
    </row>
    <row r="674" spans="1:20" x14ac:dyDescent="0.25">
      <c r="A674" s="255"/>
      <c r="E674" s="251" t="s">
        <v>2726</v>
      </c>
      <c r="G674" s="251" t="s">
        <v>1264</v>
      </c>
      <c r="I674" s="258">
        <f>'Op Detail'!H2962</f>
        <v>12240.19</v>
      </c>
      <c r="L674" s="31"/>
      <c r="M674" s="258"/>
      <c r="N674" s="254"/>
      <c r="O674" s="31"/>
      <c r="P674" s="31"/>
      <c r="Q674" s="32"/>
      <c r="S674" s="34"/>
      <c r="T674" s="34"/>
    </row>
    <row r="675" spans="1:20" x14ac:dyDescent="0.25">
      <c r="A675" s="255"/>
      <c r="E675" s="251" t="s">
        <v>3214</v>
      </c>
      <c r="G675" s="251" t="s">
        <v>1123</v>
      </c>
      <c r="I675" s="258">
        <f>+Salaries!BI378</f>
        <v>40166.519999999997</v>
      </c>
      <c r="K675" s="80">
        <f>I674+I675</f>
        <v>52406.71</v>
      </c>
      <c r="L675" s="31"/>
      <c r="M675" s="258">
        <v>21200</v>
      </c>
      <c r="N675" s="254"/>
      <c r="O675" s="31">
        <v>21200</v>
      </c>
      <c r="P675" s="31"/>
      <c r="Q675" s="32">
        <f>K675-O675</f>
        <v>31207</v>
      </c>
      <c r="S675" s="34"/>
      <c r="T675" s="34"/>
    </row>
    <row r="676" spans="1:20" x14ac:dyDescent="0.25">
      <c r="A676" s="255"/>
      <c r="D676" s="255" t="s">
        <v>2723</v>
      </c>
      <c r="E676" s="251"/>
      <c r="G676" s="251"/>
      <c r="I676" s="258"/>
      <c r="L676" s="31"/>
      <c r="M676" s="258"/>
      <c r="N676" s="254"/>
      <c r="O676" s="31"/>
      <c r="P676" s="31"/>
      <c r="Q676" s="32"/>
      <c r="S676" s="34"/>
      <c r="T676" s="34"/>
    </row>
    <row r="677" spans="1:20" x14ac:dyDescent="0.25">
      <c r="A677" s="255"/>
      <c r="E677" s="251" t="s">
        <v>2724</v>
      </c>
      <c r="G677" s="251" t="s">
        <v>1264</v>
      </c>
      <c r="I677" s="258">
        <f>'Op Detail'!F2962</f>
        <v>4475</v>
      </c>
      <c r="K677" s="79">
        <f>I677</f>
        <v>4475</v>
      </c>
      <c r="L677" s="31"/>
      <c r="M677" s="258">
        <v>5500</v>
      </c>
      <c r="N677" s="254"/>
      <c r="O677" s="31">
        <v>5500</v>
      </c>
      <c r="P677" s="31"/>
      <c r="Q677" s="32"/>
      <c r="S677" s="34"/>
      <c r="T677" s="34"/>
    </row>
    <row r="678" spans="1:20" x14ac:dyDescent="0.25">
      <c r="A678" s="251"/>
      <c r="B678" s="55"/>
      <c r="D678" s="251" t="s">
        <v>813</v>
      </c>
      <c r="I678" s="258"/>
      <c r="L678" s="31"/>
      <c r="M678" s="258"/>
      <c r="N678" s="31"/>
      <c r="O678" s="31"/>
      <c r="P678" s="31"/>
      <c r="Q678" s="32"/>
      <c r="S678" s="34"/>
      <c r="T678" s="34"/>
    </row>
    <row r="679" spans="1:20" x14ac:dyDescent="0.25">
      <c r="A679" s="255"/>
      <c r="E679" s="251" t="s">
        <v>994</v>
      </c>
      <c r="G679" s="251" t="s">
        <v>1264</v>
      </c>
      <c r="I679" s="258">
        <f>'Op Detail'!E2962</f>
        <v>445</v>
      </c>
      <c r="K679" s="79">
        <f>I679</f>
        <v>445</v>
      </c>
      <c r="L679" s="31"/>
      <c r="M679" s="258">
        <v>455</v>
      </c>
      <c r="N679" s="31"/>
      <c r="O679" s="31">
        <v>455</v>
      </c>
      <c r="P679" s="31"/>
      <c r="Q679" s="32">
        <f>K679-O679</f>
        <v>-10</v>
      </c>
      <c r="S679" s="34"/>
      <c r="T679" s="34"/>
    </row>
    <row r="680" spans="1:20" x14ac:dyDescent="0.25">
      <c r="A680" s="255"/>
      <c r="D680" s="34" t="s">
        <v>1674</v>
      </c>
      <c r="E680" s="251"/>
      <c r="G680" s="251"/>
      <c r="I680" s="258"/>
      <c r="L680" s="31"/>
      <c r="M680" s="258"/>
      <c r="N680" s="31"/>
      <c r="O680" s="31"/>
      <c r="P680" s="31"/>
      <c r="Q680" s="32"/>
      <c r="S680" s="34"/>
      <c r="T680" s="34"/>
    </row>
    <row r="681" spans="1:20" x14ac:dyDescent="0.25">
      <c r="A681" s="255"/>
      <c r="E681" s="251" t="s">
        <v>1679</v>
      </c>
      <c r="G681" s="251" t="s">
        <v>1264</v>
      </c>
      <c r="I681" s="258">
        <f>'Op Detail'!D2831</f>
        <v>3730</v>
      </c>
      <c r="K681" s="79">
        <f>I681</f>
        <v>3730</v>
      </c>
      <c r="L681" s="31"/>
      <c r="M681" s="258">
        <v>640</v>
      </c>
      <c r="N681" s="31"/>
      <c r="O681" s="31">
        <v>640</v>
      </c>
      <c r="P681" s="31"/>
      <c r="Q681" s="32">
        <f>K681-O681</f>
        <v>3090</v>
      </c>
      <c r="S681" s="34"/>
      <c r="T681" s="34"/>
    </row>
    <row r="682" spans="1:20" x14ac:dyDescent="0.25">
      <c r="A682" s="255"/>
      <c r="D682" s="34" t="s">
        <v>1675</v>
      </c>
      <c r="E682" s="251"/>
      <c r="G682" s="251"/>
      <c r="I682" s="258"/>
      <c r="L682" s="31"/>
      <c r="M682" s="258"/>
      <c r="N682" s="31"/>
      <c r="O682" s="31"/>
      <c r="P682" s="31"/>
      <c r="Q682" s="32"/>
      <c r="S682" s="34"/>
      <c r="T682" s="34"/>
    </row>
    <row r="683" spans="1:20" x14ac:dyDescent="0.25">
      <c r="A683" s="255"/>
      <c r="E683" s="251" t="s">
        <v>1680</v>
      </c>
      <c r="G683" s="251" t="s">
        <v>1264</v>
      </c>
      <c r="I683" s="258">
        <f>'Op Detail'!E2831</f>
        <v>500</v>
      </c>
      <c r="K683" s="79">
        <f>I683</f>
        <v>500</v>
      </c>
      <c r="L683" s="31"/>
      <c r="M683" s="258">
        <v>500</v>
      </c>
      <c r="N683" s="31"/>
      <c r="O683" s="31">
        <v>500</v>
      </c>
      <c r="P683" s="31"/>
      <c r="Q683" s="32">
        <f>K683-O683</f>
        <v>0</v>
      </c>
      <c r="S683" s="34"/>
      <c r="T683" s="34"/>
    </row>
    <row r="684" spans="1:20" x14ac:dyDescent="0.25">
      <c r="A684" s="255"/>
      <c r="D684" s="34" t="s">
        <v>1676</v>
      </c>
      <c r="E684" s="251"/>
      <c r="G684" s="251"/>
      <c r="I684" s="258"/>
      <c r="L684" s="31"/>
      <c r="M684" s="258"/>
      <c r="N684" s="31"/>
      <c r="O684" s="31"/>
      <c r="P684" s="31"/>
      <c r="Q684" s="32"/>
      <c r="S684" s="34"/>
      <c r="T684" s="34"/>
    </row>
    <row r="685" spans="1:20" x14ac:dyDescent="0.25">
      <c r="A685" s="255"/>
      <c r="E685" s="251" t="s">
        <v>1681</v>
      </c>
      <c r="G685" s="251" t="s">
        <v>1264</v>
      </c>
      <c r="I685" s="258">
        <f>'Op Detail'!F2831</f>
        <v>170</v>
      </c>
      <c r="K685" s="79">
        <f>I685</f>
        <v>170</v>
      </c>
      <c r="L685" s="31"/>
      <c r="M685" s="258">
        <v>225</v>
      </c>
      <c r="N685" s="31"/>
      <c r="O685" s="31">
        <v>225</v>
      </c>
      <c r="P685" s="31"/>
      <c r="Q685" s="32">
        <f>K685-O685</f>
        <v>-55</v>
      </c>
      <c r="S685" s="34"/>
      <c r="T685" s="34"/>
    </row>
    <row r="686" spans="1:20" x14ac:dyDescent="0.25">
      <c r="A686" s="255"/>
      <c r="D686" s="34" t="s">
        <v>1677</v>
      </c>
      <c r="E686" s="251"/>
      <c r="G686" s="251"/>
      <c r="I686" s="258"/>
      <c r="L686" s="31"/>
      <c r="M686" s="258"/>
      <c r="N686" s="31"/>
      <c r="O686" s="31"/>
      <c r="P686" s="31"/>
      <c r="Q686" s="32"/>
      <c r="S686" s="34"/>
      <c r="T686" s="34"/>
    </row>
    <row r="687" spans="1:20" x14ac:dyDescent="0.25">
      <c r="A687" s="255"/>
      <c r="E687" s="251" t="s">
        <v>1682</v>
      </c>
      <c r="G687" s="251" t="s">
        <v>1264</v>
      </c>
      <c r="I687" s="258">
        <f>'Op Detail'!H2831</f>
        <v>259.41000000000003</v>
      </c>
      <c r="K687" s="79">
        <f>I687</f>
        <v>259.41000000000003</v>
      </c>
      <c r="L687" s="31"/>
      <c r="M687" s="258">
        <v>275</v>
      </c>
      <c r="N687" s="31"/>
      <c r="O687" s="31">
        <v>275</v>
      </c>
      <c r="P687" s="31"/>
      <c r="Q687" s="32">
        <f>K687-O687</f>
        <v>-16</v>
      </c>
      <c r="S687" s="34"/>
      <c r="T687" s="34"/>
    </row>
    <row r="688" spans="1:20" x14ac:dyDescent="0.25">
      <c r="A688" s="255"/>
      <c r="D688" s="34" t="s">
        <v>1678</v>
      </c>
      <c r="E688" s="251"/>
      <c r="G688" s="251"/>
      <c r="I688" s="258"/>
      <c r="L688" s="31"/>
      <c r="M688" s="258"/>
      <c r="N688" s="31"/>
      <c r="O688" s="31"/>
      <c r="P688" s="31"/>
      <c r="Q688" s="32"/>
      <c r="S688" s="34"/>
      <c r="T688" s="34"/>
    </row>
    <row r="689" spans="1:20" x14ac:dyDescent="0.25">
      <c r="A689" s="255"/>
      <c r="E689" s="251" t="s">
        <v>1683</v>
      </c>
      <c r="G689" s="251" t="s">
        <v>1264</v>
      </c>
      <c r="I689" s="258">
        <f>'Op Detail'!D2879</f>
        <v>1140</v>
      </c>
      <c r="K689" s="79">
        <f>I689</f>
        <v>1140</v>
      </c>
      <c r="L689" s="31"/>
      <c r="M689" s="258">
        <v>3315</v>
      </c>
      <c r="N689" s="31"/>
      <c r="O689" s="31">
        <v>3315</v>
      </c>
      <c r="P689" s="31"/>
      <c r="Q689" s="32">
        <f>K689-O689</f>
        <v>-2175</v>
      </c>
      <c r="S689" s="34"/>
      <c r="T689" s="34"/>
    </row>
    <row r="690" spans="1:20" x14ac:dyDescent="0.25">
      <c r="A690" s="251"/>
      <c r="B690" s="55"/>
      <c r="D690" s="251" t="s">
        <v>814</v>
      </c>
      <c r="I690" s="258"/>
      <c r="L690" s="31"/>
      <c r="M690" s="258"/>
      <c r="N690" s="31"/>
      <c r="O690" s="31"/>
      <c r="P690" s="31"/>
      <c r="Q690" s="32"/>
      <c r="S690" s="34"/>
      <c r="T690" s="34"/>
    </row>
    <row r="691" spans="1:20" x14ac:dyDescent="0.25">
      <c r="A691" s="255"/>
      <c r="E691" s="251" t="s">
        <v>995</v>
      </c>
      <c r="G691" s="251" t="s">
        <v>1264</v>
      </c>
      <c r="I691" s="258">
        <f>'Op Detail'!E2748</f>
        <v>5899.52</v>
      </c>
      <c r="K691" s="79">
        <f>I691</f>
        <v>5899.52</v>
      </c>
      <c r="L691" s="31"/>
      <c r="M691" s="258">
        <v>6585</v>
      </c>
      <c r="N691" s="31"/>
      <c r="O691" s="31">
        <v>6585</v>
      </c>
      <c r="P691" s="31"/>
      <c r="Q691" s="32">
        <f>K691-O691</f>
        <v>-685</v>
      </c>
      <c r="S691" s="34"/>
      <c r="T691" s="34"/>
    </row>
    <row r="692" spans="1:20" x14ac:dyDescent="0.25">
      <c r="A692" s="251"/>
      <c r="B692" s="55"/>
      <c r="D692" s="251" t="s">
        <v>1139</v>
      </c>
      <c r="I692" s="258"/>
      <c r="L692" s="31"/>
      <c r="M692" s="258"/>
      <c r="N692" s="31"/>
      <c r="O692" s="31"/>
      <c r="P692" s="31"/>
      <c r="Q692" s="32"/>
      <c r="S692" s="34"/>
      <c r="T692" s="34"/>
    </row>
    <row r="693" spans="1:20" x14ac:dyDescent="0.25">
      <c r="A693" s="255"/>
      <c r="E693" s="251" t="s">
        <v>996</v>
      </c>
      <c r="G693" s="251" t="s">
        <v>1264</v>
      </c>
      <c r="I693" s="258">
        <f>'Op Detail'!H2748</f>
        <v>5560</v>
      </c>
      <c r="K693" s="79">
        <f>I693</f>
        <v>5560</v>
      </c>
      <c r="L693" s="31"/>
      <c r="M693" s="258">
        <v>6876</v>
      </c>
      <c r="N693" s="31"/>
      <c r="O693" s="31">
        <v>6876</v>
      </c>
      <c r="P693" s="31"/>
      <c r="Q693" s="32">
        <f>K693-O693</f>
        <v>-1316</v>
      </c>
      <c r="S693" s="34"/>
      <c r="T693" s="34"/>
    </row>
    <row r="694" spans="1:20" x14ac:dyDescent="0.25">
      <c r="A694" s="251"/>
      <c r="B694" s="55"/>
      <c r="D694" s="251" t="s">
        <v>1140</v>
      </c>
      <c r="I694" s="258"/>
      <c r="L694" s="31"/>
      <c r="M694" s="258"/>
      <c r="N694" s="31"/>
      <c r="O694" s="31"/>
      <c r="P694" s="31"/>
      <c r="Q694" s="32"/>
      <c r="S694" s="34"/>
      <c r="T694" s="34"/>
    </row>
    <row r="695" spans="1:20" x14ac:dyDescent="0.25">
      <c r="A695" s="255"/>
      <c r="E695" s="251" t="s">
        <v>1651</v>
      </c>
      <c r="G695" s="251" t="s">
        <v>1264</v>
      </c>
      <c r="I695" s="258">
        <f>'Op Detail'!D2790</f>
        <v>4072</v>
      </c>
      <c r="K695" s="79">
        <f>I695</f>
        <v>4072</v>
      </c>
      <c r="L695" s="31"/>
      <c r="M695" s="258">
        <v>12940</v>
      </c>
      <c r="N695" s="31"/>
      <c r="O695" s="31">
        <v>12940</v>
      </c>
      <c r="P695" s="31"/>
      <c r="Q695" s="32">
        <f>K695-O695</f>
        <v>-8868</v>
      </c>
      <c r="S695" s="34"/>
      <c r="T695" s="34"/>
    </row>
    <row r="696" spans="1:20" x14ac:dyDescent="0.25">
      <c r="A696" s="251"/>
      <c r="B696" s="55"/>
      <c r="D696" s="251" t="s">
        <v>1563</v>
      </c>
      <c r="I696" s="258"/>
      <c r="L696" s="31"/>
      <c r="M696" s="258"/>
      <c r="N696" s="31"/>
      <c r="O696" s="31"/>
      <c r="P696" s="31"/>
      <c r="Q696" s="32"/>
      <c r="S696" s="34"/>
      <c r="T696" s="34"/>
    </row>
    <row r="697" spans="1:20" x14ac:dyDescent="0.25">
      <c r="A697" s="255"/>
      <c r="E697" s="251" t="s">
        <v>1652</v>
      </c>
      <c r="G697" s="251" t="s">
        <v>1264</v>
      </c>
      <c r="I697" s="258">
        <f>'Op Detail'!H2921</f>
        <v>12676</v>
      </c>
      <c r="K697" s="79">
        <f>I697</f>
        <v>12676</v>
      </c>
      <c r="L697" s="31"/>
      <c r="M697" s="258">
        <v>5120</v>
      </c>
      <c r="N697" s="31"/>
      <c r="O697" s="31">
        <v>5120</v>
      </c>
      <c r="P697" s="31"/>
      <c r="Q697" s="32">
        <f>K697-O697</f>
        <v>7556</v>
      </c>
      <c r="S697" s="34"/>
      <c r="T697" s="34"/>
    </row>
    <row r="698" spans="1:20" x14ac:dyDescent="0.25">
      <c r="A698" s="251"/>
      <c r="B698" s="55"/>
      <c r="D698" s="251" t="s">
        <v>815</v>
      </c>
      <c r="I698" s="258"/>
      <c r="L698" s="31"/>
      <c r="M698" s="258"/>
      <c r="N698" s="31"/>
      <c r="O698" s="31"/>
      <c r="P698" s="31"/>
      <c r="Q698" s="32"/>
      <c r="S698" s="34"/>
      <c r="T698" s="34"/>
    </row>
    <row r="699" spans="1:20" x14ac:dyDescent="0.25">
      <c r="A699" s="255"/>
      <c r="E699" s="251" t="s">
        <v>997</v>
      </c>
      <c r="G699" s="251" t="s">
        <v>1264</v>
      </c>
      <c r="I699" s="258">
        <f>'Op Detail'!H2790</f>
        <v>3996</v>
      </c>
      <c r="K699" s="79">
        <f>I699</f>
        <v>3996</v>
      </c>
      <c r="L699" s="31"/>
      <c r="M699" s="258">
        <v>1085</v>
      </c>
      <c r="N699" s="31"/>
      <c r="O699" s="31">
        <v>1085</v>
      </c>
      <c r="P699" s="31"/>
      <c r="Q699" s="32">
        <f>K699-O699</f>
        <v>2911</v>
      </c>
      <c r="S699" s="34"/>
      <c r="T699" s="34"/>
    </row>
    <row r="700" spans="1:20" x14ac:dyDescent="0.25">
      <c r="A700" s="251"/>
      <c r="B700" s="55"/>
      <c r="D700" s="251" t="s">
        <v>1564</v>
      </c>
      <c r="I700" s="258"/>
      <c r="L700" s="31"/>
      <c r="M700" s="258"/>
      <c r="N700" s="31"/>
      <c r="O700" s="31"/>
      <c r="P700" s="31"/>
      <c r="Q700" s="32"/>
      <c r="S700" s="34"/>
      <c r="T700" s="34"/>
    </row>
    <row r="701" spans="1:20" x14ac:dyDescent="0.25">
      <c r="A701" s="255"/>
      <c r="E701" s="251" t="s">
        <v>998</v>
      </c>
      <c r="G701" s="251" t="s">
        <v>1264</v>
      </c>
      <c r="I701" s="258">
        <f>'Op Detail'!E2790</f>
        <v>1512</v>
      </c>
      <c r="K701" s="80">
        <f>I701</f>
        <v>1512</v>
      </c>
      <c r="L701" s="31"/>
      <c r="M701" s="258">
        <v>1380</v>
      </c>
      <c r="N701" s="31"/>
      <c r="O701" s="32">
        <v>1380</v>
      </c>
      <c r="P701" s="31"/>
      <c r="Q701" s="32">
        <f>K701-O701</f>
        <v>132</v>
      </c>
      <c r="S701" s="34"/>
      <c r="T701" s="34"/>
    </row>
    <row r="702" spans="1:20" x14ac:dyDescent="0.25">
      <c r="A702" s="251"/>
      <c r="B702" s="55"/>
      <c r="D702" s="251" t="s">
        <v>1410</v>
      </c>
      <c r="I702" s="258"/>
      <c r="K702" s="80"/>
      <c r="L702" s="31"/>
      <c r="M702" s="258"/>
      <c r="N702" s="31"/>
      <c r="O702" s="32"/>
      <c r="P702" s="31"/>
      <c r="Q702" s="32"/>
      <c r="S702" s="34"/>
      <c r="T702" s="34"/>
    </row>
    <row r="703" spans="1:20" x14ac:dyDescent="0.25">
      <c r="A703" s="255"/>
      <c r="E703" s="251" t="s">
        <v>1656</v>
      </c>
      <c r="G703" s="251" t="s">
        <v>1264</v>
      </c>
      <c r="I703" s="258">
        <f>'Op Detail'!F2790</f>
        <v>2641.6</v>
      </c>
      <c r="K703" s="80">
        <f>I703</f>
        <v>2641.6</v>
      </c>
      <c r="L703" s="31"/>
      <c r="M703" s="258">
        <v>3219</v>
      </c>
      <c r="N703" s="31"/>
      <c r="O703" s="32">
        <v>3219</v>
      </c>
      <c r="P703" s="31"/>
      <c r="Q703" s="32">
        <f>K703-O703</f>
        <v>-577</v>
      </c>
      <c r="S703" s="34"/>
      <c r="T703" s="34"/>
    </row>
    <row r="704" spans="1:20" x14ac:dyDescent="0.25">
      <c r="A704" s="255"/>
      <c r="D704" s="34" t="s">
        <v>1252</v>
      </c>
      <c r="E704" s="251"/>
      <c r="G704" s="251"/>
      <c r="I704" s="258"/>
      <c r="K704" s="80"/>
      <c r="L704" s="31"/>
      <c r="M704" s="258"/>
      <c r="N704" s="31"/>
      <c r="O704" s="32"/>
      <c r="P704" s="31"/>
      <c r="Q704" s="32"/>
      <c r="S704" s="34"/>
      <c r="T704" s="34"/>
    </row>
    <row r="705" spans="1:20" x14ac:dyDescent="0.25">
      <c r="A705" s="255"/>
      <c r="E705" s="251" t="s">
        <v>1253</v>
      </c>
      <c r="G705" s="251" t="s">
        <v>1264</v>
      </c>
      <c r="I705" s="258">
        <f>'Op Detail'!D2962</f>
        <v>1700.75</v>
      </c>
      <c r="K705" s="80">
        <f>I705</f>
        <v>1700.75</v>
      </c>
      <c r="L705" s="31"/>
      <c r="M705" s="258">
        <v>2482</v>
      </c>
      <c r="N705" s="31"/>
      <c r="O705" s="32">
        <v>2482</v>
      </c>
      <c r="P705" s="31"/>
      <c r="Q705" s="32">
        <f>K705-O705</f>
        <v>-781</v>
      </c>
      <c r="S705" s="34"/>
      <c r="T705" s="34"/>
    </row>
    <row r="706" spans="1:20" x14ac:dyDescent="0.25">
      <c r="A706" s="255"/>
      <c r="D706" s="251"/>
      <c r="I706" s="258"/>
      <c r="J706" s="80"/>
      <c r="K706" s="80"/>
      <c r="L706" s="31"/>
      <c r="M706" s="258"/>
      <c r="N706" s="31"/>
      <c r="O706" s="32"/>
      <c r="P706" s="31"/>
      <c r="Q706" s="32"/>
      <c r="S706" s="34"/>
      <c r="T706" s="34"/>
    </row>
    <row r="707" spans="1:20" x14ac:dyDescent="0.25">
      <c r="A707" s="251"/>
      <c r="B707" s="55"/>
      <c r="C707" s="34" t="s">
        <v>1523</v>
      </c>
      <c r="E707" s="251"/>
      <c r="I707" s="259"/>
      <c r="L707" s="31"/>
      <c r="M707" s="259"/>
      <c r="N707" s="31"/>
      <c r="O707" s="31"/>
      <c r="P707" s="31"/>
      <c r="Q707" s="32"/>
      <c r="S707" s="34"/>
      <c r="T707" s="34"/>
    </row>
    <row r="708" spans="1:20" x14ac:dyDescent="0.25">
      <c r="A708" s="251"/>
      <c r="B708" s="55"/>
      <c r="D708" s="34" t="s">
        <v>670</v>
      </c>
      <c r="E708" s="251"/>
      <c r="I708" s="258"/>
      <c r="L708" s="31"/>
      <c r="M708" s="258"/>
      <c r="N708" s="31"/>
      <c r="O708" s="31"/>
      <c r="P708" s="31"/>
      <c r="Q708" s="32"/>
    </row>
    <row r="709" spans="1:20" x14ac:dyDescent="0.25">
      <c r="A709" s="255"/>
      <c r="E709" s="251" t="s">
        <v>1160</v>
      </c>
      <c r="G709" s="251" t="s">
        <v>1264</v>
      </c>
      <c r="I709" s="258">
        <f>'Op Detail'!H2879</f>
        <v>520</v>
      </c>
      <c r="J709" s="80"/>
      <c r="K709" s="80">
        <f>I709</f>
        <v>520</v>
      </c>
      <c r="L709" s="31"/>
      <c r="M709" s="258">
        <v>2661</v>
      </c>
      <c r="N709" s="31"/>
      <c r="O709" s="32">
        <v>2661</v>
      </c>
      <c r="P709" s="31"/>
      <c r="Q709" s="32">
        <f>K709-O709</f>
        <v>-2141</v>
      </c>
    </row>
    <row r="710" spans="1:20" x14ac:dyDescent="0.25">
      <c r="A710" s="251"/>
      <c r="B710" s="55"/>
      <c r="D710" s="34" t="s">
        <v>356</v>
      </c>
      <c r="E710" s="251"/>
      <c r="I710" s="258"/>
      <c r="J710" s="80"/>
      <c r="K710" s="80"/>
      <c r="L710" s="254"/>
      <c r="M710" s="258"/>
      <c r="N710" s="31"/>
      <c r="O710" s="32"/>
      <c r="P710" s="31"/>
      <c r="Q710" s="32"/>
    </row>
    <row r="711" spans="1:20" x14ac:dyDescent="0.25">
      <c r="A711" s="255"/>
      <c r="E711" s="251" t="s">
        <v>1161</v>
      </c>
      <c r="G711" s="251" t="s">
        <v>1264</v>
      </c>
      <c r="I711" s="258">
        <f>'Op Detail'!D2921</f>
        <v>320</v>
      </c>
      <c r="J711" s="80"/>
      <c r="K711" s="80">
        <f>I711</f>
        <v>320</v>
      </c>
      <c r="L711" s="31"/>
      <c r="M711" s="258">
        <v>410</v>
      </c>
      <c r="N711" s="31"/>
      <c r="O711" s="32">
        <v>410</v>
      </c>
      <c r="P711" s="31"/>
      <c r="Q711" s="32">
        <f>K711-O711</f>
        <v>-90</v>
      </c>
    </row>
    <row r="712" spans="1:20" x14ac:dyDescent="0.25">
      <c r="A712" s="251"/>
      <c r="B712" s="55"/>
      <c r="D712" s="34" t="s">
        <v>357</v>
      </c>
      <c r="E712" s="251"/>
      <c r="I712" s="258"/>
      <c r="J712" s="80"/>
      <c r="K712" s="80"/>
      <c r="L712" s="31"/>
      <c r="M712" s="258"/>
      <c r="N712" s="31"/>
      <c r="O712" s="32"/>
      <c r="P712" s="31"/>
      <c r="Q712" s="32"/>
    </row>
    <row r="713" spans="1:20" x14ac:dyDescent="0.25">
      <c r="A713" s="255"/>
      <c r="E713" s="251" t="s">
        <v>1162</v>
      </c>
      <c r="G713" s="251" t="s">
        <v>1264</v>
      </c>
      <c r="I713" s="259">
        <f>'Op Detail'!E2921</f>
        <v>824</v>
      </c>
      <c r="J713" s="80"/>
      <c r="K713" s="259">
        <f>I713</f>
        <v>824</v>
      </c>
      <c r="L713" s="31"/>
      <c r="M713" s="259">
        <v>1055</v>
      </c>
      <c r="N713" s="31"/>
      <c r="O713" s="254">
        <v>1055</v>
      </c>
      <c r="P713" s="31"/>
      <c r="Q713" s="32">
        <f>K713-O713</f>
        <v>-231</v>
      </c>
    </row>
    <row r="714" spans="1:20" x14ac:dyDescent="0.25">
      <c r="A714" s="255"/>
      <c r="D714" s="34" t="s">
        <v>1298</v>
      </c>
      <c r="E714" s="251"/>
      <c r="F714" s="251"/>
      <c r="H714" s="251"/>
      <c r="I714" s="259"/>
      <c r="J714" s="80"/>
      <c r="K714" s="80"/>
      <c r="L714" s="32"/>
      <c r="M714" s="259"/>
      <c r="N714" s="32"/>
      <c r="O714" s="31"/>
      <c r="P714" s="32"/>
      <c r="Q714" s="31"/>
      <c r="R714" s="32"/>
    </row>
    <row r="715" spans="1:20" x14ac:dyDescent="0.25">
      <c r="A715" s="255"/>
      <c r="E715" s="251" t="s">
        <v>3687</v>
      </c>
      <c r="G715" s="251" t="s">
        <v>1264</v>
      </c>
      <c r="I715" s="258">
        <f>'Op Detail'!D5396</f>
        <v>18220</v>
      </c>
      <c r="J715" s="80"/>
      <c r="K715" s="80">
        <f>I715</f>
        <v>18220</v>
      </c>
      <c r="L715" s="31"/>
      <c r="M715" s="258">
        <v>17340</v>
      </c>
      <c r="N715" s="31"/>
      <c r="O715" s="32">
        <v>17340</v>
      </c>
      <c r="P715" s="31"/>
      <c r="Q715" s="32">
        <f>K715-O715</f>
        <v>880</v>
      </c>
    </row>
    <row r="716" spans="1:20" x14ac:dyDescent="0.25">
      <c r="A716" s="255"/>
      <c r="D716" s="251" t="s">
        <v>675</v>
      </c>
      <c r="I716" s="258"/>
      <c r="J716" s="80"/>
      <c r="K716" s="259"/>
      <c r="L716" s="32"/>
      <c r="M716" s="258"/>
      <c r="N716" s="31"/>
      <c r="O716" s="254"/>
      <c r="P716" s="31"/>
      <c r="Q716" s="32"/>
    </row>
    <row r="717" spans="1:20" x14ac:dyDescent="0.25">
      <c r="A717" s="255"/>
      <c r="E717" s="251" t="s">
        <v>2982</v>
      </c>
      <c r="G717" s="251" t="s">
        <v>1264</v>
      </c>
      <c r="I717" s="260">
        <f>'Op Detail'!F2921</f>
        <v>35995.5</v>
      </c>
      <c r="J717" s="80"/>
      <c r="K717" s="259"/>
      <c r="L717" s="32"/>
      <c r="M717" s="260">
        <v>33295</v>
      </c>
      <c r="N717" s="31"/>
      <c r="O717" s="254"/>
      <c r="P717" s="31"/>
      <c r="Q717" s="32"/>
    </row>
    <row r="718" spans="1:20" x14ac:dyDescent="0.25">
      <c r="A718" s="255"/>
      <c r="E718" s="251" t="s">
        <v>2983</v>
      </c>
      <c r="G718" s="251" t="s">
        <v>1123</v>
      </c>
      <c r="I718" s="258">
        <f>Salaries!BO378</f>
        <v>26663.61</v>
      </c>
      <c r="J718" s="80"/>
      <c r="K718" s="80">
        <f>I717+I718</f>
        <v>62659.11</v>
      </c>
      <c r="L718" s="32"/>
      <c r="M718" s="258">
        <v>25679.46</v>
      </c>
      <c r="N718" s="31"/>
      <c r="O718" s="254">
        <v>58974</v>
      </c>
      <c r="P718" s="31"/>
      <c r="Q718" s="32">
        <f>K718-O718</f>
        <v>3685</v>
      </c>
    </row>
    <row r="719" spans="1:20" x14ac:dyDescent="0.25">
      <c r="A719" s="255"/>
      <c r="E719" s="251"/>
      <c r="G719" s="251"/>
      <c r="I719" s="258"/>
      <c r="J719" s="80"/>
      <c r="K719" s="80"/>
      <c r="L719" s="32"/>
      <c r="M719" s="258"/>
      <c r="N719" s="31"/>
      <c r="O719" s="254"/>
      <c r="P719" s="31"/>
      <c r="Q719" s="32"/>
    </row>
    <row r="720" spans="1:20" x14ac:dyDescent="0.25">
      <c r="A720" s="255"/>
      <c r="B720" s="54" t="s">
        <v>1342</v>
      </c>
      <c r="E720" s="251"/>
      <c r="G720" s="251"/>
      <c r="I720" s="258"/>
      <c r="J720" s="80"/>
      <c r="K720" s="80"/>
      <c r="L720" s="32"/>
      <c r="M720" s="258"/>
      <c r="N720" s="31"/>
      <c r="O720" s="254"/>
      <c r="P720" s="31"/>
      <c r="Q720" s="32"/>
    </row>
    <row r="721" spans="1:256" x14ac:dyDescent="0.25">
      <c r="A721" s="251"/>
      <c r="B721" s="55"/>
      <c r="D721" s="251" t="s">
        <v>1694</v>
      </c>
      <c r="I721" s="258"/>
      <c r="K721" s="259" t="s">
        <v>342</v>
      </c>
      <c r="L721" s="31"/>
      <c r="M721" s="258"/>
      <c r="N721" s="31"/>
      <c r="O721" s="254" t="s">
        <v>342</v>
      </c>
      <c r="P721" s="31"/>
      <c r="Q721" s="32"/>
    </row>
    <row r="722" spans="1:256" x14ac:dyDescent="0.25">
      <c r="A722" s="255"/>
      <c r="E722" s="251" t="s">
        <v>990</v>
      </c>
      <c r="G722" s="251" t="s">
        <v>1264</v>
      </c>
      <c r="I722" s="260">
        <f>'Op Detail'!D3436</f>
        <v>21870</v>
      </c>
      <c r="L722" s="31"/>
      <c r="M722" s="260">
        <v>22590</v>
      </c>
      <c r="N722" s="31"/>
      <c r="O722" s="31"/>
      <c r="P722" s="31"/>
      <c r="Q722" s="32"/>
    </row>
    <row r="723" spans="1:256" x14ac:dyDescent="0.25">
      <c r="A723" s="255"/>
      <c r="E723" s="251" t="s">
        <v>991</v>
      </c>
      <c r="G723" s="251" t="s">
        <v>1123</v>
      </c>
      <c r="I723" s="258">
        <f>Salaries!BF378</f>
        <v>159356.94</v>
      </c>
      <c r="K723" s="79">
        <f>I723+I722</f>
        <v>181226.94</v>
      </c>
      <c r="L723" s="31"/>
      <c r="M723" s="258">
        <v>156454.54999999999</v>
      </c>
      <c r="N723" s="31"/>
      <c r="O723" s="31">
        <v>179045</v>
      </c>
      <c r="P723" s="31"/>
      <c r="Q723" s="32">
        <f>K723-O723</f>
        <v>2182</v>
      </c>
      <c r="T723" s="210"/>
    </row>
    <row r="724" spans="1:256" x14ac:dyDescent="0.25">
      <c r="A724" s="251"/>
      <c r="B724" s="55"/>
      <c r="D724" s="34" t="s">
        <v>1519</v>
      </c>
      <c r="E724" s="251"/>
      <c r="I724" s="259"/>
      <c r="L724" s="31"/>
      <c r="M724" s="259"/>
      <c r="N724" s="31"/>
      <c r="O724" s="31"/>
      <c r="P724" s="31"/>
      <c r="Q724" s="32"/>
    </row>
    <row r="725" spans="1:256" x14ac:dyDescent="0.25">
      <c r="A725" s="255"/>
      <c r="E725" s="251" t="s">
        <v>1158</v>
      </c>
      <c r="G725" s="251" t="s">
        <v>1264</v>
      </c>
      <c r="I725" s="260">
        <f>'Op Detail'!E2879</f>
        <v>3568</v>
      </c>
      <c r="L725" s="31"/>
      <c r="M725" s="260">
        <v>4515</v>
      </c>
      <c r="N725" s="31"/>
      <c r="O725" s="31"/>
      <c r="P725" s="31"/>
      <c r="Q725" s="32"/>
    </row>
    <row r="726" spans="1:256" x14ac:dyDescent="0.25">
      <c r="A726" s="255"/>
      <c r="E726" s="251" t="s">
        <v>1159</v>
      </c>
      <c r="G726" s="251" t="s">
        <v>1123</v>
      </c>
      <c r="I726" s="259">
        <f>Salaries!CE378</f>
        <v>30423.79</v>
      </c>
      <c r="K726" s="79">
        <f>I725+I726</f>
        <v>33991.79</v>
      </c>
      <c r="L726" s="31"/>
      <c r="M726" s="259">
        <v>29725.439999999999</v>
      </c>
      <c r="N726" s="31"/>
      <c r="O726" s="31">
        <v>34240</v>
      </c>
      <c r="P726" s="31"/>
      <c r="Q726" s="32">
        <f>K726-O726</f>
        <v>-248</v>
      </c>
      <c r="T726" s="210"/>
    </row>
    <row r="727" spans="1:256" x14ac:dyDescent="0.25">
      <c r="A727" s="255"/>
      <c r="D727" s="34" t="s">
        <v>496</v>
      </c>
      <c r="E727" s="251"/>
      <c r="G727" s="251"/>
      <c r="I727" s="258"/>
      <c r="L727" s="31"/>
      <c r="M727" s="258"/>
      <c r="N727" s="31"/>
      <c r="O727" s="31"/>
      <c r="P727" s="31"/>
      <c r="Q727" s="32"/>
    </row>
    <row r="728" spans="1:256" x14ac:dyDescent="0.25">
      <c r="A728" s="251"/>
      <c r="B728" s="55"/>
      <c r="E728" s="251" t="s">
        <v>1041</v>
      </c>
      <c r="G728" s="251" t="s">
        <v>1264</v>
      </c>
      <c r="I728" s="260">
        <f>'Op Detail'!F4252</f>
        <v>11372</v>
      </c>
      <c r="J728" s="80"/>
      <c r="K728" s="80"/>
      <c r="L728" s="32"/>
      <c r="M728" s="260">
        <v>19015</v>
      </c>
      <c r="N728" s="32"/>
      <c r="O728" s="32"/>
      <c r="P728" s="32"/>
      <c r="Q728" s="32"/>
      <c r="R728" s="39"/>
    </row>
    <row r="729" spans="1:256" x14ac:dyDescent="0.25">
      <c r="A729" s="255"/>
      <c r="E729" s="251" t="s">
        <v>1042</v>
      </c>
      <c r="G729" s="251" t="s">
        <v>1123</v>
      </c>
      <c r="I729" s="258">
        <f>Salaries!CJ378</f>
        <v>26018.31</v>
      </c>
      <c r="K729" s="79">
        <f>I728+I729</f>
        <v>37390.31</v>
      </c>
      <c r="L729" s="31"/>
      <c r="M729" s="258">
        <v>25053.07</v>
      </c>
      <c r="N729" s="31"/>
      <c r="O729" s="31">
        <v>44068</v>
      </c>
      <c r="P729" s="31"/>
      <c r="Q729" s="32">
        <f>K729-O729</f>
        <v>-6678</v>
      </c>
      <c r="T729" s="210"/>
    </row>
    <row r="730" spans="1:256" ht="15" x14ac:dyDescent="0.2">
      <c r="B730" s="34"/>
      <c r="D730" s="34" t="s">
        <v>668</v>
      </c>
      <c r="I730" s="34"/>
      <c r="J730" s="34"/>
      <c r="K730" s="34"/>
      <c r="M730" s="255"/>
    </row>
    <row r="731" spans="1:256" ht="15" x14ac:dyDescent="0.2">
      <c r="B731" s="251"/>
      <c r="E731" s="86" t="s">
        <v>954</v>
      </c>
      <c r="G731" s="251" t="s">
        <v>1264</v>
      </c>
      <c r="H731" s="251"/>
      <c r="I731" s="87">
        <f>'Op Detail'!F3600</f>
        <v>24704.89</v>
      </c>
      <c r="J731" s="251"/>
      <c r="K731" s="87">
        <f>I731</f>
        <v>24704.89</v>
      </c>
      <c r="L731" s="251"/>
      <c r="M731" s="252">
        <v>35800</v>
      </c>
      <c r="N731" s="251"/>
      <c r="O731" s="31">
        <v>35800</v>
      </c>
      <c r="P731" s="251"/>
      <c r="Q731" s="88">
        <f>K731-O731</f>
        <v>-11095.11</v>
      </c>
      <c r="R731" s="251"/>
      <c r="T731" s="262"/>
      <c r="V731" s="251"/>
      <c r="X731" s="251"/>
      <c r="Z731" s="251"/>
      <c r="AB731" s="251"/>
      <c r="AD731" s="251"/>
      <c r="AF731" s="251"/>
      <c r="AH731" s="251"/>
      <c r="AJ731" s="251"/>
      <c r="AL731" s="251"/>
      <c r="AN731" s="251"/>
      <c r="AP731" s="251"/>
      <c r="AR731" s="251"/>
      <c r="AT731" s="251"/>
      <c r="AV731" s="251"/>
      <c r="AX731" s="251"/>
      <c r="AZ731" s="251"/>
      <c r="BB731" s="251"/>
      <c r="BD731" s="251"/>
      <c r="BF731" s="251"/>
      <c r="BH731" s="251"/>
      <c r="BJ731" s="251"/>
      <c r="BL731" s="251"/>
      <c r="BN731" s="251"/>
      <c r="BP731" s="251"/>
      <c r="BR731" s="251"/>
      <c r="BT731" s="251"/>
      <c r="BV731" s="251"/>
      <c r="BX731" s="251"/>
      <c r="BZ731" s="251"/>
      <c r="CB731" s="251"/>
      <c r="CD731" s="251"/>
      <c r="CF731" s="251"/>
      <c r="CH731" s="251"/>
      <c r="CJ731" s="251"/>
      <c r="CL731" s="251"/>
      <c r="CN731" s="251"/>
      <c r="CP731" s="251"/>
      <c r="CR731" s="251"/>
      <c r="CT731" s="251"/>
      <c r="CV731" s="251"/>
      <c r="CX731" s="251"/>
      <c r="CZ731" s="251"/>
      <c r="DB731" s="251"/>
      <c r="DD731" s="251"/>
      <c r="DF731" s="251"/>
      <c r="DH731" s="251"/>
      <c r="DJ731" s="251"/>
      <c r="DL731" s="251"/>
      <c r="DN731" s="251"/>
      <c r="DP731" s="251"/>
      <c r="DR731" s="251"/>
      <c r="DT731" s="251"/>
      <c r="DV731" s="251"/>
      <c r="DX731" s="251"/>
      <c r="DZ731" s="251"/>
      <c r="EB731" s="251"/>
      <c r="ED731" s="251"/>
      <c r="EF731" s="251"/>
      <c r="EH731" s="251"/>
      <c r="EJ731" s="251"/>
      <c r="EL731" s="251"/>
      <c r="EN731" s="251"/>
      <c r="EP731" s="251"/>
      <c r="ER731" s="251"/>
      <c r="ET731" s="251"/>
      <c r="EV731" s="251"/>
      <c r="EX731" s="251"/>
      <c r="EZ731" s="251"/>
      <c r="FB731" s="251"/>
      <c r="FD731" s="251"/>
      <c r="FF731" s="251"/>
      <c r="FH731" s="251"/>
      <c r="FJ731" s="251"/>
      <c r="FL731" s="251"/>
      <c r="FN731" s="251"/>
      <c r="FP731" s="251"/>
      <c r="FR731" s="251"/>
      <c r="FT731" s="251"/>
      <c r="FV731" s="251"/>
      <c r="FX731" s="251"/>
      <c r="FZ731" s="251"/>
      <c r="GB731" s="251"/>
      <c r="GD731" s="251"/>
      <c r="GF731" s="251"/>
      <c r="GH731" s="251"/>
      <c r="GJ731" s="251"/>
      <c r="GL731" s="251"/>
      <c r="GN731" s="251"/>
      <c r="GP731" s="251"/>
      <c r="GR731" s="251"/>
      <c r="GT731" s="251"/>
      <c r="GV731" s="251"/>
      <c r="GX731" s="251"/>
      <c r="GZ731" s="251"/>
      <c r="HB731" s="251"/>
      <c r="HD731" s="251"/>
      <c r="HF731" s="251"/>
      <c r="HH731" s="251"/>
      <c r="HJ731" s="251"/>
      <c r="HL731" s="251"/>
      <c r="HN731" s="251"/>
      <c r="HP731" s="251"/>
      <c r="HR731" s="251"/>
      <c r="HT731" s="251"/>
      <c r="HV731" s="251"/>
      <c r="HX731" s="251"/>
      <c r="HZ731" s="251"/>
      <c r="IB731" s="251"/>
      <c r="ID731" s="251"/>
      <c r="IF731" s="251"/>
      <c r="IH731" s="251"/>
      <c r="IJ731" s="251"/>
      <c r="IL731" s="251"/>
      <c r="IN731" s="251"/>
      <c r="IP731" s="251"/>
      <c r="IR731" s="251"/>
      <c r="IT731" s="251"/>
      <c r="IV731" s="251"/>
    </row>
    <row r="732" spans="1:256" x14ac:dyDescent="0.25">
      <c r="A732" s="255"/>
      <c r="E732" s="251"/>
      <c r="G732" s="251"/>
      <c r="I732" s="258"/>
      <c r="L732" s="31"/>
      <c r="M732" s="258"/>
      <c r="N732" s="31"/>
      <c r="O732" s="31"/>
      <c r="P732" s="31"/>
      <c r="Q732" s="32"/>
    </row>
    <row r="733" spans="1:256" x14ac:dyDescent="0.25">
      <c r="A733" s="251"/>
      <c r="B733" s="55" t="s">
        <v>535</v>
      </c>
      <c r="E733" s="251"/>
      <c r="G733" s="251"/>
      <c r="I733" s="258"/>
      <c r="K733" s="80"/>
      <c r="L733" s="31"/>
      <c r="M733" s="258"/>
      <c r="N733" s="31"/>
      <c r="O733" s="32"/>
      <c r="P733" s="31"/>
      <c r="Q733" s="32"/>
    </row>
    <row r="734" spans="1:256" x14ac:dyDescent="0.25">
      <c r="A734" s="251"/>
      <c r="B734" s="55"/>
      <c r="D734" s="251" t="s">
        <v>536</v>
      </c>
      <c r="I734" s="258"/>
      <c r="L734" s="31"/>
      <c r="M734" s="258"/>
      <c r="N734" s="31"/>
      <c r="O734" s="31"/>
      <c r="P734" s="31"/>
      <c r="Q734" s="32"/>
    </row>
    <row r="735" spans="1:256" x14ac:dyDescent="0.25">
      <c r="A735" s="255"/>
      <c r="E735" s="251" t="s">
        <v>992</v>
      </c>
      <c r="G735" s="251" t="s">
        <v>1264</v>
      </c>
      <c r="I735" s="258">
        <f>'Op Detail'!D2748</f>
        <v>1408</v>
      </c>
      <c r="L735" s="31"/>
      <c r="M735" s="258">
        <v>3010</v>
      </c>
      <c r="N735" s="31"/>
      <c r="O735" s="31"/>
      <c r="P735" s="31"/>
      <c r="Q735" s="32"/>
    </row>
    <row r="736" spans="1:256" x14ac:dyDescent="0.25">
      <c r="A736" s="255"/>
      <c r="E736" s="251" t="s">
        <v>1649</v>
      </c>
      <c r="G736" s="251" t="s">
        <v>1123</v>
      </c>
      <c r="I736" s="258">
        <f>Salaries!W378</f>
        <v>96747.34</v>
      </c>
      <c r="K736" s="79">
        <f>I736+I735</f>
        <v>98155.34</v>
      </c>
      <c r="L736" s="31"/>
      <c r="M736" s="258">
        <v>50600.04</v>
      </c>
      <c r="N736" s="31"/>
      <c r="O736" s="31">
        <v>53610</v>
      </c>
      <c r="P736" s="31"/>
      <c r="Q736" s="32">
        <f>K736-O736</f>
        <v>44545</v>
      </c>
      <c r="T736" s="210"/>
    </row>
    <row r="737" spans="1:20" x14ac:dyDescent="0.25">
      <c r="A737" s="255"/>
      <c r="D737" s="34" t="s">
        <v>537</v>
      </c>
      <c r="E737" s="251"/>
      <c r="G737" s="251"/>
      <c r="I737" s="258"/>
      <c r="L737" s="31"/>
      <c r="M737" s="258"/>
      <c r="N737" s="31"/>
      <c r="O737" s="31"/>
      <c r="P737" s="31"/>
      <c r="Q737" s="32"/>
    </row>
    <row r="738" spans="1:20" x14ac:dyDescent="0.25">
      <c r="A738" s="255"/>
      <c r="E738" s="251" t="s">
        <v>500</v>
      </c>
      <c r="G738" s="251" t="s">
        <v>1123</v>
      </c>
      <c r="I738" s="258">
        <f>Salaries!Z378</f>
        <v>69105.19</v>
      </c>
      <c r="K738" s="79">
        <f>I738</f>
        <v>69105.19</v>
      </c>
      <c r="L738" s="31"/>
      <c r="M738" s="258">
        <v>67634.960000000006</v>
      </c>
      <c r="N738" s="31"/>
      <c r="O738" s="31">
        <v>67635</v>
      </c>
      <c r="P738" s="31"/>
      <c r="Q738" s="32">
        <f>K738-O738</f>
        <v>1470</v>
      </c>
      <c r="T738" s="210"/>
    </row>
    <row r="739" spans="1:20" x14ac:dyDescent="0.25">
      <c r="A739" s="255"/>
      <c r="D739" s="34" t="s">
        <v>539</v>
      </c>
      <c r="E739" s="251"/>
      <c r="G739" s="251"/>
      <c r="I739" s="258"/>
      <c r="L739" s="31"/>
      <c r="M739" s="258"/>
      <c r="N739" s="31"/>
      <c r="O739" s="31"/>
      <c r="P739" s="31"/>
      <c r="Q739" s="32"/>
    </row>
    <row r="740" spans="1:20" x14ac:dyDescent="0.25">
      <c r="A740" s="255"/>
      <c r="E740" s="251" t="s">
        <v>499</v>
      </c>
      <c r="G740" s="251" t="s">
        <v>1123</v>
      </c>
      <c r="I740" s="258">
        <f>Salaries!AD378</f>
        <v>44099.96</v>
      </c>
      <c r="K740" s="79">
        <f>I740</f>
        <v>44099.96</v>
      </c>
      <c r="L740" s="31"/>
      <c r="M740" s="258">
        <v>43577.04</v>
      </c>
      <c r="N740" s="31"/>
      <c r="O740" s="31">
        <v>43577</v>
      </c>
      <c r="P740" s="31"/>
      <c r="Q740" s="32">
        <f>K740-O740</f>
        <v>523</v>
      </c>
      <c r="S740" s="34"/>
      <c r="T740" s="34"/>
    </row>
    <row r="741" spans="1:20" x14ac:dyDescent="0.25">
      <c r="A741" s="255"/>
      <c r="C741" s="34" t="s">
        <v>1338</v>
      </c>
      <c r="E741" s="251"/>
      <c r="G741" s="251"/>
      <c r="I741" s="258"/>
      <c r="L741" s="31"/>
      <c r="M741" s="258"/>
      <c r="N741" s="31"/>
      <c r="O741" s="31"/>
      <c r="P741" s="31"/>
      <c r="Q741" s="32"/>
      <c r="S741" s="34"/>
      <c r="T741" s="34"/>
    </row>
    <row r="742" spans="1:20" x14ac:dyDescent="0.25">
      <c r="A742" s="251"/>
      <c r="B742" s="55"/>
      <c r="D742" s="251" t="s">
        <v>874</v>
      </c>
      <c r="I742" s="258"/>
      <c r="L742" s="31"/>
      <c r="M742" s="258"/>
      <c r="N742" s="31"/>
      <c r="O742" s="31"/>
      <c r="P742" s="31"/>
      <c r="Q742" s="32"/>
      <c r="S742" s="34"/>
      <c r="T742" s="34"/>
    </row>
    <row r="743" spans="1:20" x14ac:dyDescent="0.25">
      <c r="A743" s="255"/>
      <c r="E743" s="251" t="s">
        <v>755</v>
      </c>
      <c r="G743" s="251" t="s">
        <v>1264</v>
      </c>
      <c r="I743" s="258">
        <f>'Op Detail'!H522</f>
        <v>6400</v>
      </c>
      <c r="L743" s="31"/>
      <c r="M743" s="258">
        <v>6400</v>
      </c>
      <c r="N743" s="31"/>
      <c r="O743" s="31"/>
      <c r="P743" s="31"/>
      <c r="Q743" s="32"/>
      <c r="S743" s="34"/>
      <c r="T743" s="34"/>
    </row>
    <row r="744" spans="1:20" x14ac:dyDescent="0.25">
      <c r="A744" s="251"/>
      <c r="B744" s="55"/>
      <c r="D744" s="251" t="s">
        <v>256</v>
      </c>
      <c r="I744" s="259"/>
      <c r="L744" s="31"/>
      <c r="M744" s="259"/>
      <c r="N744" s="31"/>
      <c r="O744" s="31"/>
      <c r="P744" s="31"/>
      <c r="Q744" s="32"/>
      <c r="S744" s="34"/>
      <c r="T744" s="34"/>
    </row>
    <row r="745" spans="1:20" x14ac:dyDescent="0.25">
      <c r="A745" s="255"/>
      <c r="E745" s="251" t="s">
        <v>257</v>
      </c>
      <c r="G745" s="251" t="s">
        <v>1264</v>
      </c>
      <c r="I745" s="258">
        <f>'Op Detail'!D830</f>
        <v>0</v>
      </c>
      <c r="K745" s="259" t="s">
        <v>342</v>
      </c>
      <c r="L745" s="31"/>
      <c r="M745" s="258">
        <v>3000</v>
      </c>
      <c r="N745" s="31"/>
      <c r="O745" s="254" t="s">
        <v>342</v>
      </c>
      <c r="P745" s="31"/>
      <c r="Q745" s="32"/>
      <c r="S745" s="34"/>
      <c r="T745" s="34"/>
    </row>
    <row r="746" spans="1:20" x14ac:dyDescent="0.25">
      <c r="A746" s="255"/>
      <c r="D746" s="34" t="s">
        <v>201</v>
      </c>
      <c r="E746" s="251"/>
      <c r="G746" s="251"/>
      <c r="I746" s="258"/>
      <c r="K746" s="259"/>
      <c r="L746" s="31"/>
      <c r="M746" s="258"/>
      <c r="N746" s="31"/>
      <c r="O746" s="254"/>
      <c r="P746" s="31"/>
      <c r="Q746" s="32"/>
      <c r="S746" s="34"/>
      <c r="T746" s="34"/>
    </row>
    <row r="747" spans="1:20" x14ac:dyDescent="0.25">
      <c r="A747" s="255"/>
      <c r="E747" s="251" t="s">
        <v>383</v>
      </c>
      <c r="G747" s="251" t="s">
        <v>1264</v>
      </c>
      <c r="I747" s="258">
        <f>'Op Detail'!D1007</f>
        <v>0</v>
      </c>
      <c r="K747" s="259"/>
      <c r="L747" s="31"/>
      <c r="M747" s="258">
        <v>0</v>
      </c>
      <c r="N747" s="31"/>
      <c r="O747" s="254"/>
      <c r="P747" s="31"/>
      <c r="Q747" s="32"/>
      <c r="S747" s="34"/>
      <c r="T747" s="34"/>
    </row>
    <row r="748" spans="1:20" x14ac:dyDescent="0.25">
      <c r="A748" s="251"/>
      <c r="B748" s="55"/>
      <c r="D748" s="251" t="s">
        <v>877</v>
      </c>
      <c r="I748" s="258"/>
      <c r="K748" s="259" t="s">
        <v>342</v>
      </c>
      <c r="L748" s="31"/>
      <c r="M748" s="258"/>
      <c r="N748" s="31"/>
      <c r="O748" s="254" t="s">
        <v>342</v>
      </c>
      <c r="P748" s="31"/>
      <c r="Q748" s="32"/>
      <c r="S748" s="34"/>
      <c r="T748" s="34"/>
    </row>
    <row r="749" spans="1:20" x14ac:dyDescent="0.25">
      <c r="A749" s="255"/>
      <c r="E749" s="251" t="s">
        <v>479</v>
      </c>
      <c r="G749" s="251" t="s">
        <v>1264</v>
      </c>
      <c r="I749" s="259">
        <f>'Op Detail'!E830</f>
        <v>600</v>
      </c>
      <c r="L749" s="31"/>
      <c r="M749" s="259">
        <v>200</v>
      </c>
      <c r="N749" s="31"/>
      <c r="O749" s="31"/>
      <c r="P749" s="31"/>
      <c r="Q749" s="32"/>
      <c r="S749" s="34"/>
      <c r="T749" s="34"/>
    </row>
    <row r="750" spans="1:20" x14ac:dyDescent="0.25">
      <c r="A750" s="251"/>
      <c r="B750" s="55"/>
      <c r="D750" s="251" t="s">
        <v>116</v>
      </c>
      <c r="I750" s="259"/>
      <c r="L750" s="31"/>
      <c r="M750" s="259"/>
      <c r="N750" s="31"/>
      <c r="O750" s="31"/>
      <c r="P750" s="31"/>
      <c r="Q750" s="32"/>
      <c r="S750" s="34"/>
      <c r="T750" s="34"/>
    </row>
    <row r="751" spans="1:20" x14ac:dyDescent="0.25">
      <c r="A751" s="255"/>
      <c r="E751" s="251" t="s">
        <v>117</v>
      </c>
      <c r="G751" s="251" t="s">
        <v>1264</v>
      </c>
      <c r="I751" s="258">
        <f>'Op Detail'!D874</f>
        <v>0</v>
      </c>
      <c r="K751" s="259" t="s">
        <v>342</v>
      </c>
      <c r="L751" s="31"/>
      <c r="M751" s="258">
        <v>500</v>
      </c>
      <c r="N751" s="31"/>
      <c r="O751" s="254" t="s">
        <v>342</v>
      </c>
      <c r="P751" s="31"/>
      <c r="Q751" s="32"/>
      <c r="S751" s="34"/>
      <c r="T751" s="34"/>
    </row>
    <row r="752" spans="1:20" x14ac:dyDescent="0.25">
      <c r="A752" s="251"/>
      <c r="B752" s="55"/>
      <c r="D752" s="251" t="s">
        <v>304</v>
      </c>
      <c r="E752" s="251"/>
      <c r="G752" s="251"/>
      <c r="I752" s="258"/>
      <c r="K752" s="259"/>
      <c r="L752" s="31"/>
      <c r="M752" s="258"/>
      <c r="N752" s="31"/>
      <c r="O752" s="254"/>
      <c r="P752" s="31"/>
      <c r="Q752" s="32"/>
      <c r="S752" s="34"/>
      <c r="T752" s="34"/>
    </row>
    <row r="753" spans="1:20" x14ac:dyDescent="0.25">
      <c r="A753" s="255"/>
      <c r="E753" s="251" t="s">
        <v>480</v>
      </c>
      <c r="G753" s="251" t="s">
        <v>1264</v>
      </c>
      <c r="I753" s="258">
        <f>'Op Detail'!E874</f>
        <v>8000</v>
      </c>
      <c r="K753" s="259"/>
      <c r="L753" s="31"/>
      <c r="M753" s="258">
        <v>5000</v>
      </c>
      <c r="N753" s="31"/>
      <c r="O753" s="254"/>
      <c r="P753" s="31"/>
      <c r="Q753" s="32"/>
      <c r="S753" s="34"/>
      <c r="T753" s="34"/>
    </row>
    <row r="754" spans="1:20" x14ac:dyDescent="0.25">
      <c r="A754" s="251"/>
      <c r="B754" s="55"/>
      <c r="D754" s="34" t="s">
        <v>878</v>
      </c>
      <c r="E754" s="251"/>
      <c r="G754" s="251"/>
      <c r="I754" s="258"/>
      <c r="K754" s="259"/>
      <c r="L754" s="31"/>
      <c r="M754" s="258"/>
      <c r="N754" s="31"/>
      <c r="O754" s="254"/>
      <c r="P754" s="31"/>
      <c r="Q754" s="32"/>
      <c r="S754" s="34"/>
      <c r="T754" s="34"/>
    </row>
    <row r="755" spans="1:20" x14ac:dyDescent="0.25">
      <c r="A755" s="255"/>
      <c r="E755" s="251" t="s">
        <v>1417</v>
      </c>
      <c r="G755" s="251" t="s">
        <v>1264</v>
      </c>
      <c r="I755" s="258">
        <f>'Op Detail'!F874</f>
        <v>0</v>
      </c>
      <c r="K755" s="259"/>
      <c r="L755" s="31"/>
      <c r="M755" s="258">
        <v>400</v>
      </c>
      <c r="N755" s="31"/>
      <c r="O755" s="254"/>
      <c r="P755" s="31"/>
      <c r="Q755" s="32"/>
      <c r="S755" s="34"/>
      <c r="T755" s="34"/>
    </row>
    <row r="756" spans="1:20" x14ac:dyDescent="0.25">
      <c r="A756" s="255"/>
      <c r="D756" s="34" t="s">
        <v>388</v>
      </c>
      <c r="E756" s="253"/>
      <c r="I756" s="258"/>
      <c r="L756" s="31"/>
      <c r="M756" s="258"/>
      <c r="N756" s="31"/>
      <c r="O756" s="32"/>
      <c r="P756" s="31"/>
      <c r="Q756" s="32"/>
    </row>
    <row r="757" spans="1:20" x14ac:dyDescent="0.25">
      <c r="A757" s="255"/>
      <c r="E757" s="253" t="s">
        <v>389</v>
      </c>
      <c r="G757" s="34" t="s">
        <v>1264</v>
      </c>
      <c r="I757" s="258">
        <f>'Op Detail'!H1007</f>
        <v>0</v>
      </c>
      <c r="L757" s="31"/>
      <c r="M757" s="258">
        <v>400</v>
      </c>
      <c r="N757" s="31"/>
      <c r="O757" s="32"/>
      <c r="P757" s="31"/>
      <c r="Q757" s="32"/>
    </row>
    <row r="758" spans="1:20" x14ac:dyDescent="0.25">
      <c r="A758" s="255"/>
      <c r="D758" s="34" t="s">
        <v>385</v>
      </c>
      <c r="E758" s="253"/>
      <c r="I758" s="258"/>
      <c r="K758" s="80"/>
      <c r="L758" s="31"/>
      <c r="M758" s="258"/>
      <c r="N758" s="31"/>
      <c r="O758" s="32"/>
      <c r="P758" s="31"/>
      <c r="Q758" s="32"/>
    </row>
    <row r="759" spans="1:20" x14ac:dyDescent="0.25">
      <c r="A759" s="255"/>
      <c r="E759" s="253" t="s">
        <v>386</v>
      </c>
      <c r="G759" s="34" t="s">
        <v>1264</v>
      </c>
      <c r="I759" s="258">
        <f>'Op Detail'!F1007</f>
        <v>9800</v>
      </c>
      <c r="K759" s="80"/>
      <c r="L759" s="31"/>
      <c r="M759" s="258">
        <v>9800</v>
      </c>
      <c r="N759" s="31"/>
      <c r="O759" s="32"/>
      <c r="P759" s="31"/>
      <c r="Q759" s="32"/>
    </row>
    <row r="760" spans="1:20" x14ac:dyDescent="0.25">
      <c r="A760" s="255"/>
      <c r="D760" s="34" t="s">
        <v>1838</v>
      </c>
      <c r="E760" s="253"/>
      <c r="I760" s="258"/>
      <c r="K760" s="80"/>
      <c r="L760" s="31"/>
      <c r="M760" s="258"/>
      <c r="N760" s="31"/>
      <c r="O760" s="32"/>
      <c r="P760" s="31"/>
      <c r="Q760" s="32"/>
    </row>
    <row r="761" spans="1:20" x14ac:dyDescent="0.25">
      <c r="A761" s="255"/>
      <c r="E761" s="253" t="s">
        <v>1841</v>
      </c>
      <c r="G761" s="34" t="s">
        <v>1264</v>
      </c>
      <c r="I761" s="258">
        <f>'Op Detail'!F1136</f>
        <v>200</v>
      </c>
      <c r="K761" s="80"/>
      <c r="L761" s="31"/>
      <c r="M761" s="258">
        <v>200</v>
      </c>
      <c r="N761" s="31"/>
      <c r="O761" s="32"/>
      <c r="P761" s="31"/>
      <c r="Q761" s="32"/>
    </row>
    <row r="762" spans="1:20" x14ac:dyDescent="0.25">
      <c r="A762" s="255"/>
      <c r="E762" s="251"/>
      <c r="G762" s="251"/>
      <c r="I762" s="258"/>
      <c r="K762" s="79">
        <f>SUM(I743:I761)</f>
        <v>25000</v>
      </c>
      <c r="L762" s="31"/>
      <c r="M762" s="258"/>
      <c r="N762" s="31"/>
      <c r="O762" s="31">
        <v>25900</v>
      </c>
      <c r="P762" s="31"/>
      <c r="Q762" s="32">
        <f>K762-O762</f>
        <v>-900</v>
      </c>
    </row>
    <row r="763" spans="1:20" x14ac:dyDescent="0.25">
      <c r="A763" s="255"/>
      <c r="B763" s="54" t="s">
        <v>1337</v>
      </c>
      <c r="E763" s="251"/>
      <c r="G763" s="251"/>
      <c r="I763" s="258"/>
      <c r="L763" s="31"/>
      <c r="M763" s="258"/>
      <c r="N763" s="31"/>
      <c r="O763" s="31"/>
      <c r="P763" s="31"/>
      <c r="Q763" s="32"/>
    </row>
    <row r="764" spans="1:20" x14ac:dyDescent="0.25">
      <c r="A764" s="255"/>
      <c r="D764" s="34" t="s">
        <v>912</v>
      </c>
      <c r="E764" s="251"/>
      <c r="G764" s="251"/>
      <c r="I764" s="258"/>
      <c r="L764" s="31"/>
      <c r="M764" s="258"/>
      <c r="N764" s="31"/>
      <c r="O764" s="31"/>
      <c r="P764" s="31"/>
      <c r="Q764" s="32"/>
    </row>
    <row r="765" spans="1:20" x14ac:dyDescent="0.25">
      <c r="A765" s="255"/>
      <c r="E765" s="251" t="s">
        <v>2012</v>
      </c>
      <c r="G765" s="86" t="s">
        <v>1264</v>
      </c>
      <c r="I765" s="258">
        <f>'Op Detail'!D3499</f>
        <v>0</v>
      </c>
      <c r="L765" s="31"/>
      <c r="M765" s="258">
        <v>0</v>
      </c>
      <c r="N765" s="31"/>
      <c r="O765" s="31"/>
      <c r="P765" s="31"/>
      <c r="Q765" s="32"/>
    </row>
    <row r="766" spans="1:20" x14ac:dyDescent="0.25">
      <c r="A766" s="255"/>
      <c r="E766" s="251" t="s">
        <v>501</v>
      </c>
      <c r="G766" s="251" t="s">
        <v>1123</v>
      </c>
      <c r="I766" s="258">
        <f>Salaries!AW378</f>
        <v>26058.959999999999</v>
      </c>
      <c r="K766" s="79">
        <f>I765+I766</f>
        <v>26058.959999999999</v>
      </c>
      <c r="L766" s="31"/>
      <c r="M766" s="258">
        <v>23804.18</v>
      </c>
      <c r="N766" s="31"/>
      <c r="O766" s="79">
        <v>23804.18</v>
      </c>
      <c r="P766" s="31"/>
      <c r="Q766" s="32">
        <f>K766-O766</f>
        <v>2255</v>
      </c>
      <c r="T766" s="210"/>
    </row>
    <row r="767" spans="1:20" x14ac:dyDescent="0.25">
      <c r="A767" s="255"/>
      <c r="E767" s="251"/>
      <c r="G767" s="251"/>
      <c r="I767" s="258"/>
      <c r="L767" s="31"/>
      <c r="M767" s="258"/>
      <c r="N767" s="31"/>
      <c r="O767" s="31"/>
      <c r="P767" s="31"/>
      <c r="Q767" s="32"/>
    </row>
    <row r="768" spans="1:20" x14ac:dyDescent="0.25">
      <c r="A768" s="255"/>
      <c r="B768" s="54" t="s">
        <v>1525</v>
      </c>
      <c r="E768" s="251"/>
      <c r="G768" s="251"/>
      <c r="I768" s="258"/>
      <c r="L768" s="31"/>
      <c r="M768" s="258"/>
      <c r="N768" s="31"/>
      <c r="O768" s="31"/>
      <c r="P768" s="31"/>
      <c r="Q768" s="32"/>
    </row>
    <row r="769" spans="1:20" x14ac:dyDescent="0.25">
      <c r="A769" s="255"/>
      <c r="D769" s="34" t="s">
        <v>497</v>
      </c>
      <c r="E769" s="251"/>
      <c r="G769" s="251"/>
      <c r="I769" s="258"/>
      <c r="L769" s="31"/>
      <c r="M769" s="258"/>
      <c r="N769" s="31"/>
      <c r="O769" s="31"/>
      <c r="P769" s="31"/>
      <c r="Q769" s="32"/>
    </row>
    <row r="770" spans="1:20" x14ac:dyDescent="0.25">
      <c r="A770" s="255"/>
      <c r="E770" s="251" t="s">
        <v>1514</v>
      </c>
      <c r="G770" s="251" t="s">
        <v>1264</v>
      </c>
      <c r="I770" s="258">
        <f>'Op Detail'!E4690</f>
        <v>19643</v>
      </c>
      <c r="L770" s="31"/>
      <c r="M770" s="258">
        <v>40500</v>
      </c>
      <c r="N770" s="31"/>
      <c r="O770" s="31"/>
      <c r="P770" s="31"/>
      <c r="Q770" s="32"/>
    </row>
    <row r="771" spans="1:20" x14ac:dyDescent="0.25">
      <c r="A771" s="255"/>
      <c r="E771" s="251" t="s">
        <v>502</v>
      </c>
      <c r="G771" s="251" t="s">
        <v>1123</v>
      </c>
      <c r="I771" s="258">
        <f>Salaries!DB378</f>
        <v>99039.21</v>
      </c>
      <c r="K771" s="79">
        <f>I771+I770</f>
        <v>118682.21</v>
      </c>
      <c r="L771" s="31"/>
      <c r="M771" s="258">
        <v>107794.6</v>
      </c>
      <c r="N771" s="31"/>
      <c r="O771" s="31">
        <v>148295</v>
      </c>
      <c r="P771" s="31"/>
      <c r="Q771" s="32">
        <f>K771-O771</f>
        <v>-29613</v>
      </c>
      <c r="T771" s="210"/>
    </row>
    <row r="772" spans="1:20" x14ac:dyDescent="0.25">
      <c r="A772" s="255"/>
      <c r="D772" s="251" t="s">
        <v>834</v>
      </c>
      <c r="I772" s="258"/>
      <c r="J772" s="80"/>
      <c r="K772" s="80"/>
      <c r="L772" s="31"/>
      <c r="M772" s="258"/>
      <c r="N772" s="31"/>
      <c r="O772" s="32"/>
      <c r="P772" s="31"/>
      <c r="Q772" s="32"/>
    </row>
    <row r="773" spans="1:20" x14ac:dyDescent="0.25">
      <c r="A773" s="251"/>
      <c r="B773" s="55"/>
      <c r="E773" s="251" t="s">
        <v>88</v>
      </c>
      <c r="G773" s="251" t="s">
        <v>1264</v>
      </c>
      <c r="I773" s="260">
        <f>'Op Detail'!D4649</f>
        <v>50737</v>
      </c>
      <c r="J773" s="80"/>
      <c r="K773" s="259" t="s">
        <v>342</v>
      </c>
      <c r="L773" s="31"/>
      <c r="M773" s="260">
        <v>75850</v>
      </c>
      <c r="N773" s="31"/>
      <c r="O773" s="31" t="s">
        <v>342</v>
      </c>
      <c r="P773" s="31"/>
      <c r="Q773" s="32" t="s">
        <v>342</v>
      </c>
    </row>
    <row r="774" spans="1:20" x14ac:dyDescent="0.25">
      <c r="A774" s="255"/>
      <c r="E774" s="251" t="s">
        <v>89</v>
      </c>
      <c r="G774" s="251" t="s">
        <v>1123</v>
      </c>
      <c r="I774" s="258">
        <f>Salaries!BT378</f>
        <v>0</v>
      </c>
      <c r="K774" s="80">
        <f>I773+I774</f>
        <v>50737</v>
      </c>
      <c r="L774" s="31"/>
      <c r="M774" s="258">
        <v>0</v>
      </c>
      <c r="N774" s="31"/>
      <c r="O774" s="32">
        <v>75850</v>
      </c>
      <c r="P774" s="31"/>
      <c r="Q774" s="32">
        <f>K774-O774</f>
        <v>-25113</v>
      </c>
    </row>
    <row r="775" spans="1:20" x14ac:dyDescent="0.25">
      <c r="A775" s="255"/>
      <c r="D775" s="34" t="s">
        <v>836</v>
      </c>
      <c r="E775" s="251"/>
      <c r="G775" s="251"/>
      <c r="I775" s="258"/>
      <c r="K775" s="80"/>
      <c r="L775" s="31"/>
      <c r="M775" s="258"/>
      <c r="N775" s="31"/>
      <c r="O775" s="32"/>
      <c r="P775" s="31"/>
      <c r="Q775" s="32"/>
    </row>
    <row r="776" spans="1:20" x14ac:dyDescent="0.25">
      <c r="A776" s="255"/>
      <c r="E776" s="251" t="s">
        <v>1512</v>
      </c>
      <c r="G776" s="251" t="s">
        <v>1264</v>
      </c>
      <c r="I776" s="258">
        <f>'Op Detail'!E4718</f>
        <v>3706</v>
      </c>
      <c r="K776" s="80">
        <f>I776</f>
        <v>3706</v>
      </c>
      <c r="L776" s="31"/>
      <c r="M776" s="258">
        <v>12500</v>
      </c>
      <c r="N776" s="31"/>
      <c r="O776" s="32">
        <v>12500</v>
      </c>
      <c r="P776" s="31"/>
      <c r="Q776" s="32">
        <f>K776-O776</f>
        <v>-8794</v>
      </c>
    </row>
    <row r="777" spans="1:20" x14ac:dyDescent="0.25">
      <c r="A777" s="255"/>
      <c r="D777" s="34" t="s">
        <v>290</v>
      </c>
      <c r="E777" s="251"/>
      <c r="G777" s="251"/>
      <c r="I777" s="258"/>
      <c r="J777" s="80"/>
      <c r="K777" s="80"/>
      <c r="L777" s="31"/>
      <c r="M777" s="258"/>
      <c r="N777" s="31"/>
      <c r="O777" s="32"/>
      <c r="P777" s="31"/>
      <c r="Q777" s="32"/>
    </row>
    <row r="778" spans="1:20" x14ac:dyDescent="0.25">
      <c r="A778" s="255"/>
      <c r="E778" s="251" t="s">
        <v>462</v>
      </c>
      <c r="G778" s="251" t="s">
        <v>1264</v>
      </c>
      <c r="I778" s="258">
        <f>'Op Detail'!E6141</f>
        <v>552044</v>
      </c>
      <c r="K778" s="80">
        <f>I778</f>
        <v>552044</v>
      </c>
      <c r="L778" s="31"/>
      <c r="M778" s="258">
        <v>490800</v>
      </c>
      <c r="N778" s="31"/>
      <c r="O778" s="32">
        <v>490800</v>
      </c>
      <c r="P778" s="31"/>
      <c r="Q778" s="32">
        <f>K778-O778</f>
        <v>61244</v>
      </c>
    </row>
    <row r="779" spans="1:20" x14ac:dyDescent="0.25">
      <c r="A779" s="255"/>
      <c r="D779" s="34" t="s">
        <v>837</v>
      </c>
      <c r="E779" s="251"/>
      <c r="G779" s="251"/>
      <c r="I779" s="258"/>
      <c r="K779" s="80"/>
      <c r="L779" s="31"/>
      <c r="M779" s="258"/>
      <c r="N779" s="31"/>
      <c r="O779" s="32"/>
      <c r="P779" s="31"/>
      <c r="Q779" s="32"/>
    </row>
    <row r="780" spans="1:20" x14ac:dyDescent="0.25">
      <c r="A780" s="255"/>
      <c r="E780" s="251" t="s">
        <v>1517</v>
      </c>
      <c r="G780" s="251" t="s">
        <v>1264</v>
      </c>
      <c r="I780" s="258">
        <f>'Op Detail'!E4734</f>
        <v>102500</v>
      </c>
      <c r="K780" s="80">
        <f>I780</f>
        <v>102500</v>
      </c>
      <c r="L780" s="31"/>
      <c r="M780" s="258">
        <v>167000</v>
      </c>
      <c r="N780" s="31"/>
      <c r="O780" s="32">
        <v>167000</v>
      </c>
      <c r="P780" s="31"/>
      <c r="Q780" s="32">
        <f>K780-O780</f>
        <v>-64500</v>
      </c>
    </row>
    <row r="781" spans="1:20" x14ac:dyDescent="0.25">
      <c r="A781" s="255"/>
      <c r="E781" s="251"/>
      <c r="G781" s="251"/>
      <c r="I781" s="258"/>
      <c r="K781" s="80"/>
      <c r="L781" s="31"/>
      <c r="M781" s="258"/>
      <c r="N781" s="31"/>
      <c r="O781" s="32"/>
      <c r="P781" s="31"/>
      <c r="Q781" s="32"/>
    </row>
    <row r="782" spans="1:20" ht="18" x14ac:dyDescent="0.25">
      <c r="A782" s="261" t="s">
        <v>504</v>
      </c>
      <c r="B782" s="261"/>
      <c r="E782" s="251"/>
      <c r="G782" s="251"/>
      <c r="I782" s="258"/>
      <c r="K782" s="80"/>
      <c r="L782" s="31"/>
      <c r="M782" s="258"/>
      <c r="N782" s="31"/>
      <c r="O782" s="32"/>
      <c r="P782" s="31"/>
      <c r="Q782" s="32"/>
    </row>
    <row r="783" spans="1:20" s="187" customFormat="1" x14ac:dyDescent="0.25">
      <c r="A783" s="54"/>
      <c r="B783" s="54" t="s">
        <v>1340</v>
      </c>
      <c r="E783" s="86"/>
      <c r="G783" s="86"/>
      <c r="I783" s="258"/>
      <c r="J783" s="193"/>
      <c r="K783" s="194"/>
      <c r="L783" s="192"/>
      <c r="M783" s="258"/>
      <c r="N783" s="192"/>
      <c r="O783" s="195"/>
      <c r="P783" s="192"/>
      <c r="Q783" s="195"/>
      <c r="S783" s="193"/>
      <c r="T783" s="196"/>
    </row>
    <row r="784" spans="1:20" s="187" customFormat="1" x14ac:dyDescent="0.25">
      <c r="A784" s="54"/>
      <c r="B784" s="54"/>
      <c r="D784" s="187" t="s">
        <v>795</v>
      </c>
      <c r="E784" s="86"/>
      <c r="G784" s="86"/>
      <c r="I784" s="258"/>
      <c r="J784" s="193"/>
      <c r="K784" s="194"/>
      <c r="L784" s="192"/>
      <c r="M784" s="258"/>
      <c r="N784" s="192"/>
      <c r="O784" s="195"/>
      <c r="P784" s="192"/>
      <c r="Q784" s="195"/>
      <c r="S784" s="193"/>
      <c r="T784" s="196"/>
    </row>
    <row r="785" spans="1:20" s="187" customFormat="1" x14ac:dyDescent="0.25">
      <c r="A785" s="54"/>
      <c r="B785" s="54"/>
      <c r="E785" s="86" t="s">
        <v>542</v>
      </c>
      <c r="G785" s="251" t="s">
        <v>1264</v>
      </c>
      <c r="I785" s="258">
        <f>'Op Detail'!D2148</f>
        <v>8800</v>
      </c>
      <c r="J785" s="193"/>
      <c r="K785" s="194">
        <f>I785</f>
        <v>8800</v>
      </c>
      <c r="L785" s="192"/>
      <c r="M785" s="258">
        <v>11000</v>
      </c>
      <c r="N785" s="192"/>
      <c r="O785" s="195">
        <v>11000</v>
      </c>
      <c r="P785" s="192"/>
      <c r="Q785" s="195">
        <f>K785-O785</f>
        <v>-2200</v>
      </c>
      <c r="S785" s="193"/>
      <c r="T785" s="196"/>
    </row>
    <row r="786" spans="1:20" s="187" customFormat="1" x14ac:dyDescent="0.25">
      <c r="A786" s="54"/>
      <c r="B786" s="54"/>
      <c r="D786" s="187" t="s">
        <v>960</v>
      </c>
      <c r="E786" s="86"/>
      <c r="G786" s="86"/>
      <c r="I786" s="258"/>
      <c r="J786" s="193"/>
      <c r="K786" s="194"/>
      <c r="L786" s="192"/>
      <c r="M786" s="258"/>
      <c r="N786" s="192"/>
      <c r="O786" s="195"/>
      <c r="P786" s="192"/>
      <c r="Q786" s="195"/>
      <c r="S786" s="193"/>
      <c r="T786" s="196"/>
    </row>
    <row r="787" spans="1:20" s="187" customFormat="1" x14ac:dyDescent="0.25">
      <c r="A787" s="54"/>
      <c r="B787" s="54"/>
      <c r="E787" s="86" t="s">
        <v>543</v>
      </c>
      <c r="G787" s="251" t="s">
        <v>1264</v>
      </c>
      <c r="I787" s="258">
        <f>'Op Detail'!E2148</f>
        <v>485.83</v>
      </c>
      <c r="J787" s="193"/>
      <c r="K787" s="194">
        <f>I787</f>
        <v>485.83</v>
      </c>
      <c r="L787" s="192"/>
      <c r="M787" s="258">
        <v>500</v>
      </c>
      <c r="N787" s="192"/>
      <c r="O787" s="195">
        <v>500</v>
      </c>
      <c r="P787" s="192"/>
      <c r="Q787" s="195">
        <f>K787-O787</f>
        <v>-14</v>
      </c>
      <c r="S787" s="193"/>
      <c r="T787" s="196"/>
    </row>
    <row r="788" spans="1:20" s="187" customFormat="1" x14ac:dyDescent="0.25">
      <c r="A788" s="54"/>
      <c r="B788" s="54"/>
      <c r="D788" s="187" t="s">
        <v>796</v>
      </c>
      <c r="E788" s="86"/>
      <c r="G788" s="86"/>
      <c r="I788" s="258"/>
      <c r="J788" s="193"/>
      <c r="K788" s="194"/>
      <c r="L788" s="192"/>
      <c r="M788" s="258"/>
      <c r="N788" s="192"/>
      <c r="O788" s="195"/>
      <c r="P788" s="192"/>
      <c r="Q788" s="195"/>
      <c r="S788" s="193"/>
      <c r="T788" s="196"/>
    </row>
    <row r="789" spans="1:20" s="187" customFormat="1" x14ac:dyDescent="0.25">
      <c r="A789" s="54"/>
      <c r="B789" s="54"/>
      <c r="E789" s="86" t="s">
        <v>544</v>
      </c>
      <c r="G789" s="251" t="s">
        <v>1264</v>
      </c>
      <c r="I789" s="258">
        <f>'Op Detail'!F2148</f>
        <v>1200</v>
      </c>
      <c r="J789" s="193"/>
      <c r="K789" s="194">
        <f>I789</f>
        <v>1200</v>
      </c>
      <c r="L789" s="192"/>
      <c r="M789" s="258">
        <v>1500</v>
      </c>
      <c r="N789" s="192"/>
      <c r="O789" s="195">
        <v>1500</v>
      </c>
      <c r="P789" s="192"/>
      <c r="Q789" s="195">
        <f>K789-O789</f>
        <v>-300</v>
      </c>
      <c r="S789" s="193"/>
      <c r="T789" s="196"/>
    </row>
    <row r="790" spans="1:20" s="187" customFormat="1" x14ac:dyDescent="0.25">
      <c r="A790" s="54"/>
      <c r="B790" s="54"/>
      <c r="D790" s="187" t="s">
        <v>879</v>
      </c>
      <c r="E790" s="86"/>
      <c r="G790" s="86"/>
      <c r="I790" s="258"/>
      <c r="J790" s="193"/>
      <c r="K790" s="194"/>
      <c r="L790" s="192"/>
      <c r="M790" s="258"/>
      <c r="N790" s="192"/>
      <c r="O790" s="195"/>
      <c r="P790" s="192"/>
      <c r="Q790" s="195"/>
      <c r="S790" s="193"/>
      <c r="T790" s="196"/>
    </row>
    <row r="791" spans="1:20" s="187" customFormat="1" x14ac:dyDescent="0.25">
      <c r="A791" s="54"/>
      <c r="B791" s="54"/>
      <c r="E791" s="86" t="s">
        <v>545</v>
      </c>
      <c r="G791" s="251" t="s">
        <v>1264</v>
      </c>
      <c r="I791" s="258">
        <f>'Op Detail'!H2148</f>
        <v>1200</v>
      </c>
      <c r="J791" s="193"/>
      <c r="K791" s="194">
        <f>I791</f>
        <v>1200</v>
      </c>
      <c r="L791" s="192"/>
      <c r="M791" s="258">
        <v>1500</v>
      </c>
      <c r="N791" s="192"/>
      <c r="O791" s="195">
        <v>1500</v>
      </c>
      <c r="P791" s="192"/>
      <c r="Q791" s="195">
        <f>K791-O791</f>
        <v>-300</v>
      </c>
      <c r="S791" s="193"/>
      <c r="T791" s="196"/>
    </row>
    <row r="792" spans="1:20" s="187" customFormat="1" x14ac:dyDescent="0.25">
      <c r="A792" s="54"/>
      <c r="B792" s="54"/>
      <c r="D792" s="255" t="s">
        <v>1222</v>
      </c>
      <c r="E792" s="86"/>
      <c r="G792" s="251"/>
      <c r="I792" s="258"/>
      <c r="J792" s="193"/>
      <c r="K792" s="194"/>
      <c r="L792" s="192"/>
      <c r="M792" s="258"/>
      <c r="N792" s="192"/>
      <c r="O792" s="195"/>
      <c r="P792" s="192"/>
      <c r="Q792" s="195"/>
      <c r="S792" s="193"/>
      <c r="T792" s="196"/>
    </row>
    <row r="793" spans="1:20" s="187" customFormat="1" x14ac:dyDescent="0.25">
      <c r="A793" s="54"/>
      <c r="B793" s="54"/>
      <c r="E793" s="251" t="s">
        <v>2734</v>
      </c>
      <c r="G793" s="251" t="s">
        <v>1264</v>
      </c>
      <c r="I793" s="258">
        <f>'Op Detail'!D6435</f>
        <v>400</v>
      </c>
      <c r="J793" s="193"/>
      <c r="K793" s="194">
        <f>I793</f>
        <v>400</v>
      </c>
      <c r="L793" s="192"/>
      <c r="M793" s="258">
        <v>500</v>
      </c>
      <c r="N793" s="192"/>
      <c r="O793" s="195">
        <v>500</v>
      </c>
      <c r="P793" s="192"/>
      <c r="Q793" s="195"/>
      <c r="S793" s="193"/>
      <c r="T793" s="196"/>
    </row>
    <row r="794" spans="1:20" s="187" customFormat="1" x14ac:dyDescent="0.25">
      <c r="A794" s="54"/>
      <c r="B794" s="54"/>
      <c r="D794" s="255" t="s">
        <v>1221</v>
      </c>
      <c r="E794" s="86"/>
      <c r="G794" s="251"/>
      <c r="I794" s="258"/>
      <c r="J794" s="193"/>
      <c r="K794" s="194"/>
      <c r="L794" s="192"/>
      <c r="M794" s="258"/>
      <c r="N794" s="192"/>
      <c r="O794" s="195"/>
      <c r="P794" s="192"/>
      <c r="Q794" s="195"/>
      <c r="S794" s="193"/>
      <c r="T794" s="196"/>
    </row>
    <row r="795" spans="1:20" s="187" customFormat="1" x14ac:dyDescent="0.25">
      <c r="A795" s="54"/>
      <c r="B795" s="54"/>
      <c r="E795" s="251" t="s">
        <v>2735</v>
      </c>
      <c r="G795" s="251" t="s">
        <v>1264</v>
      </c>
      <c r="I795" s="258">
        <f>'Op Detail'!E6435</f>
        <v>400</v>
      </c>
      <c r="J795" s="193"/>
      <c r="K795" s="194">
        <f>I795</f>
        <v>400</v>
      </c>
      <c r="L795" s="192"/>
      <c r="M795" s="258">
        <v>500</v>
      </c>
      <c r="N795" s="192"/>
      <c r="O795" s="195">
        <v>500</v>
      </c>
      <c r="P795" s="192"/>
      <c r="Q795" s="195"/>
      <c r="S795" s="193"/>
      <c r="T795" s="196"/>
    </row>
    <row r="796" spans="1:20" s="187" customFormat="1" x14ac:dyDescent="0.25">
      <c r="A796" s="54"/>
      <c r="B796" s="54"/>
      <c r="D796" s="255" t="s">
        <v>1220</v>
      </c>
      <c r="E796" s="86"/>
      <c r="G796" s="251"/>
      <c r="I796" s="258"/>
      <c r="J796" s="193"/>
      <c r="K796" s="194"/>
      <c r="L796" s="192"/>
      <c r="M796" s="258"/>
      <c r="N796" s="192"/>
      <c r="O796" s="195"/>
      <c r="P796" s="192"/>
      <c r="Q796" s="195"/>
      <c r="S796" s="193"/>
      <c r="T796" s="196"/>
    </row>
    <row r="797" spans="1:20" s="187" customFormat="1" x14ac:dyDescent="0.25">
      <c r="A797" s="54"/>
      <c r="B797" s="54"/>
      <c r="E797" s="251" t="s">
        <v>2736</v>
      </c>
      <c r="G797" s="251" t="s">
        <v>1264</v>
      </c>
      <c r="I797" s="258">
        <f>'Op Detail'!F6435</f>
        <v>400</v>
      </c>
      <c r="J797" s="193"/>
      <c r="K797" s="194">
        <f>I797</f>
        <v>400</v>
      </c>
      <c r="L797" s="192"/>
      <c r="M797" s="258">
        <v>500</v>
      </c>
      <c r="N797" s="192"/>
      <c r="O797" s="195">
        <v>500</v>
      </c>
      <c r="P797" s="192"/>
      <c r="Q797" s="195"/>
      <c r="S797" s="193"/>
      <c r="T797" s="196"/>
    </row>
    <row r="798" spans="1:20" s="187" customFormat="1" x14ac:dyDescent="0.25">
      <c r="A798" s="54"/>
      <c r="B798" s="54"/>
      <c r="D798" s="255" t="s">
        <v>1062</v>
      </c>
      <c r="E798" s="86"/>
      <c r="G798" s="251"/>
      <c r="I798" s="258"/>
      <c r="J798" s="193"/>
      <c r="K798" s="194"/>
      <c r="L798" s="192"/>
      <c r="M798" s="258"/>
      <c r="N798" s="192"/>
      <c r="O798" s="195"/>
      <c r="P798" s="192"/>
      <c r="Q798" s="195"/>
      <c r="S798" s="193"/>
      <c r="T798" s="196"/>
    </row>
    <row r="799" spans="1:20" s="187" customFormat="1" x14ac:dyDescent="0.25">
      <c r="A799" s="54"/>
      <c r="B799" s="54"/>
      <c r="E799" s="251" t="s">
        <v>2737</v>
      </c>
      <c r="G799" s="251" t="s">
        <v>1264</v>
      </c>
      <c r="I799" s="258">
        <f>'Op Detail'!H6435</f>
        <v>500</v>
      </c>
      <c r="J799" s="193"/>
      <c r="K799" s="194">
        <f>I799</f>
        <v>500</v>
      </c>
      <c r="L799" s="192"/>
      <c r="M799" s="258">
        <v>500</v>
      </c>
      <c r="N799" s="192"/>
      <c r="O799" s="195">
        <v>500</v>
      </c>
      <c r="P799" s="192"/>
      <c r="Q799" s="195"/>
      <c r="S799" s="193"/>
      <c r="T799" s="196"/>
    </row>
    <row r="800" spans="1:20" s="187" customFormat="1" x14ac:dyDescent="0.25">
      <c r="A800" s="54"/>
      <c r="B800" s="54"/>
      <c r="D800" s="255" t="s">
        <v>2733</v>
      </c>
      <c r="E800" s="86"/>
      <c r="G800" s="251"/>
      <c r="I800" s="258"/>
      <c r="J800" s="193"/>
      <c r="K800" s="194"/>
      <c r="L800" s="192"/>
      <c r="M800" s="258"/>
      <c r="N800" s="192"/>
      <c r="O800" s="195"/>
      <c r="P800" s="192"/>
      <c r="Q800" s="195"/>
      <c r="S800" s="193"/>
      <c r="T800" s="196"/>
    </row>
    <row r="801" spans="1:20" s="187" customFormat="1" x14ac:dyDescent="0.25">
      <c r="A801" s="54"/>
      <c r="B801" s="54"/>
      <c r="E801" s="251" t="s">
        <v>2738</v>
      </c>
      <c r="G801" s="251" t="s">
        <v>1264</v>
      </c>
      <c r="I801" s="258">
        <f>'Op Detail'!D6460</f>
        <v>466.9</v>
      </c>
      <c r="J801" s="193"/>
      <c r="K801" s="194">
        <f>I801</f>
        <v>466.9</v>
      </c>
      <c r="L801" s="192"/>
      <c r="M801" s="258">
        <v>500</v>
      </c>
      <c r="N801" s="192"/>
      <c r="O801" s="195">
        <v>500</v>
      </c>
      <c r="P801" s="192"/>
      <c r="Q801" s="195"/>
      <c r="S801" s="193"/>
      <c r="T801" s="196"/>
    </row>
    <row r="802" spans="1:20" s="187" customFormat="1" x14ac:dyDescent="0.25">
      <c r="A802" s="54"/>
      <c r="B802" s="54"/>
      <c r="E802" s="86"/>
      <c r="G802" s="86"/>
      <c r="I802" s="258"/>
      <c r="J802" s="193"/>
      <c r="K802" s="194"/>
      <c r="L802" s="192"/>
      <c r="M802" s="258"/>
      <c r="N802" s="192"/>
      <c r="O802" s="195"/>
      <c r="P802" s="192"/>
      <c r="Q802" s="195"/>
      <c r="S802" s="193"/>
      <c r="T802" s="196"/>
    </row>
    <row r="803" spans="1:20" ht="15.75" customHeight="1" x14ac:dyDescent="0.25">
      <c r="A803" s="261"/>
      <c r="B803" s="54" t="s">
        <v>1342</v>
      </c>
      <c r="E803" s="251"/>
      <c r="G803" s="251"/>
      <c r="I803" s="258"/>
      <c r="K803" s="80"/>
      <c r="L803" s="31"/>
      <c r="M803" s="258"/>
      <c r="N803" s="31"/>
      <c r="O803" s="32"/>
      <c r="P803" s="31"/>
      <c r="Q803" s="32"/>
    </row>
    <row r="804" spans="1:20" ht="15.75" customHeight="1" x14ac:dyDescent="0.25">
      <c r="A804" s="251"/>
      <c r="B804" s="55"/>
      <c r="D804" s="251" t="s">
        <v>1694</v>
      </c>
      <c r="I804" s="258"/>
      <c r="L804" s="31"/>
      <c r="M804" s="258"/>
      <c r="N804" s="31"/>
      <c r="O804" s="31"/>
      <c r="P804" s="31"/>
      <c r="Q804" s="32"/>
    </row>
    <row r="805" spans="1:20" x14ac:dyDescent="0.25">
      <c r="A805" s="251"/>
      <c r="B805" s="55"/>
      <c r="D805" s="251"/>
      <c r="E805" s="251" t="s">
        <v>1657</v>
      </c>
      <c r="G805" s="251" t="s">
        <v>1264</v>
      </c>
      <c r="I805" s="258">
        <f>'Op Detail'!D2188</f>
        <v>17272.5</v>
      </c>
      <c r="L805" s="31"/>
      <c r="M805" s="258">
        <v>23900</v>
      </c>
      <c r="N805" s="31"/>
      <c r="O805" s="31"/>
      <c r="P805" s="31"/>
      <c r="Q805" s="32"/>
    </row>
    <row r="806" spans="1:20" x14ac:dyDescent="0.25">
      <c r="A806" s="255"/>
      <c r="E806" s="251" t="s">
        <v>999</v>
      </c>
      <c r="G806" s="251" t="s">
        <v>1123</v>
      </c>
      <c r="I806" s="258">
        <f>Salaries!BG378</f>
        <v>82010.28</v>
      </c>
      <c r="K806" s="80">
        <f>I806+I805</f>
        <v>99282.78</v>
      </c>
      <c r="L806" s="31"/>
      <c r="M806" s="258">
        <v>80844.25</v>
      </c>
      <c r="N806" s="31"/>
      <c r="O806" s="32">
        <v>104744</v>
      </c>
      <c r="P806" s="31"/>
      <c r="Q806" s="32">
        <f>K806-O806</f>
        <v>-5461</v>
      </c>
      <c r="T806" s="210"/>
    </row>
    <row r="807" spans="1:20" x14ac:dyDescent="0.25">
      <c r="A807" s="255"/>
      <c r="D807" s="34" t="s">
        <v>668</v>
      </c>
      <c r="I807" s="34"/>
      <c r="J807" s="34"/>
      <c r="K807" s="34"/>
      <c r="M807" s="255"/>
      <c r="T807" s="210"/>
    </row>
    <row r="808" spans="1:20" x14ac:dyDescent="0.25">
      <c r="A808" s="255"/>
      <c r="E808" s="251" t="s">
        <v>3160</v>
      </c>
      <c r="G808" s="251" t="s">
        <v>1264</v>
      </c>
      <c r="H808" s="251"/>
      <c r="I808" s="87">
        <f>+'Op Detail'!G3600</f>
        <v>23343.74</v>
      </c>
      <c r="J808" s="251"/>
      <c r="K808" s="87">
        <f>I808</f>
        <v>23343.74</v>
      </c>
      <c r="L808" s="251"/>
      <c r="M808" s="252">
        <v>28800</v>
      </c>
      <c r="N808" s="251"/>
      <c r="O808" s="31">
        <v>28800</v>
      </c>
      <c r="P808" s="251"/>
      <c r="Q808" s="88">
        <f>K808-O808</f>
        <v>-5456.26</v>
      </c>
      <c r="T808" s="210"/>
    </row>
    <row r="809" spans="1:20" x14ac:dyDescent="0.25">
      <c r="A809" s="251"/>
      <c r="B809" s="55"/>
      <c r="D809" s="251" t="s">
        <v>912</v>
      </c>
      <c r="I809" s="258"/>
      <c r="K809" s="80"/>
      <c r="L809" s="31"/>
      <c r="M809" s="258"/>
      <c r="N809" s="31"/>
      <c r="O809" s="31"/>
      <c r="P809" s="31"/>
      <c r="Q809" s="32"/>
    </row>
    <row r="810" spans="1:20" x14ac:dyDescent="0.25">
      <c r="A810" s="251"/>
      <c r="B810" s="55"/>
      <c r="E810" s="251" t="s">
        <v>505</v>
      </c>
      <c r="G810" s="251" t="s">
        <v>1123</v>
      </c>
      <c r="I810" s="258">
        <f>Salaries!AX372</f>
        <v>0</v>
      </c>
      <c r="K810" s="80">
        <f>I810+I809</f>
        <v>0</v>
      </c>
      <c r="L810" s="31"/>
      <c r="M810" s="258">
        <v>0</v>
      </c>
      <c r="N810" s="31"/>
      <c r="O810" s="31">
        <v>0</v>
      </c>
      <c r="P810" s="31"/>
      <c r="Q810" s="32">
        <f>K810-O810</f>
        <v>0</v>
      </c>
    </row>
    <row r="811" spans="1:20" x14ac:dyDescent="0.25">
      <c r="A811" s="251"/>
      <c r="B811" s="55"/>
      <c r="E811" s="251"/>
      <c r="G811" s="251"/>
      <c r="I811" s="258"/>
      <c r="K811" s="80"/>
      <c r="L811" s="31"/>
      <c r="M811" s="258"/>
      <c r="N811" s="31"/>
      <c r="O811" s="31"/>
      <c r="P811" s="31"/>
      <c r="Q811" s="32"/>
    </row>
    <row r="812" spans="1:20" x14ac:dyDescent="0.25">
      <c r="A812" s="251"/>
      <c r="B812" s="54" t="s">
        <v>1525</v>
      </c>
      <c r="E812" s="251"/>
      <c r="G812" s="251"/>
      <c r="I812" s="258"/>
      <c r="K812" s="80"/>
      <c r="L812" s="31"/>
      <c r="M812" s="258"/>
      <c r="N812" s="31"/>
      <c r="O812" s="31"/>
      <c r="P812" s="31"/>
      <c r="Q812" s="32"/>
    </row>
    <row r="813" spans="1:20" x14ac:dyDescent="0.25">
      <c r="A813" s="251"/>
      <c r="B813" s="55"/>
      <c r="D813" s="34" t="s">
        <v>834</v>
      </c>
      <c r="E813" s="251"/>
      <c r="G813" s="251"/>
      <c r="I813" s="258"/>
      <c r="K813" s="80"/>
      <c r="L813" s="31"/>
      <c r="M813" s="258"/>
      <c r="N813" s="31"/>
      <c r="O813" s="31"/>
      <c r="P813" s="31"/>
      <c r="Q813" s="32"/>
    </row>
    <row r="814" spans="1:20" x14ac:dyDescent="0.25">
      <c r="A814" s="251"/>
      <c r="B814" s="55"/>
      <c r="E814" s="251" t="s">
        <v>546</v>
      </c>
      <c r="G814" s="251" t="s">
        <v>1264</v>
      </c>
      <c r="I814" s="258">
        <f>'Op Detail'!E2188</f>
        <v>2175</v>
      </c>
      <c r="K814" s="80">
        <f>I814</f>
        <v>2175</v>
      </c>
      <c r="L814" s="31"/>
      <c r="M814" s="258">
        <v>36750</v>
      </c>
      <c r="N814" s="31"/>
      <c r="O814" s="31">
        <v>36750</v>
      </c>
      <c r="P814" s="31"/>
      <c r="Q814" s="32">
        <f>K814-O814</f>
        <v>-34575</v>
      </c>
    </row>
    <row r="815" spans="1:20" x14ac:dyDescent="0.25">
      <c r="A815" s="251"/>
      <c r="B815" s="55"/>
      <c r="D815" s="251" t="s">
        <v>837</v>
      </c>
      <c r="F815" s="251"/>
      <c r="I815" s="258"/>
      <c r="L815" s="31"/>
      <c r="M815" s="258"/>
      <c r="N815" s="31"/>
      <c r="O815" s="31"/>
      <c r="P815" s="31"/>
      <c r="Q815" s="32"/>
    </row>
    <row r="816" spans="1:20" x14ac:dyDescent="0.25">
      <c r="A816" s="255"/>
      <c r="E816" s="251" t="s">
        <v>547</v>
      </c>
      <c r="G816" s="251" t="s">
        <v>1264</v>
      </c>
      <c r="I816" s="258">
        <f>'Op Detail'!F2188</f>
        <v>33200</v>
      </c>
      <c r="J816" s="80"/>
      <c r="K816" s="80">
        <f>I816</f>
        <v>33200</v>
      </c>
      <c r="L816" s="32"/>
      <c r="M816" s="258">
        <v>33200</v>
      </c>
      <c r="N816" s="32"/>
      <c r="O816" s="32">
        <v>33200</v>
      </c>
      <c r="P816" s="32"/>
      <c r="Q816" s="32">
        <f>K816-O816</f>
        <v>0</v>
      </c>
      <c r="R816" s="39"/>
    </row>
    <row r="817" spans="1:20" x14ac:dyDescent="0.25">
      <c r="A817" s="255"/>
      <c r="E817" s="251"/>
      <c r="G817" s="251"/>
      <c r="I817" s="258"/>
      <c r="J817" s="80"/>
      <c r="K817" s="80"/>
      <c r="L817" s="32"/>
      <c r="M817" s="258"/>
      <c r="N817" s="32"/>
      <c r="O817" s="32"/>
      <c r="P817" s="32"/>
      <c r="Q817" s="32"/>
      <c r="R817" s="39"/>
    </row>
    <row r="818" spans="1:20" ht="18" x14ac:dyDescent="0.25">
      <c r="A818" s="261" t="s">
        <v>441</v>
      </c>
      <c r="E818" s="251"/>
      <c r="G818" s="251"/>
      <c r="I818" s="258"/>
      <c r="J818" s="80"/>
      <c r="K818" s="80"/>
      <c r="L818" s="32"/>
      <c r="M818" s="258"/>
      <c r="N818" s="32"/>
      <c r="O818" s="32"/>
      <c r="P818" s="32"/>
      <c r="Q818" s="32"/>
      <c r="R818" s="39"/>
    </row>
    <row r="819" spans="1:20" x14ac:dyDescent="0.25">
      <c r="A819" s="255"/>
      <c r="B819" s="54" t="s">
        <v>1340</v>
      </c>
      <c r="E819" s="251"/>
      <c r="G819" s="251"/>
      <c r="I819" s="258"/>
      <c r="J819" s="80"/>
      <c r="K819" s="80"/>
      <c r="L819" s="32"/>
      <c r="M819" s="258"/>
      <c r="N819" s="32"/>
      <c r="O819" s="32"/>
      <c r="P819" s="32"/>
      <c r="Q819" s="32"/>
      <c r="R819" s="39"/>
    </row>
    <row r="820" spans="1:20" x14ac:dyDescent="0.25">
      <c r="A820" s="255"/>
      <c r="C820" s="34" t="s">
        <v>1345</v>
      </c>
      <c r="E820" s="251"/>
      <c r="G820" s="251"/>
      <c r="I820" s="258"/>
      <c r="J820" s="80"/>
      <c r="K820" s="80"/>
      <c r="L820" s="32"/>
      <c r="M820" s="258"/>
      <c r="N820" s="32"/>
      <c r="O820" s="32"/>
      <c r="P820" s="32"/>
      <c r="Q820" s="32"/>
      <c r="R820" s="39"/>
      <c r="S820" s="34"/>
      <c r="T820" s="34"/>
    </row>
    <row r="821" spans="1:20" x14ac:dyDescent="0.25">
      <c r="A821" s="255"/>
      <c r="D821" s="34" t="s">
        <v>643</v>
      </c>
      <c r="E821" s="251"/>
      <c r="G821" s="251"/>
      <c r="I821" s="258"/>
      <c r="J821" s="80"/>
      <c r="K821" s="80"/>
      <c r="L821" s="32"/>
      <c r="M821" s="258"/>
      <c r="N821" s="32"/>
      <c r="O821" s="32"/>
      <c r="P821" s="32"/>
      <c r="Q821" s="32"/>
      <c r="R821" s="39"/>
      <c r="S821" s="34"/>
      <c r="T821" s="34"/>
    </row>
    <row r="822" spans="1:20" x14ac:dyDescent="0.25">
      <c r="A822" s="255"/>
      <c r="E822" s="251" t="s">
        <v>645</v>
      </c>
      <c r="G822" s="251" t="s">
        <v>1264</v>
      </c>
      <c r="I822" s="258">
        <f>'Op Detail'!E5767</f>
        <v>653.66</v>
      </c>
      <c r="J822" s="80"/>
      <c r="K822" s="80">
        <f>I822</f>
        <v>653.66</v>
      </c>
      <c r="L822" s="32"/>
      <c r="M822" s="258">
        <v>700</v>
      </c>
      <c r="N822" s="32"/>
      <c r="O822" s="32">
        <v>700</v>
      </c>
      <c r="P822" s="32"/>
      <c r="Q822" s="32">
        <f>K822-O822</f>
        <v>-46</v>
      </c>
      <c r="R822" s="39"/>
      <c r="S822" s="34"/>
      <c r="T822" s="34"/>
    </row>
    <row r="823" spans="1:20" x14ac:dyDescent="0.25">
      <c r="A823" s="255"/>
      <c r="D823" s="34" t="s">
        <v>644</v>
      </c>
      <c r="E823" s="251"/>
      <c r="G823" s="251"/>
      <c r="I823" s="258"/>
      <c r="J823" s="80"/>
      <c r="K823" s="80"/>
      <c r="L823" s="32"/>
      <c r="M823" s="258"/>
      <c r="N823" s="32"/>
      <c r="O823" s="32"/>
      <c r="P823" s="32"/>
      <c r="Q823" s="32"/>
      <c r="R823" s="39"/>
      <c r="S823" s="34"/>
      <c r="T823" s="34"/>
    </row>
    <row r="824" spans="1:20" x14ac:dyDescent="0.25">
      <c r="A824" s="255"/>
      <c r="E824" s="251" t="s">
        <v>646</v>
      </c>
      <c r="G824" s="251" t="s">
        <v>1264</v>
      </c>
      <c r="I824" s="258">
        <f>'Op Detail'!E5805</f>
        <v>0</v>
      </c>
      <c r="J824" s="80"/>
      <c r="K824" s="80">
        <f>I824</f>
        <v>0</v>
      </c>
      <c r="L824" s="32"/>
      <c r="M824" s="258">
        <v>0</v>
      </c>
      <c r="N824" s="32"/>
      <c r="O824" s="32">
        <v>0</v>
      </c>
      <c r="P824" s="32"/>
      <c r="Q824" s="32">
        <f>K824-O824</f>
        <v>0</v>
      </c>
      <c r="R824" s="39"/>
      <c r="S824" s="34"/>
      <c r="T824" s="34"/>
    </row>
    <row r="825" spans="1:20" x14ac:dyDescent="0.25">
      <c r="A825" s="255"/>
      <c r="E825" s="251"/>
      <c r="G825" s="251"/>
      <c r="I825" s="258"/>
      <c r="J825" s="80"/>
      <c r="K825" s="80"/>
      <c r="L825" s="32"/>
      <c r="M825" s="258"/>
      <c r="N825" s="32"/>
      <c r="O825" s="32"/>
      <c r="P825" s="32"/>
      <c r="Q825" s="32"/>
      <c r="R825" s="39"/>
      <c r="S825" s="34"/>
      <c r="T825" s="34"/>
    </row>
    <row r="826" spans="1:20" x14ac:dyDescent="0.25">
      <c r="A826" s="255"/>
      <c r="E826" s="251"/>
      <c r="G826" s="251"/>
      <c r="I826" s="258"/>
      <c r="J826" s="80"/>
      <c r="K826" s="80"/>
      <c r="L826" s="32"/>
      <c r="M826" s="258"/>
      <c r="N826" s="32"/>
      <c r="O826" s="32"/>
      <c r="P826" s="32"/>
      <c r="Q826" s="32"/>
      <c r="R826" s="39"/>
      <c r="S826" s="34"/>
      <c r="T826" s="34"/>
    </row>
    <row r="827" spans="1:20" x14ac:dyDescent="0.25">
      <c r="A827" s="255"/>
      <c r="C827" s="34" t="s">
        <v>361</v>
      </c>
      <c r="E827" s="251"/>
      <c r="G827" s="251"/>
      <c r="I827" s="258"/>
      <c r="J827" s="80"/>
      <c r="K827" s="80"/>
      <c r="L827" s="32"/>
      <c r="M827" s="258"/>
      <c r="N827" s="32"/>
      <c r="O827" s="32"/>
      <c r="P827" s="32"/>
      <c r="Q827" s="32"/>
      <c r="R827" s="39"/>
      <c r="S827" s="34"/>
      <c r="T827" s="34"/>
    </row>
    <row r="828" spans="1:20" x14ac:dyDescent="0.25">
      <c r="A828" s="255"/>
      <c r="D828" s="34" t="s">
        <v>442</v>
      </c>
      <c r="E828" s="251"/>
      <c r="G828" s="251"/>
      <c r="I828" s="258"/>
      <c r="J828" s="80"/>
      <c r="K828" s="80"/>
      <c r="L828" s="32"/>
      <c r="M828" s="258"/>
      <c r="N828" s="32"/>
      <c r="O828" s="32"/>
      <c r="P828" s="32"/>
      <c r="Q828" s="32"/>
      <c r="R828" s="39"/>
      <c r="S828" s="34"/>
      <c r="T828" s="34"/>
    </row>
    <row r="829" spans="1:20" x14ac:dyDescent="0.25">
      <c r="A829" s="255"/>
      <c r="E829" s="251" t="s">
        <v>2668</v>
      </c>
      <c r="G829" s="251" t="s">
        <v>1264</v>
      </c>
      <c r="I829" s="258">
        <f>'Op Detail'!E5465</f>
        <v>600</v>
      </c>
      <c r="J829" s="80"/>
      <c r="K829" s="80">
        <f>I829</f>
        <v>600</v>
      </c>
      <c r="L829" s="32"/>
      <c r="M829" s="258">
        <v>750</v>
      </c>
      <c r="N829" s="32"/>
      <c r="O829" s="32">
        <v>750</v>
      </c>
      <c r="P829" s="32"/>
      <c r="Q829" s="32">
        <f>K829-O829</f>
        <v>-150</v>
      </c>
      <c r="R829" s="39"/>
      <c r="S829" s="34"/>
      <c r="T829" s="34"/>
    </row>
    <row r="830" spans="1:20" x14ac:dyDescent="0.25">
      <c r="A830" s="255"/>
      <c r="D830" s="34" t="s">
        <v>443</v>
      </c>
      <c r="E830" s="251"/>
      <c r="G830" s="251"/>
      <c r="I830" s="258"/>
      <c r="J830" s="80"/>
      <c r="K830" s="80"/>
      <c r="L830" s="32"/>
      <c r="M830" s="258"/>
      <c r="N830" s="32"/>
      <c r="O830" s="32"/>
      <c r="P830" s="32"/>
      <c r="Q830" s="32"/>
      <c r="R830" s="39"/>
      <c r="S830" s="34"/>
      <c r="T830" s="34"/>
    </row>
    <row r="831" spans="1:20" x14ac:dyDescent="0.25">
      <c r="A831" s="255"/>
      <c r="E831" s="251" t="s">
        <v>2669</v>
      </c>
      <c r="G831" s="251" t="s">
        <v>1264</v>
      </c>
      <c r="I831" s="258">
        <f>'Op Detail'!F5465</f>
        <v>388.66</v>
      </c>
      <c r="J831" s="80"/>
      <c r="K831" s="80">
        <f>I831</f>
        <v>388.66</v>
      </c>
      <c r="L831" s="32"/>
      <c r="M831" s="258">
        <v>400</v>
      </c>
      <c r="N831" s="32"/>
      <c r="O831" s="32">
        <v>400</v>
      </c>
      <c r="P831" s="32"/>
      <c r="Q831" s="32">
        <f>K831-O831</f>
        <v>-11</v>
      </c>
      <c r="R831" s="39"/>
      <c r="S831" s="34"/>
      <c r="T831" s="34"/>
    </row>
    <row r="832" spans="1:20" x14ac:dyDescent="0.25">
      <c r="A832" s="255"/>
      <c r="D832" s="34" t="s">
        <v>444</v>
      </c>
      <c r="E832" s="251"/>
      <c r="G832" s="251"/>
      <c r="I832" s="258"/>
      <c r="J832" s="80"/>
      <c r="K832" s="80"/>
      <c r="L832" s="32"/>
      <c r="M832" s="258"/>
      <c r="N832" s="32"/>
      <c r="O832" s="32"/>
      <c r="P832" s="32"/>
      <c r="Q832" s="32"/>
      <c r="R832" s="39"/>
      <c r="S832" s="34"/>
      <c r="T832" s="34"/>
    </row>
    <row r="833" spans="1:20" x14ac:dyDescent="0.25">
      <c r="A833" s="255"/>
      <c r="E833" s="251" t="s">
        <v>2670</v>
      </c>
      <c r="G833" s="251" t="s">
        <v>1264</v>
      </c>
      <c r="I833" s="258">
        <f>'Op Detail'!H5465</f>
        <v>320</v>
      </c>
      <c r="J833" s="80"/>
      <c r="K833" s="80">
        <f>I833</f>
        <v>320</v>
      </c>
      <c r="L833" s="32"/>
      <c r="M833" s="258">
        <v>400</v>
      </c>
      <c r="N833" s="32"/>
      <c r="O833" s="32">
        <v>400</v>
      </c>
      <c r="P833" s="32"/>
      <c r="Q833" s="32">
        <f>K833-O833</f>
        <v>-80</v>
      </c>
      <c r="R833" s="39"/>
      <c r="S833" s="34"/>
      <c r="T833" s="34"/>
    </row>
    <row r="834" spans="1:20" x14ac:dyDescent="0.25">
      <c r="A834" s="255"/>
      <c r="D834" s="34" t="s">
        <v>445</v>
      </c>
      <c r="E834" s="251"/>
      <c r="G834" s="251"/>
      <c r="I834" s="258"/>
      <c r="J834" s="80"/>
      <c r="K834" s="80"/>
      <c r="L834" s="32"/>
      <c r="M834" s="258"/>
      <c r="N834" s="32"/>
      <c r="O834" s="32"/>
      <c r="P834" s="32"/>
      <c r="Q834" s="32"/>
      <c r="R834" s="39"/>
      <c r="S834" s="34"/>
      <c r="T834" s="34"/>
    </row>
    <row r="835" spans="1:20" x14ac:dyDescent="0.25">
      <c r="A835" s="255"/>
      <c r="E835" s="251" t="s">
        <v>2671</v>
      </c>
      <c r="G835" s="251" t="s">
        <v>1264</v>
      </c>
      <c r="I835" s="258">
        <f>'Op Detail'!D5502</f>
        <v>320</v>
      </c>
      <c r="J835" s="80"/>
      <c r="K835" s="80">
        <f>I835</f>
        <v>320</v>
      </c>
      <c r="L835" s="32"/>
      <c r="M835" s="258">
        <v>400</v>
      </c>
      <c r="N835" s="32"/>
      <c r="O835" s="32">
        <v>400</v>
      </c>
      <c r="P835" s="32"/>
      <c r="Q835" s="32">
        <f>K835-O835</f>
        <v>-80</v>
      </c>
      <c r="R835" s="39"/>
      <c r="S835" s="34"/>
      <c r="T835" s="34"/>
    </row>
    <row r="836" spans="1:20" x14ac:dyDescent="0.25">
      <c r="A836" s="255"/>
      <c r="D836" s="34" t="s">
        <v>470</v>
      </c>
      <c r="E836" s="251"/>
      <c r="G836" s="251"/>
      <c r="I836" s="258"/>
      <c r="J836" s="80"/>
      <c r="K836" s="80"/>
      <c r="L836" s="32"/>
      <c r="M836" s="258"/>
      <c r="N836" s="32"/>
      <c r="O836" s="32"/>
      <c r="P836" s="32"/>
      <c r="Q836" s="32"/>
      <c r="R836" s="39"/>
      <c r="S836" s="34"/>
      <c r="T836" s="34"/>
    </row>
    <row r="837" spans="1:20" x14ac:dyDescent="0.25">
      <c r="A837" s="255"/>
      <c r="E837" s="251" t="s">
        <v>2666</v>
      </c>
      <c r="G837" s="251" t="s">
        <v>1264</v>
      </c>
      <c r="I837" s="258">
        <f>'Op Detail'!H5540</f>
        <v>0</v>
      </c>
      <c r="J837" s="80"/>
      <c r="K837" s="80">
        <f>I837</f>
        <v>0</v>
      </c>
      <c r="L837" s="32"/>
      <c r="M837" s="258">
        <v>1500</v>
      </c>
      <c r="N837" s="32"/>
      <c r="O837" s="32">
        <v>1500</v>
      </c>
      <c r="P837" s="32"/>
      <c r="Q837" s="32">
        <f>K837-O837</f>
        <v>-1500</v>
      </c>
      <c r="R837" s="39"/>
      <c r="S837" s="34"/>
      <c r="T837" s="34"/>
    </row>
    <row r="838" spans="1:20" x14ac:dyDescent="0.25">
      <c r="A838" s="255"/>
      <c r="D838" s="34" t="s">
        <v>471</v>
      </c>
      <c r="E838" s="251"/>
      <c r="G838" s="251"/>
      <c r="I838" s="258"/>
      <c r="J838" s="80"/>
      <c r="K838" s="80"/>
      <c r="L838" s="32"/>
      <c r="M838" s="258"/>
      <c r="N838" s="32"/>
      <c r="O838" s="32"/>
      <c r="P838" s="32"/>
      <c r="Q838" s="32"/>
      <c r="R838" s="39"/>
      <c r="S838" s="34"/>
      <c r="T838" s="34"/>
    </row>
    <row r="839" spans="1:20" x14ac:dyDescent="0.25">
      <c r="A839" s="255"/>
      <c r="E839" s="251" t="s">
        <v>2667</v>
      </c>
      <c r="G839" s="251" t="s">
        <v>1264</v>
      </c>
      <c r="I839" s="258">
        <f>'Op Detail'!E5540</f>
        <v>0</v>
      </c>
      <c r="J839" s="80"/>
      <c r="K839" s="80">
        <f>I839</f>
        <v>0</v>
      </c>
      <c r="L839" s="32"/>
      <c r="M839" s="258">
        <v>500</v>
      </c>
      <c r="N839" s="32"/>
      <c r="O839" s="32">
        <v>500</v>
      </c>
      <c r="P839" s="32"/>
      <c r="Q839" s="32">
        <f>K839-O839</f>
        <v>-500</v>
      </c>
      <c r="R839" s="39"/>
      <c r="S839" s="34"/>
      <c r="T839" s="34"/>
    </row>
    <row r="840" spans="1:20" x14ac:dyDescent="0.25">
      <c r="A840" s="255"/>
      <c r="D840" s="34" t="s">
        <v>472</v>
      </c>
      <c r="E840" s="251"/>
      <c r="G840" s="251"/>
      <c r="I840" s="258"/>
      <c r="J840" s="80"/>
      <c r="K840" s="80"/>
      <c r="L840" s="32"/>
      <c r="M840" s="258"/>
      <c r="N840" s="32"/>
      <c r="O840" s="32"/>
      <c r="P840" s="32"/>
      <c r="Q840" s="32"/>
      <c r="R840" s="39"/>
      <c r="S840" s="34"/>
      <c r="T840" s="34"/>
    </row>
    <row r="841" spans="1:20" x14ac:dyDescent="0.25">
      <c r="A841" s="255"/>
      <c r="E841" s="251" t="s">
        <v>473</v>
      </c>
      <c r="G841" s="251" t="s">
        <v>1264</v>
      </c>
      <c r="I841" s="258">
        <f>'Op Detail'!F5540</f>
        <v>0</v>
      </c>
      <c r="J841" s="80"/>
      <c r="K841" s="80">
        <f>I841</f>
        <v>0</v>
      </c>
      <c r="L841" s="32"/>
      <c r="M841" s="258">
        <v>500</v>
      </c>
      <c r="N841" s="32"/>
      <c r="O841" s="32">
        <v>500</v>
      </c>
      <c r="P841" s="32"/>
      <c r="Q841" s="32">
        <f>K841-O841</f>
        <v>-500</v>
      </c>
      <c r="R841" s="39"/>
      <c r="S841" s="34"/>
      <c r="T841" s="34"/>
    </row>
    <row r="842" spans="1:20" x14ac:dyDescent="0.25">
      <c r="A842" s="255"/>
      <c r="D842" s="34" t="s">
        <v>478</v>
      </c>
      <c r="E842" s="251"/>
      <c r="G842" s="251"/>
      <c r="I842" s="258"/>
      <c r="J842" s="80"/>
      <c r="K842" s="80"/>
      <c r="L842" s="32"/>
      <c r="M842" s="258"/>
      <c r="N842" s="32"/>
      <c r="O842" s="32"/>
      <c r="P842" s="32"/>
      <c r="Q842" s="32"/>
      <c r="R842" s="39"/>
      <c r="S842" s="34"/>
      <c r="T842" s="34"/>
    </row>
    <row r="843" spans="1:20" x14ac:dyDescent="0.25">
      <c r="A843" s="255"/>
      <c r="E843" s="251" t="s">
        <v>628</v>
      </c>
      <c r="G843" s="251" t="s">
        <v>1264</v>
      </c>
      <c r="I843" s="258">
        <f>'Op Detail'!F5615</f>
        <v>0</v>
      </c>
      <c r="J843" s="80"/>
      <c r="K843" s="80">
        <f>I843</f>
        <v>0</v>
      </c>
      <c r="L843" s="32"/>
      <c r="M843" s="258">
        <v>0</v>
      </c>
      <c r="N843" s="32"/>
      <c r="O843" s="32">
        <v>0</v>
      </c>
      <c r="P843" s="32"/>
      <c r="Q843" s="32">
        <f>K843-O843</f>
        <v>0</v>
      </c>
      <c r="R843" s="39"/>
      <c r="S843" s="34"/>
      <c r="T843" s="34"/>
    </row>
    <row r="844" spans="1:20" x14ac:dyDescent="0.25">
      <c r="A844" s="255"/>
      <c r="D844" s="34" t="s">
        <v>622</v>
      </c>
      <c r="E844" s="251"/>
      <c r="G844" s="251"/>
      <c r="I844" s="258"/>
      <c r="J844" s="80"/>
      <c r="K844" s="80"/>
      <c r="L844" s="32"/>
      <c r="M844" s="258"/>
      <c r="N844" s="32"/>
      <c r="O844" s="32"/>
      <c r="P844" s="32"/>
      <c r="Q844" s="32"/>
      <c r="R844" s="39"/>
      <c r="S844" s="34"/>
      <c r="T844" s="34"/>
    </row>
    <row r="845" spans="1:20" x14ac:dyDescent="0.25">
      <c r="A845" s="255"/>
      <c r="E845" s="251" t="s">
        <v>629</v>
      </c>
      <c r="G845" s="251" t="s">
        <v>1264</v>
      </c>
      <c r="I845" s="258">
        <f>'Op Detail'!E5615</f>
        <v>0</v>
      </c>
      <c r="J845" s="80"/>
      <c r="K845" s="80">
        <f>I845</f>
        <v>0</v>
      </c>
      <c r="L845" s="32"/>
      <c r="M845" s="258">
        <v>0</v>
      </c>
      <c r="N845" s="32"/>
      <c r="O845" s="32">
        <v>0</v>
      </c>
      <c r="P845" s="32"/>
      <c r="Q845" s="32">
        <f>K845-O845</f>
        <v>0</v>
      </c>
      <c r="R845" s="39"/>
      <c r="S845" s="34"/>
      <c r="T845" s="34"/>
    </row>
    <row r="846" spans="1:20" x14ac:dyDescent="0.25">
      <c r="A846" s="255"/>
      <c r="D846" s="34" t="s">
        <v>623</v>
      </c>
      <c r="E846" s="251"/>
      <c r="G846" s="251"/>
      <c r="I846" s="258"/>
      <c r="J846" s="80"/>
      <c r="K846" s="80"/>
      <c r="L846" s="32"/>
      <c r="M846" s="258"/>
      <c r="N846" s="32"/>
      <c r="O846" s="32"/>
      <c r="P846" s="32"/>
      <c r="Q846" s="32"/>
      <c r="R846" s="39"/>
      <c r="S846" s="34"/>
      <c r="T846" s="34"/>
    </row>
    <row r="847" spans="1:20" x14ac:dyDescent="0.25">
      <c r="A847" s="255"/>
      <c r="E847" s="251" t="s">
        <v>630</v>
      </c>
      <c r="G847" s="251" t="s">
        <v>1264</v>
      </c>
      <c r="I847" s="258">
        <f>'Op Detail'!H5615</f>
        <v>0</v>
      </c>
      <c r="J847" s="80"/>
      <c r="K847" s="80">
        <f>I847</f>
        <v>0</v>
      </c>
      <c r="L847" s="32"/>
      <c r="M847" s="258">
        <v>0</v>
      </c>
      <c r="N847" s="32"/>
      <c r="O847" s="32">
        <v>0</v>
      </c>
      <c r="P847" s="32"/>
      <c r="Q847" s="32">
        <f>K847-O847</f>
        <v>0</v>
      </c>
      <c r="R847" s="39"/>
      <c r="S847" s="34"/>
      <c r="T847" s="34"/>
    </row>
    <row r="848" spans="1:20" x14ac:dyDescent="0.25">
      <c r="A848" s="255"/>
      <c r="D848" s="34" t="s">
        <v>624</v>
      </c>
      <c r="E848" s="251"/>
      <c r="G848" s="251"/>
      <c r="I848" s="258"/>
      <c r="J848" s="80"/>
      <c r="K848" s="80"/>
      <c r="L848" s="32"/>
      <c r="M848" s="258"/>
      <c r="N848" s="32"/>
      <c r="O848" s="32"/>
      <c r="P848" s="32"/>
      <c r="Q848" s="32"/>
      <c r="R848" s="39"/>
      <c r="S848" s="34"/>
      <c r="T848" s="34"/>
    </row>
    <row r="849" spans="1:20" x14ac:dyDescent="0.25">
      <c r="A849" s="255"/>
      <c r="E849" s="251" t="s">
        <v>632</v>
      </c>
      <c r="G849" s="251" t="s">
        <v>1264</v>
      </c>
      <c r="I849" s="258">
        <f>'Op Detail'!D5653</f>
        <v>0</v>
      </c>
      <c r="J849" s="80"/>
      <c r="K849" s="80">
        <f>I849</f>
        <v>0</v>
      </c>
      <c r="L849" s="32"/>
      <c r="M849" s="258">
        <v>0</v>
      </c>
      <c r="N849" s="32"/>
      <c r="O849" s="32">
        <v>0</v>
      </c>
      <c r="P849" s="32"/>
      <c r="Q849" s="32">
        <f>K849-O849</f>
        <v>0</v>
      </c>
      <c r="R849" s="39"/>
      <c r="S849" s="34"/>
      <c r="T849" s="34"/>
    </row>
    <row r="850" spans="1:20" x14ac:dyDescent="0.25">
      <c r="A850" s="255"/>
      <c r="D850" s="34" t="s">
        <v>625</v>
      </c>
      <c r="E850" s="251"/>
      <c r="G850" s="251"/>
      <c r="I850" s="258"/>
      <c r="J850" s="80"/>
      <c r="K850" s="80"/>
      <c r="L850" s="32"/>
      <c r="M850" s="258"/>
      <c r="N850" s="32"/>
      <c r="O850" s="32"/>
      <c r="P850" s="32"/>
      <c r="Q850" s="32"/>
      <c r="R850" s="39"/>
      <c r="S850" s="34"/>
      <c r="T850" s="34"/>
    </row>
    <row r="851" spans="1:20" x14ac:dyDescent="0.25">
      <c r="A851" s="255"/>
      <c r="E851" s="251" t="s">
        <v>631</v>
      </c>
      <c r="G851" s="251" t="s">
        <v>1264</v>
      </c>
      <c r="I851" s="258">
        <f>'Op Detail'!E5653</f>
        <v>0</v>
      </c>
      <c r="J851" s="80"/>
      <c r="K851" s="80">
        <f>I851</f>
        <v>0</v>
      </c>
      <c r="L851" s="32"/>
      <c r="M851" s="258">
        <v>0</v>
      </c>
      <c r="N851" s="32"/>
      <c r="O851" s="32">
        <v>0</v>
      </c>
      <c r="P851" s="32"/>
      <c r="Q851" s="32">
        <f>K851-O851</f>
        <v>0</v>
      </c>
      <c r="R851" s="39"/>
      <c r="S851" s="34"/>
      <c r="T851" s="34"/>
    </row>
    <row r="852" spans="1:20" x14ac:dyDescent="0.25">
      <c r="A852" s="255"/>
      <c r="D852" s="34" t="s">
        <v>633</v>
      </c>
      <c r="E852" s="251"/>
      <c r="G852" s="251"/>
      <c r="I852" s="258"/>
      <c r="J852" s="80"/>
      <c r="K852" s="80"/>
      <c r="L852" s="32"/>
      <c r="M852" s="258"/>
      <c r="N852" s="32"/>
      <c r="O852" s="32"/>
      <c r="P852" s="32"/>
      <c r="Q852" s="32"/>
      <c r="R852" s="39"/>
      <c r="S852" s="34"/>
      <c r="T852" s="34"/>
    </row>
    <row r="853" spans="1:20" x14ac:dyDescent="0.25">
      <c r="A853" s="255"/>
      <c r="E853" s="251" t="s">
        <v>519</v>
      </c>
      <c r="G853" s="251" t="s">
        <v>1264</v>
      </c>
      <c r="I853" s="258">
        <f>'Op Detail'!H5691</f>
        <v>0</v>
      </c>
      <c r="J853" s="80"/>
      <c r="K853" s="80">
        <f>I853</f>
        <v>0</v>
      </c>
      <c r="L853" s="32"/>
      <c r="M853" s="258">
        <v>2000</v>
      </c>
      <c r="N853" s="32"/>
      <c r="O853" s="32">
        <v>2000</v>
      </c>
      <c r="P853" s="32"/>
      <c r="Q853" s="32">
        <f>K853-O853</f>
        <v>-2000</v>
      </c>
      <c r="R853" s="39"/>
      <c r="S853" s="34"/>
      <c r="T853" s="34"/>
    </row>
    <row r="854" spans="1:20" x14ac:dyDescent="0.25">
      <c r="A854" s="255"/>
      <c r="D854" s="34" t="s">
        <v>634</v>
      </c>
      <c r="E854" s="251"/>
      <c r="G854" s="251"/>
      <c r="I854" s="258"/>
      <c r="J854" s="80"/>
      <c r="K854" s="80"/>
      <c r="L854" s="32"/>
      <c r="M854" s="258"/>
      <c r="N854" s="32"/>
      <c r="O854" s="32"/>
      <c r="P854" s="32"/>
      <c r="Q854" s="32"/>
      <c r="R854" s="39"/>
      <c r="S854" s="34"/>
      <c r="T854" s="34"/>
    </row>
    <row r="855" spans="1:20" x14ac:dyDescent="0.25">
      <c r="A855" s="255"/>
      <c r="E855" s="251" t="s">
        <v>520</v>
      </c>
      <c r="G855" s="251" t="s">
        <v>1264</v>
      </c>
      <c r="I855" s="258">
        <f>'Op Detail'!E5729</f>
        <v>0</v>
      </c>
      <c r="J855" s="80"/>
      <c r="K855" s="80">
        <f>I855</f>
        <v>0</v>
      </c>
      <c r="L855" s="32"/>
      <c r="M855" s="258">
        <v>500</v>
      </c>
      <c r="N855" s="32"/>
      <c r="O855" s="32">
        <v>500</v>
      </c>
      <c r="P855" s="32"/>
      <c r="Q855" s="32">
        <f>K855-O855</f>
        <v>-500</v>
      </c>
      <c r="R855" s="39"/>
      <c r="S855" s="34"/>
      <c r="T855" s="34"/>
    </row>
    <row r="856" spans="1:20" x14ac:dyDescent="0.25">
      <c r="A856" s="255"/>
      <c r="D856" s="34" t="s">
        <v>635</v>
      </c>
      <c r="E856" s="251"/>
      <c r="G856" s="251"/>
      <c r="I856" s="258"/>
      <c r="J856" s="80"/>
      <c r="K856" s="80"/>
      <c r="L856" s="32"/>
      <c r="M856" s="258"/>
      <c r="N856" s="32"/>
      <c r="O856" s="32"/>
      <c r="P856" s="32"/>
      <c r="Q856" s="32"/>
      <c r="R856" s="39"/>
      <c r="S856" s="34"/>
      <c r="T856" s="34"/>
    </row>
    <row r="857" spans="1:20" x14ac:dyDescent="0.25">
      <c r="A857" s="255"/>
      <c r="E857" s="251" t="s">
        <v>521</v>
      </c>
      <c r="G857" s="251" t="s">
        <v>1264</v>
      </c>
      <c r="I857" s="258">
        <f>'Op Detail'!F5691</f>
        <v>485.82</v>
      </c>
      <c r="J857" s="80"/>
      <c r="K857" s="80">
        <f>I857</f>
        <v>485.82</v>
      </c>
      <c r="L857" s="32"/>
      <c r="M857" s="258">
        <v>500</v>
      </c>
      <c r="N857" s="32"/>
      <c r="O857" s="32">
        <v>500</v>
      </c>
      <c r="P857" s="32"/>
      <c r="Q857" s="32">
        <f>K857-O857</f>
        <v>-14</v>
      </c>
      <c r="R857" s="39"/>
      <c r="S857" s="34"/>
      <c r="T857" s="34"/>
    </row>
    <row r="858" spans="1:20" x14ac:dyDescent="0.25">
      <c r="A858" s="255"/>
      <c r="D858" s="34" t="s">
        <v>636</v>
      </c>
      <c r="E858" s="251"/>
      <c r="G858" s="251"/>
      <c r="I858" s="258"/>
      <c r="J858" s="80"/>
      <c r="K858" s="80"/>
      <c r="L858" s="32"/>
      <c r="M858" s="258"/>
      <c r="N858" s="32"/>
      <c r="O858" s="32"/>
      <c r="P858" s="32"/>
      <c r="Q858" s="32"/>
      <c r="R858" s="39"/>
      <c r="S858" s="34"/>
      <c r="T858" s="34"/>
    </row>
    <row r="859" spans="1:20" x14ac:dyDescent="0.25">
      <c r="A859" s="255"/>
      <c r="E859" s="251" t="s">
        <v>522</v>
      </c>
      <c r="G859" s="251" t="s">
        <v>1264</v>
      </c>
      <c r="I859" s="258">
        <f>'Op Detail'!F5729</f>
        <v>0</v>
      </c>
      <c r="J859" s="80"/>
      <c r="K859" s="80">
        <f>I859</f>
        <v>0</v>
      </c>
      <c r="L859" s="32"/>
      <c r="M859" s="258">
        <v>500</v>
      </c>
      <c r="N859" s="32"/>
      <c r="O859" s="32">
        <v>500</v>
      </c>
      <c r="P859" s="32"/>
      <c r="Q859" s="32">
        <f>K859-O859</f>
        <v>-500</v>
      </c>
      <c r="R859" s="39"/>
      <c r="S859" s="34"/>
      <c r="T859" s="34"/>
    </row>
    <row r="860" spans="1:20" x14ac:dyDescent="0.25">
      <c r="A860" s="255"/>
      <c r="D860" s="34" t="s">
        <v>637</v>
      </c>
      <c r="E860" s="251"/>
      <c r="G860" s="251"/>
      <c r="I860" s="258"/>
      <c r="J860" s="80"/>
      <c r="K860" s="80"/>
      <c r="L860" s="32"/>
      <c r="M860" s="258"/>
      <c r="N860" s="32"/>
      <c r="O860" s="32"/>
      <c r="P860" s="32"/>
      <c r="Q860" s="32"/>
      <c r="R860" s="39"/>
      <c r="S860" s="34"/>
      <c r="T860" s="34"/>
    </row>
    <row r="861" spans="1:20" x14ac:dyDescent="0.25">
      <c r="A861" s="255"/>
      <c r="E861" s="251" t="s">
        <v>523</v>
      </c>
      <c r="G861" s="251" t="s">
        <v>1264</v>
      </c>
      <c r="I861" s="258">
        <f>'Op Detail'!E5691</f>
        <v>320</v>
      </c>
      <c r="J861" s="80"/>
      <c r="K861" s="80">
        <f>I861</f>
        <v>320</v>
      </c>
      <c r="L861" s="32"/>
      <c r="M861" s="258">
        <v>400</v>
      </c>
      <c r="N861" s="32"/>
      <c r="O861" s="32">
        <v>400</v>
      </c>
      <c r="P861" s="32"/>
      <c r="Q861" s="32">
        <f>K861-O861</f>
        <v>-80</v>
      </c>
      <c r="R861" s="39"/>
      <c r="S861" s="34"/>
      <c r="T861" s="34"/>
    </row>
    <row r="862" spans="1:20" x14ac:dyDescent="0.25">
      <c r="A862" s="255"/>
      <c r="D862" s="34" t="s">
        <v>638</v>
      </c>
      <c r="E862" s="251"/>
      <c r="G862" s="251"/>
      <c r="I862" s="258"/>
      <c r="J862" s="80"/>
      <c r="K862" s="80"/>
      <c r="L862" s="32"/>
      <c r="M862" s="258"/>
      <c r="N862" s="32"/>
      <c r="O862" s="32"/>
      <c r="P862" s="32"/>
      <c r="Q862" s="32"/>
      <c r="R862" s="39"/>
      <c r="S862" s="34"/>
      <c r="T862" s="34"/>
    </row>
    <row r="863" spans="1:20" x14ac:dyDescent="0.25">
      <c r="A863" s="255"/>
      <c r="E863" s="251" t="s">
        <v>524</v>
      </c>
      <c r="G863" s="251" t="s">
        <v>1264</v>
      </c>
      <c r="I863" s="258">
        <f>'Op Detail'!H5729</f>
        <v>0</v>
      </c>
      <c r="J863" s="80"/>
      <c r="K863" s="80">
        <f>I863</f>
        <v>0</v>
      </c>
      <c r="L863" s="32"/>
      <c r="M863" s="258">
        <v>400</v>
      </c>
      <c r="N863" s="32"/>
      <c r="O863" s="32">
        <v>400</v>
      </c>
      <c r="P863" s="32"/>
      <c r="Q863" s="32">
        <f>K863-O863</f>
        <v>-400</v>
      </c>
      <c r="R863" s="39"/>
      <c r="S863" s="34"/>
      <c r="T863" s="34"/>
    </row>
    <row r="864" spans="1:20" x14ac:dyDescent="0.25">
      <c r="A864" s="255"/>
      <c r="D864" s="34" t="s">
        <v>639</v>
      </c>
      <c r="E864" s="251"/>
      <c r="G864" s="251"/>
      <c r="I864" s="258"/>
      <c r="J864" s="80"/>
      <c r="K864" s="80"/>
      <c r="L864" s="32"/>
      <c r="M864" s="258"/>
      <c r="N864" s="32"/>
      <c r="O864" s="32"/>
      <c r="P864" s="32"/>
      <c r="Q864" s="32"/>
      <c r="R864" s="39"/>
      <c r="S864" s="34"/>
      <c r="T864" s="34"/>
    </row>
    <row r="865" spans="1:20" x14ac:dyDescent="0.25">
      <c r="A865" s="255"/>
      <c r="E865" s="251" t="s">
        <v>525</v>
      </c>
      <c r="G865" s="251" t="s">
        <v>1264</v>
      </c>
      <c r="I865" s="258">
        <f>'Op Detail'!D5767</f>
        <v>320</v>
      </c>
      <c r="J865" s="80"/>
      <c r="K865" s="80">
        <f>I865</f>
        <v>320</v>
      </c>
      <c r="L865" s="32"/>
      <c r="M865" s="258">
        <v>400</v>
      </c>
      <c r="N865" s="32"/>
      <c r="O865" s="32">
        <v>400</v>
      </c>
      <c r="P865" s="32"/>
      <c r="Q865" s="32">
        <f>K865-O865</f>
        <v>-80</v>
      </c>
      <c r="R865" s="39"/>
      <c r="S865" s="34"/>
      <c r="T865" s="34"/>
    </row>
    <row r="866" spans="1:20" x14ac:dyDescent="0.25">
      <c r="A866" s="255"/>
      <c r="D866" s="34" t="s">
        <v>640</v>
      </c>
      <c r="E866" s="251"/>
      <c r="G866" s="251"/>
      <c r="I866" s="258"/>
      <c r="J866" s="80"/>
      <c r="K866" s="80"/>
      <c r="L866" s="32"/>
      <c r="M866" s="258"/>
      <c r="N866" s="32"/>
      <c r="O866" s="32"/>
      <c r="P866" s="32"/>
      <c r="Q866" s="32"/>
      <c r="R866" s="39"/>
      <c r="S866" s="34"/>
      <c r="T866" s="34"/>
    </row>
    <row r="867" spans="1:20" x14ac:dyDescent="0.25">
      <c r="A867" s="255"/>
      <c r="E867" s="251" t="s">
        <v>641</v>
      </c>
      <c r="G867" s="251" t="s">
        <v>1264</v>
      </c>
      <c r="I867" s="258">
        <f>'Op Detail'!D5729</f>
        <v>0</v>
      </c>
      <c r="J867" s="80"/>
      <c r="K867" s="80">
        <f>I867</f>
        <v>0</v>
      </c>
      <c r="L867" s="32"/>
      <c r="M867" s="258">
        <v>0</v>
      </c>
      <c r="N867" s="32"/>
      <c r="O867" s="32">
        <v>0</v>
      </c>
      <c r="P867" s="32"/>
      <c r="Q867" s="32">
        <f>K867-O867</f>
        <v>0</v>
      </c>
      <c r="R867" s="39"/>
      <c r="S867" s="34"/>
      <c r="T867" s="34"/>
    </row>
    <row r="868" spans="1:20" x14ac:dyDescent="0.25">
      <c r="A868" s="255"/>
      <c r="D868" s="187" t="s">
        <v>938</v>
      </c>
      <c r="E868" s="251"/>
      <c r="G868" s="251"/>
      <c r="I868" s="258"/>
      <c r="J868" s="80"/>
      <c r="K868" s="80"/>
      <c r="L868" s="32"/>
      <c r="M868" s="258"/>
      <c r="N868" s="32"/>
      <c r="O868" s="32"/>
      <c r="P868" s="32"/>
      <c r="Q868" s="32"/>
      <c r="R868" s="39"/>
      <c r="S868" s="34"/>
      <c r="T868" s="34"/>
    </row>
    <row r="869" spans="1:20" x14ac:dyDescent="0.25">
      <c r="A869" s="255"/>
      <c r="E869" s="86" t="s">
        <v>939</v>
      </c>
      <c r="G869" s="86" t="s">
        <v>1264</v>
      </c>
      <c r="I869" s="258">
        <f>'Op Detail'!F5767</f>
        <v>0</v>
      </c>
      <c r="J869" s="80"/>
      <c r="K869" s="80">
        <f>I869</f>
        <v>0</v>
      </c>
      <c r="L869" s="32"/>
      <c r="M869" s="258">
        <v>0</v>
      </c>
      <c r="N869" s="32"/>
      <c r="O869" s="32">
        <v>0</v>
      </c>
      <c r="P869" s="32"/>
      <c r="Q869" s="32">
        <f>K869-O869</f>
        <v>0</v>
      </c>
      <c r="R869" s="39"/>
      <c r="S869" s="34"/>
      <c r="T869" s="34"/>
    </row>
    <row r="870" spans="1:20" x14ac:dyDescent="0.25">
      <c r="A870" s="255"/>
      <c r="D870" s="34" t="s">
        <v>642</v>
      </c>
      <c r="E870" s="251"/>
      <c r="G870" s="251"/>
      <c r="I870" s="258"/>
      <c r="J870" s="80"/>
      <c r="K870" s="80"/>
      <c r="L870" s="32"/>
      <c r="M870" s="258"/>
      <c r="N870" s="32"/>
      <c r="O870" s="32"/>
      <c r="P870" s="32"/>
      <c r="Q870" s="32"/>
      <c r="R870" s="39"/>
      <c r="S870" s="34"/>
      <c r="T870" s="34"/>
    </row>
    <row r="871" spans="1:20" x14ac:dyDescent="0.25">
      <c r="A871" s="255"/>
      <c r="E871" s="251" t="s">
        <v>513</v>
      </c>
      <c r="G871" s="251" t="s">
        <v>1264</v>
      </c>
      <c r="I871" s="258">
        <f>'Op Detail'!D5805</f>
        <v>0</v>
      </c>
      <c r="J871" s="80"/>
      <c r="K871" s="80">
        <f>I871</f>
        <v>0</v>
      </c>
      <c r="L871" s="32"/>
      <c r="M871" s="258">
        <v>0</v>
      </c>
      <c r="N871" s="32"/>
      <c r="O871" s="32">
        <v>0</v>
      </c>
      <c r="P871" s="32"/>
      <c r="Q871" s="32">
        <f>K871-O871</f>
        <v>0</v>
      </c>
      <c r="R871" s="39"/>
      <c r="S871" s="34"/>
      <c r="T871" s="34"/>
    </row>
    <row r="872" spans="1:20" x14ac:dyDescent="0.25">
      <c r="A872" s="255"/>
      <c r="D872" s="34" t="s">
        <v>651</v>
      </c>
      <c r="E872" s="251"/>
      <c r="G872" s="251"/>
      <c r="I872" s="258"/>
      <c r="J872" s="80"/>
      <c r="K872" s="80"/>
      <c r="L872" s="32"/>
      <c r="M872" s="258"/>
      <c r="N872" s="32"/>
      <c r="O872" s="32"/>
      <c r="P872" s="32"/>
      <c r="Q872" s="32"/>
      <c r="R872" s="39"/>
      <c r="S872" s="34"/>
      <c r="T872" s="34"/>
    </row>
    <row r="873" spans="1:20" x14ac:dyDescent="0.25">
      <c r="A873" s="255"/>
      <c r="E873" s="251" t="s">
        <v>514</v>
      </c>
      <c r="G873" s="251" t="s">
        <v>1264</v>
      </c>
      <c r="I873" s="258">
        <f>'Op Detail'!F5805</f>
        <v>0</v>
      </c>
      <c r="J873" s="80"/>
      <c r="K873" s="80">
        <f>I873</f>
        <v>0</v>
      </c>
      <c r="L873" s="32"/>
      <c r="M873" s="258">
        <v>0</v>
      </c>
      <c r="N873" s="32"/>
      <c r="O873" s="32">
        <v>0</v>
      </c>
      <c r="P873" s="32"/>
      <c r="Q873" s="32">
        <f>K873-O873</f>
        <v>0</v>
      </c>
      <c r="R873" s="39"/>
      <c r="S873" s="34"/>
      <c r="T873" s="34"/>
    </row>
    <row r="874" spans="1:20" x14ac:dyDescent="0.25">
      <c r="A874" s="255"/>
      <c r="D874" s="255" t="s">
        <v>2745</v>
      </c>
      <c r="E874" s="251"/>
      <c r="G874" s="251"/>
      <c r="I874" s="258"/>
      <c r="J874" s="80"/>
      <c r="K874" s="80"/>
      <c r="L874" s="32"/>
      <c r="M874" s="258"/>
      <c r="N874" s="32"/>
      <c r="O874" s="32"/>
      <c r="P874" s="32"/>
      <c r="Q874" s="32"/>
      <c r="R874" s="39"/>
      <c r="S874" s="34"/>
      <c r="T874" s="34"/>
    </row>
    <row r="875" spans="1:20" x14ac:dyDescent="0.25">
      <c r="A875" s="255"/>
      <c r="E875" s="251" t="s">
        <v>2747</v>
      </c>
      <c r="G875" s="251" t="s">
        <v>1264</v>
      </c>
      <c r="I875" s="258">
        <f>'Op Detail'!D6539</f>
        <v>0</v>
      </c>
      <c r="J875" s="80"/>
      <c r="K875" s="80">
        <f>I875</f>
        <v>0</v>
      </c>
      <c r="L875" s="32"/>
      <c r="M875" s="258">
        <v>0</v>
      </c>
      <c r="N875" s="32"/>
      <c r="O875" s="32">
        <v>0</v>
      </c>
      <c r="P875" s="32"/>
      <c r="Q875" s="32"/>
      <c r="R875" s="39"/>
      <c r="S875" s="34"/>
      <c r="T875" s="34"/>
    </row>
    <row r="876" spans="1:20" x14ac:dyDescent="0.25">
      <c r="A876" s="255"/>
      <c r="D876" s="34" t="s">
        <v>509</v>
      </c>
      <c r="E876" s="251"/>
      <c r="G876" s="251"/>
      <c r="I876" s="258"/>
      <c r="J876" s="80"/>
      <c r="K876" s="80"/>
      <c r="L876" s="32"/>
      <c r="M876" s="258"/>
      <c r="N876" s="32"/>
      <c r="O876" s="32"/>
      <c r="P876" s="32"/>
      <c r="Q876" s="32"/>
      <c r="R876" s="39"/>
      <c r="S876" s="34"/>
      <c r="T876" s="34"/>
    </row>
    <row r="877" spans="1:20" x14ac:dyDescent="0.25">
      <c r="A877" s="255"/>
      <c r="E877" s="251" t="s">
        <v>515</v>
      </c>
      <c r="G877" s="251" t="s">
        <v>1264</v>
      </c>
      <c r="I877" s="258">
        <f>'Op Detail'!H5805</f>
        <v>0</v>
      </c>
      <c r="J877" s="80"/>
      <c r="K877" s="80">
        <f>I877</f>
        <v>0</v>
      </c>
      <c r="L877" s="32"/>
      <c r="M877" s="258">
        <v>0</v>
      </c>
      <c r="N877" s="32"/>
      <c r="O877" s="32">
        <v>0</v>
      </c>
      <c r="P877" s="32"/>
      <c r="Q877" s="32">
        <f>K877-O877</f>
        <v>0</v>
      </c>
      <c r="R877" s="39"/>
      <c r="S877" s="34"/>
      <c r="T877" s="34"/>
    </row>
    <row r="878" spans="1:20" x14ac:dyDescent="0.25">
      <c r="A878" s="255"/>
      <c r="D878" s="34" t="s">
        <v>510</v>
      </c>
      <c r="E878" s="251"/>
      <c r="G878" s="251"/>
      <c r="I878" s="258"/>
      <c r="J878" s="80"/>
      <c r="K878" s="80"/>
      <c r="L878" s="32"/>
      <c r="M878" s="258"/>
      <c r="N878" s="32"/>
      <c r="O878" s="32"/>
      <c r="P878" s="32"/>
      <c r="Q878" s="32"/>
      <c r="R878" s="39"/>
      <c r="S878" s="34"/>
      <c r="T878" s="34"/>
    </row>
    <row r="879" spans="1:20" x14ac:dyDescent="0.25">
      <c r="A879" s="255"/>
      <c r="E879" s="251" t="s">
        <v>516</v>
      </c>
      <c r="G879" s="251" t="s">
        <v>1264</v>
      </c>
      <c r="I879" s="258">
        <f>'Op Detail'!D5843</f>
        <v>0</v>
      </c>
      <c r="J879" s="80"/>
      <c r="K879" s="80">
        <f>I879</f>
        <v>0</v>
      </c>
      <c r="L879" s="32"/>
      <c r="M879" s="258">
        <v>0</v>
      </c>
      <c r="N879" s="32"/>
      <c r="O879" s="32">
        <v>0</v>
      </c>
      <c r="P879" s="32"/>
      <c r="Q879" s="32">
        <f>K879-O879</f>
        <v>0</v>
      </c>
      <c r="R879" s="39"/>
      <c r="S879" s="34"/>
      <c r="T879" s="34"/>
    </row>
    <row r="880" spans="1:20" x14ac:dyDescent="0.25">
      <c r="A880" s="255"/>
      <c r="D880" s="34" t="s">
        <v>511</v>
      </c>
      <c r="E880" s="251"/>
      <c r="G880" s="251"/>
      <c r="I880" s="258"/>
      <c r="J880" s="80"/>
      <c r="K880" s="80"/>
      <c r="L880" s="32"/>
      <c r="M880" s="258"/>
      <c r="N880" s="32"/>
      <c r="O880" s="32"/>
      <c r="P880" s="32"/>
      <c r="Q880" s="32"/>
      <c r="R880" s="39"/>
      <c r="S880" s="34"/>
      <c r="T880" s="34"/>
    </row>
    <row r="881" spans="1:20" x14ac:dyDescent="0.25">
      <c r="A881" s="255"/>
      <c r="E881" s="251" t="s">
        <v>517</v>
      </c>
      <c r="G881" s="251" t="s">
        <v>1264</v>
      </c>
      <c r="I881" s="258">
        <f>'Op Detail'!E5843</f>
        <v>0</v>
      </c>
      <c r="J881" s="80"/>
      <c r="K881" s="80">
        <f>I881</f>
        <v>0</v>
      </c>
      <c r="L881" s="32"/>
      <c r="M881" s="258">
        <v>0</v>
      </c>
      <c r="N881" s="32"/>
      <c r="O881" s="32">
        <v>0</v>
      </c>
      <c r="P881" s="32"/>
      <c r="Q881" s="32">
        <f>K881-O881</f>
        <v>0</v>
      </c>
      <c r="R881" s="39"/>
      <c r="S881" s="34"/>
      <c r="T881" s="34"/>
    </row>
    <row r="882" spans="1:20" x14ac:dyDescent="0.25">
      <c r="A882" s="255"/>
      <c r="D882" s="255" t="s">
        <v>2746</v>
      </c>
      <c r="E882" s="251"/>
      <c r="G882" s="251"/>
      <c r="I882" s="258"/>
      <c r="J882" s="80"/>
      <c r="K882" s="80"/>
      <c r="L882" s="32"/>
      <c r="M882" s="258"/>
      <c r="N882" s="32"/>
      <c r="O882" s="32"/>
      <c r="P882" s="32"/>
      <c r="Q882" s="32"/>
      <c r="R882" s="39"/>
      <c r="S882" s="34"/>
      <c r="T882" s="34"/>
    </row>
    <row r="883" spans="1:20" x14ac:dyDescent="0.25">
      <c r="A883" s="255"/>
      <c r="E883" s="251" t="s">
        <v>2748</v>
      </c>
      <c r="G883" s="251" t="s">
        <v>1264</v>
      </c>
      <c r="I883" s="258">
        <f>'Op Detail'!E6539</f>
        <v>0</v>
      </c>
      <c r="J883" s="80"/>
      <c r="K883" s="80">
        <f>I883</f>
        <v>0</v>
      </c>
      <c r="L883" s="32"/>
      <c r="M883" s="258">
        <v>0</v>
      </c>
      <c r="N883" s="32"/>
      <c r="O883" s="32">
        <v>0</v>
      </c>
      <c r="P883" s="32"/>
      <c r="Q883" s="32"/>
      <c r="R883" s="39"/>
      <c r="S883" s="34"/>
      <c r="T883" s="34"/>
    </row>
    <row r="884" spans="1:20" x14ac:dyDescent="0.25">
      <c r="A884" s="255"/>
      <c r="D884" s="34" t="s">
        <v>512</v>
      </c>
      <c r="E884" s="251"/>
      <c r="G884" s="251"/>
      <c r="I884" s="258"/>
      <c r="J884" s="80"/>
      <c r="K884" s="80"/>
      <c r="L884" s="32"/>
      <c r="M884" s="258"/>
      <c r="N884" s="32"/>
      <c r="O884" s="32"/>
      <c r="P884" s="32"/>
      <c r="Q884" s="32"/>
      <c r="R884" s="39"/>
      <c r="S884" s="34"/>
      <c r="T884" s="34"/>
    </row>
    <row r="885" spans="1:20" x14ac:dyDescent="0.25">
      <c r="A885" s="255"/>
      <c r="E885" s="251" t="s">
        <v>518</v>
      </c>
      <c r="G885" s="251" t="s">
        <v>1264</v>
      </c>
      <c r="I885" s="258">
        <f>'Op Detail'!F5843</f>
        <v>0</v>
      </c>
      <c r="J885" s="80"/>
      <c r="K885" s="80">
        <f>I885</f>
        <v>0</v>
      </c>
      <c r="L885" s="32"/>
      <c r="M885" s="258">
        <v>0</v>
      </c>
      <c r="N885" s="32"/>
      <c r="O885" s="32">
        <v>0</v>
      </c>
      <c r="P885" s="32"/>
      <c r="Q885" s="32">
        <f>K885-O885</f>
        <v>0</v>
      </c>
      <c r="R885" s="39"/>
      <c r="S885" s="34"/>
      <c r="T885" s="34"/>
    </row>
    <row r="886" spans="1:20" x14ac:dyDescent="0.25">
      <c r="A886" s="255"/>
      <c r="D886" s="34" t="s">
        <v>379</v>
      </c>
      <c r="E886" s="251"/>
      <c r="G886" s="251"/>
      <c r="I886" s="258"/>
      <c r="J886" s="80"/>
      <c r="K886" s="80"/>
      <c r="L886" s="32"/>
      <c r="M886" s="258"/>
      <c r="N886" s="32"/>
      <c r="O886" s="32"/>
      <c r="P886" s="32"/>
      <c r="Q886" s="32"/>
      <c r="R886" s="39"/>
      <c r="S886" s="34"/>
      <c r="T886" s="34"/>
    </row>
    <row r="887" spans="1:20" x14ac:dyDescent="0.25">
      <c r="A887" s="255"/>
      <c r="E887" s="251" t="s">
        <v>381</v>
      </c>
      <c r="G887" s="251" t="s">
        <v>1264</v>
      </c>
      <c r="I887" s="258">
        <f>'Op Detail'!E5880</f>
        <v>485.83</v>
      </c>
      <c r="J887" s="80"/>
      <c r="K887" s="80">
        <f>I887</f>
        <v>485.83</v>
      </c>
      <c r="L887" s="32"/>
      <c r="M887" s="258">
        <v>500</v>
      </c>
      <c r="N887" s="32"/>
      <c r="O887" s="32">
        <v>500</v>
      </c>
      <c r="P887" s="32"/>
      <c r="Q887" s="32">
        <f>K887-O887</f>
        <v>-14</v>
      </c>
      <c r="R887" s="39"/>
      <c r="S887" s="34"/>
      <c r="T887" s="34"/>
    </row>
    <row r="888" spans="1:20" x14ac:dyDescent="0.25">
      <c r="A888" s="255"/>
      <c r="D888" s="34" t="s">
        <v>380</v>
      </c>
      <c r="E888" s="251"/>
      <c r="G888" s="251"/>
      <c r="I888" s="258"/>
      <c r="J888" s="80"/>
      <c r="K888" s="80"/>
      <c r="L888" s="32"/>
      <c r="M888" s="258"/>
      <c r="N888" s="32"/>
      <c r="O888" s="32"/>
      <c r="P888" s="32"/>
      <c r="Q888" s="32"/>
      <c r="R888" s="39"/>
      <c r="S888" s="34"/>
      <c r="T888" s="34"/>
    </row>
    <row r="889" spans="1:20" x14ac:dyDescent="0.25">
      <c r="A889" s="255"/>
      <c r="E889" s="251" t="s">
        <v>382</v>
      </c>
      <c r="G889" s="251" t="s">
        <v>1264</v>
      </c>
      <c r="I889" s="258">
        <f>'Op Detail'!D5880</f>
        <v>320</v>
      </c>
      <c r="J889" s="80"/>
      <c r="K889" s="80">
        <f>I889</f>
        <v>320</v>
      </c>
      <c r="L889" s="32"/>
      <c r="M889" s="258">
        <v>400</v>
      </c>
      <c r="N889" s="32"/>
      <c r="O889" s="32">
        <v>400</v>
      </c>
      <c r="P889" s="32"/>
      <c r="Q889" s="32">
        <f>K889-O889</f>
        <v>-80</v>
      </c>
      <c r="R889" s="39"/>
      <c r="S889" s="34"/>
      <c r="T889" s="34"/>
    </row>
    <row r="890" spans="1:20" x14ac:dyDescent="0.25">
      <c r="A890" s="255"/>
      <c r="D890" s="255" t="s">
        <v>2739</v>
      </c>
      <c r="E890" s="251"/>
      <c r="G890" s="251"/>
      <c r="I890" s="258"/>
      <c r="J890" s="80"/>
      <c r="K890" s="80"/>
      <c r="L890" s="32"/>
      <c r="M890" s="258"/>
      <c r="N890" s="32"/>
      <c r="O890" s="32"/>
      <c r="P890" s="32"/>
      <c r="Q890" s="32"/>
      <c r="R890" s="39"/>
      <c r="S890" s="34"/>
      <c r="T890" s="34"/>
    </row>
    <row r="891" spans="1:20" x14ac:dyDescent="0.25">
      <c r="A891" s="255"/>
      <c r="E891" s="251" t="s">
        <v>2740</v>
      </c>
      <c r="G891" s="251" t="s">
        <v>1264</v>
      </c>
      <c r="I891" s="258">
        <f>'Op Detail'!D6500</f>
        <v>320</v>
      </c>
      <c r="J891" s="80"/>
      <c r="K891" s="80">
        <f>I891</f>
        <v>320</v>
      </c>
      <c r="L891" s="32"/>
      <c r="M891" s="258">
        <v>400</v>
      </c>
      <c r="N891" s="32"/>
      <c r="O891" s="32">
        <v>400</v>
      </c>
      <c r="P891" s="32"/>
      <c r="Q891" s="32"/>
      <c r="R891" s="39"/>
      <c r="S891" s="34"/>
      <c r="T891" s="34"/>
    </row>
    <row r="892" spans="1:20" x14ac:dyDescent="0.25">
      <c r="A892" s="255"/>
      <c r="D892" s="255" t="s">
        <v>2741</v>
      </c>
      <c r="E892" s="251"/>
      <c r="G892" s="251"/>
      <c r="I892" s="258"/>
      <c r="J892" s="80"/>
      <c r="K892" s="80"/>
      <c r="L892" s="32"/>
      <c r="M892" s="258"/>
      <c r="N892" s="32"/>
      <c r="O892" s="32"/>
      <c r="P892" s="32"/>
      <c r="Q892" s="32"/>
      <c r="R892" s="39"/>
      <c r="S892" s="34"/>
      <c r="T892" s="34"/>
    </row>
    <row r="893" spans="1:20" x14ac:dyDescent="0.25">
      <c r="A893" s="255"/>
      <c r="E893" s="251" t="s">
        <v>2742</v>
      </c>
      <c r="G893" s="251" t="s">
        <v>1264</v>
      </c>
      <c r="I893" s="258">
        <f>'Op Detail'!E6500</f>
        <v>320</v>
      </c>
      <c r="J893" s="80"/>
      <c r="K893" s="80">
        <f>I893</f>
        <v>320</v>
      </c>
      <c r="L893" s="32"/>
      <c r="M893" s="258">
        <v>400</v>
      </c>
      <c r="N893" s="32"/>
      <c r="O893" s="32">
        <v>400</v>
      </c>
      <c r="P893" s="32"/>
      <c r="Q893" s="32"/>
      <c r="R893" s="39"/>
      <c r="S893" s="34"/>
      <c r="T893" s="34"/>
    </row>
    <row r="894" spans="1:20" x14ac:dyDescent="0.25">
      <c r="A894" s="255"/>
      <c r="D894" s="255" t="s">
        <v>2743</v>
      </c>
      <c r="E894" s="251"/>
      <c r="G894" s="251"/>
      <c r="I894" s="258"/>
      <c r="J894" s="80"/>
      <c r="K894" s="80"/>
      <c r="L894" s="32"/>
      <c r="M894" s="258"/>
      <c r="N894" s="32"/>
      <c r="O894" s="32"/>
      <c r="P894" s="32"/>
      <c r="Q894" s="32"/>
      <c r="R894" s="39"/>
      <c r="S894" s="34"/>
      <c r="T894" s="34"/>
    </row>
    <row r="895" spans="1:20" x14ac:dyDescent="0.25">
      <c r="A895" s="255"/>
      <c r="E895" s="251" t="s">
        <v>2744</v>
      </c>
      <c r="G895" s="251" t="s">
        <v>1264</v>
      </c>
      <c r="I895" s="258">
        <f>'Op Detail'!F6500</f>
        <v>320</v>
      </c>
      <c r="J895" s="80"/>
      <c r="K895" s="80">
        <f>I895</f>
        <v>320</v>
      </c>
      <c r="L895" s="32"/>
      <c r="M895" s="258">
        <v>400</v>
      </c>
      <c r="N895" s="32"/>
      <c r="O895" s="32">
        <v>400</v>
      </c>
      <c r="P895" s="32"/>
      <c r="Q895" s="32"/>
      <c r="R895" s="39"/>
      <c r="S895" s="34"/>
      <c r="T895" s="34"/>
    </row>
    <row r="896" spans="1:20" x14ac:dyDescent="0.25">
      <c r="A896" s="255"/>
      <c r="D896" s="34" t="s">
        <v>552</v>
      </c>
      <c r="E896" s="251"/>
      <c r="G896" s="251"/>
      <c r="I896" s="258"/>
      <c r="J896" s="80"/>
      <c r="K896" s="80"/>
      <c r="L896" s="32"/>
      <c r="M896" s="258"/>
      <c r="N896" s="32"/>
      <c r="O896" s="32"/>
      <c r="P896" s="32"/>
      <c r="Q896" s="32"/>
      <c r="R896" s="39"/>
      <c r="S896" s="34"/>
      <c r="T896" s="34"/>
    </row>
    <row r="897" spans="1:20" x14ac:dyDescent="0.25">
      <c r="A897" s="255"/>
      <c r="E897" s="251" t="s">
        <v>553</v>
      </c>
      <c r="G897" s="251" t="s">
        <v>1264</v>
      </c>
      <c r="I897" s="258">
        <f>'Op Detail'!D2220</f>
        <v>0</v>
      </c>
      <c r="J897" s="80"/>
      <c r="K897" s="80">
        <f>I897</f>
        <v>0</v>
      </c>
      <c r="L897" s="32"/>
      <c r="M897" s="258">
        <v>0</v>
      </c>
      <c r="N897" s="32"/>
      <c r="O897" s="32">
        <v>0</v>
      </c>
      <c r="P897" s="32"/>
      <c r="Q897" s="32">
        <f>K897-O897</f>
        <v>0</v>
      </c>
      <c r="R897" s="39"/>
      <c r="S897" s="34"/>
      <c r="T897" s="34"/>
    </row>
    <row r="898" spans="1:20" x14ac:dyDescent="0.25">
      <c r="A898" s="255"/>
      <c r="D898" s="255" t="s">
        <v>2729</v>
      </c>
      <c r="E898" s="251"/>
      <c r="G898" s="251"/>
      <c r="I898" s="258"/>
      <c r="J898" s="80"/>
      <c r="K898" s="80"/>
      <c r="L898" s="32"/>
      <c r="M898" s="258"/>
      <c r="N898" s="32"/>
      <c r="O898" s="32"/>
      <c r="P898" s="32"/>
      <c r="Q898" s="32"/>
      <c r="R898" s="39"/>
      <c r="S898" s="34"/>
      <c r="T898" s="34"/>
    </row>
    <row r="899" spans="1:20" x14ac:dyDescent="0.25">
      <c r="A899" s="255"/>
      <c r="E899" s="251" t="s">
        <v>2730</v>
      </c>
      <c r="G899" s="251" t="s">
        <v>1264</v>
      </c>
      <c r="I899" s="258">
        <f>'Op Detail'!D6399</f>
        <v>320</v>
      </c>
      <c r="J899" s="80"/>
      <c r="K899" s="80">
        <f>I899</f>
        <v>320</v>
      </c>
      <c r="L899" s="32"/>
      <c r="M899" s="258">
        <v>400</v>
      </c>
      <c r="N899" s="32"/>
      <c r="O899" s="32">
        <v>400</v>
      </c>
      <c r="P899" s="32"/>
      <c r="Q899" s="32">
        <f>K899-O899</f>
        <v>-80</v>
      </c>
      <c r="R899" s="39"/>
      <c r="S899" s="34"/>
      <c r="T899" s="34"/>
    </row>
    <row r="900" spans="1:20" x14ac:dyDescent="0.25">
      <c r="A900" s="255"/>
      <c r="D900" s="255" t="s">
        <v>2731</v>
      </c>
      <c r="E900" s="251"/>
      <c r="G900" s="251"/>
      <c r="I900" s="258"/>
      <c r="J900" s="80"/>
      <c r="K900" s="80"/>
      <c r="L900" s="32"/>
      <c r="M900" s="258"/>
      <c r="N900" s="32"/>
      <c r="O900" s="32"/>
      <c r="P900" s="32"/>
      <c r="Q900" s="32"/>
      <c r="R900" s="39"/>
      <c r="S900" s="34"/>
      <c r="T900" s="34"/>
    </row>
    <row r="901" spans="1:20" x14ac:dyDescent="0.25">
      <c r="A901" s="255"/>
      <c r="E901" s="251" t="s">
        <v>2732</v>
      </c>
      <c r="G901" s="251" t="s">
        <v>1264</v>
      </c>
      <c r="I901" s="258">
        <f>'Op Detail'!D6410</f>
        <v>320</v>
      </c>
      <c r="J901" s="80"/>
      <c r="K901" s="80">
        <f>I901</f>
        <v>320</v>
      </c>
      <c r="L901" s="32"/>
      <c r="M901" s="258">
        <v>400</v>
      </c>
      <c r="N901" s="32"/>
      <c r="O901" s="32">
        <v>400</v>
      </c>
      <c r="P901" s="32"/>
      <c r="Q901" s="32">
        <f>K901-O901</f>
        <v>-80</v>
      </c>
      <c r="R901" s="39"/>
      <c r="S901" s="34"/>
      <c r="T901" s="34"/>
    </row>
    <row r="902" spans="1:20" x14ac:dyDescent="0.25">
      <c r="A902" s="255"/>
      <c r="E902" s="251"/>
      <c r="G902" s="251"/>
      <c r="I902" s="258"/>
      <c r="J902" s="80"/>
      <c r="K902" s="80"/>
      <c r="L902" s="32"/>
      <c r="M902" s="258"/>
      <c r="N902" s="32"/>
      <c r="O902" s="32"/>
      <c r="P902" s="32"/>
      <c r="Q902" s="32"/>
      <c r="R902" s="39"/>
      <c r="S902" s="34"/>
      <c r="T902" s="34"/>
    </row>
    <row r="903" spans="1:20" x14ac:dyDescent="0.25">
      <c r="A903" s="255"/>
      <c r="B903" s="54" t="s">
        <v>1342</v>
      </c>
      <c r="E903" s="251"/>
      <c r="G903" s="251"/>
      <c r="I903" s="258"/>
      <c r="J903" s="80"/>
      <c r="K903" s="80"/>
      <c r="L903" s="32"/>
      <c r="M903" s="258"/>
      <c r="N903" s="32"/>
      <c r="O903" s="32"/>
      <c r="P903" s="32"/>
      <c r="Q903" s="32"/>
      <c r="R903" s="39"/>
      <c r="S903" s="34"/>
      <c r="T903" s="34"/>
    </row>
    <row r="904" spans="1:20" x14ac:dyDescent="0.25">
      <c r="A904" s="255"/>
      <c r="D904" s="251" t="s">
        <v>289</v>
      </c>
      <c r="E904" s="251"/>
      <c r="G904" s="251"/>
      <c r="I904" s="258"/>
      <c r="J904" s="80"/>
      <c r="K904" s="80"/>
      <c r="L904" s="32"/>
      <c r="M904" s="258"/>
      <c r="N904" s="32"/>
      <c r="O904" s="32"/>
      <c r="P904" s="32"/>
      <c r="Q904" s="32"/>
      <c r="R904" s="39"/>
      <c r="S904" s="34"/>
      <c r="T904" s="34"/>
    </row>
    <row r="905" spans="1:20" x14ac:dyDescent="0.25">
      <c r="A905" s="255"/>
      <c r="E905" s="251" t="s">
        <v>2672</v>
      </c>
      <c r="G905" s="251" t="s">
        <v>1264</v>
      </c>
      <c r="I905" s="260">
        <f>'Op Detail'!D5465</f>
        <v>0</v>
      </c>
      <c r="J905" s="80"/>
      <c r="K905" s="80">
        <f>I905</f>
        <v>0</v>
      </c>
      <c r="L905" s="32"/>
      <c r="M905" s="260">
        <v>1500</v>
      </c>
      <c r="N905" s="32"/>
      <c r="O905" s="32">
        <v>1500</v>
      </c>
      <c r="P905" s="32"/>
      <c r="Q905" s="32">
        <f>K905-O905</f>
        <v>-1500</v>
      </c>
      <c r="R905" s="39"/>
      <c r="S905" s="34"/>
      <c r="T905" s="34"/>
    </row>
    <row r="906" spans="1:20" x14ac:dyDescent="0.25">
      <c r="A906" s="255"/>
      <c r="D906" s="34" t="s">
        <v>303</v>
      </c>
      <c r="E906" s="251"/>
      <c r="G906" s="251"/>
      <c r="I906" s="258"/>
      <c r="J906" s="80"/>
      <c r="K906" s="80"/>
      <c r="L906" s="32"/>
      <c r="M906" s="258"/>
      <c r="N906" s="32"/>
      <c r="O906" s="32"/>
      <c r="P906" s="32"/>
      <c r="Q906" s="32"/>
      <c r="R906" s="39"/>
      <c r="S906" s="34"/>
      <c r="T906" s="34"/>
    </row>
    <row r="907" spans="1:20" x14ac:dyDescent="0.25">
      <c r="A907" s="255"/>
      <c r="E907" s="251" t="s">
        <v>458</v>
      </c>
      <c r="G907" s="251" t="s">
        <v>1264</v>
      </c>
      <c r="I907" s="258">
        <f>'Op Detail'!D5540</f>
        <v>4690</v>
      </c>
      <c r="J907" s="80"/>
      <c r="K907" s="80">
        <f>I907</f>
        <v>4690</v>
      </c>
      <c r="L907" s="32"/>
      <c r="M907" s="258">
        <v>3800</v>
      </c>
      <c r="N907" s="32"/>
      <c r="O907" s="32">
        <v>3800</v>
      </c>
      <c r="P907" s="32"/>
      <c r="Q907" s="32">
        <f>K907-O907</f>
        <v>890</v>
      </c>
      <c r="R907" s="39"/>
      <c r="S907" s="34"/>
      <c r="T907" s="34"/>
    </row>
    <row r="908" spans="1:20" x14ac:dyDescent="0.25">
      <c r="A908" s="255"/>
      <c r="D908" s="255" t="s">
        <v>3163</v>
      </c>
      <c r="I908" s="34"/>
      <c r="J908" s="34"/>
      <c r="K908" s="34"/>
      <c r="M908" s="255"/>
      <c r="R908" s="39"/>
      <c r="S908" s="34"/>
      <c r="T908" s="34"/>
    </row>
    <row r="909" spans="1:20" x14ac:dyDescent="0.25">
      <c r="A909" s="255"/>
      <c r="E909" s="251" t="s">
        <v>3164</v>
      </c>
      <c r="G909" s="251" t="s">
        <v>1264</v>
      </c>
      <c r="H909" s="251"/>
      <c r="I909" s="87">
        <f>+'Op Detail'!D3562</f>
        <v>1701.44</v>
      </c>
      <c r="J909" s="251"/>
      <c r="K909" s="87">
        <f>I909</f>
        <v>1701.44</v>
      </c>
      <c r="L909" s="251"/>
      <c r="M909" s="258">
        <v>0</v>
      </c>
      <c r="N909" s="251"/>
      <c r="O909" s="31">
        <v>0</v>
      </c>
      <c r="P909" s="251"/>
      <c r="Q909" s="88">
        <f>K909-O909</f>
        <v>1701.44</v>
      </c>
      <c r="R909" s="39"/>
      <c r="S909" s="34"/>
      <c r="T909" s="34"/>
    </row>
    <row r="910" spans="1:20" x14ac:dyDescent="0.25">
      <c r="A910" s="255"/>
      <c r="D910" s="34" t="s">
        <v>626</v>
      </c>
      <c r="E910" s="251"/>
      <c r="G910" s="251"/>
      <c r="I910" s="258"/>
      <c r="J910" s="80"/>
      <c r="K910" s="80"/>
      <c r="L910" s="32"/>
      <c r="M910" s="258"/>
      <c r="N910" s="32"/>
      <c r="O910" s="32"/>
      <c r="P910" s="32"/>
      <c r="Q910" s="32"/>
      <c r="R910" s="39"/>
      <c r="S910" s="34"/>
      <c r="T910" s="34"/>
    </row>
    <row r="911" spans="1:20" x14ac:dyDescent="0.25">
      <c r="A911" s="255"/>
      <c r="E911" s="251" t="s">
        <v>627</v>
      </c>
      <c r="G911" s="251" t="s">
        <v>1264</v>
      </c>
      <c r="I911" s="258">
        <f>'Op Detail'!D5615</f>
        <v>0</v>
      </c>
      <c r="J911" s="80"/>
      <c r="K911" s="80">
        <f>I911</f>
        <v>0</v>
      </c>
      <c r="L911" s="32"/>
      <c r="M911" s="258">
        <v>0</v>
      </c>
      <c r="N911" s="32"/>
      <c r="O911" s="32">
        <v>0</v>
      </c>
      <c r="P911" s="32"/>
      <c r="Q911" s="32">
        <f>K911-O911</f>
        <v>0</v>
      </c>
      <c r="R911" s="39"/>
      <c r="S911" s="34"/>
      <c r="T911" s="34"/>
    </row>
    <row r="912" spans="1:20" x14ac:dyDescent="0.25">
      <c r="A912" s="255"/>
      <c r="D912" s="34" t="s">
        <v>647</v>
      </c>
      <c r="E912" s="251"/>
      <c r="G912" s="251"/>
      <c r="I912" s="258"/>
      <c r="J912" s="80"/>
      <c r="K912" s="80"/>
      <c r="L912" s="32"/>
      <c r="M912" s="258"/>
      <c r="N912" s="32"/>
      <c r="O912" s="32"/>
      <c r="P912" s="32"/>
      <c r="Q912" s="32"/>
      <c r="R912" s="39"/>
      <c r="S912" s="34"/>
      <c r="T912" s="34"/>
    </row>
    <row r="913" spans="1:20" x14ac:dyDescent="0.25">
      <c r="A913" s="255"/>
      <c r="E913" s="251" t="s">
        <v>649</v>
      </c>
      <c r="G913" s="251" t="s">
        <v>1264</v>
      </c>
      <c r="I913" s="258">
        <f>'Op Detail'!D5691</f>
        <v>1430</v>
      </c>
      <c r="J913" s="80"/>
      <c r="K913" s="80">
        <f>I913</f>
        <v>1430</v>
      </c>
      <c r="L913" s="32"/>
      <c r="M913" s="258">
        <v>2000</v>
      </c>
      <c r="N913" s="32"/>
      <c r="O913" s="32">
        <v>2000</v>
      </c>
      <c r="P913" s="32"/>
      <c r="Q913" s="32">
        <f>K913-O913</f>
        <v>-570</v>
      </c>
      <c r="R913" s="39"/>
      <c r="S913" s="34"/>
      <c r="T913" s="34"/>
    </row>
    <row r="914" spans="1:20" x14ac:dyDescent="0.25">
      <c r="A914" s="255"/>
      <c r="D914" s="34" t="s">
        <v>648</v>
      </c>
      <c r="E914" s="251"/>
      <c r="G914" s="251"/>
      <c r="I914" s="258"/>
      <c r="J914" s="80"/>
      <c r="K914" s="80"/>
      <c r="L914" s="32"/>
      <c r="M914" s="258"/>
      <c r="N914" s="32"/>
      <c r="O914" s="32"/>
      <c r="P914" s="32"/>
      <c r="Q914" s="32"/>
      <c r="R914" s="39"/>
      <c r="S914" s="34"/>
      <c r="T914" s="34"/>
    </row>
    <row r="915" spans="1:20" x14ac:dyDescent="0.25">
      <c r="A915" s="255"/>
      <c r="E915" s="251" t="s">
        <v>650</v>
      </c>
      <c r="G915" s="251" t="s">
        <v>1264</v>
      </c>
      <c r="I915" s="258">
        <f>'Op Detail'!H5843</f>
        <v>0</v>
      </c>
      <c r="J915" s="80"/>
      <c r="K915" s="80">
        <f>I915</f>
        <v>0</v>
      </c>
      <c r="L915" s="32"/>
      <c r="M915" s="258">
        <v>0</v>
      </c>
      <c r="N915" s="32"/>
      <c r="O915" s="32">
        <v>0</v>
      </c>
      <c r="P915" s="32"/>
      <c r="Q915" s="32">
        <f>K915-O915</f>
        <v>0</v>
      </c>
      <c r="R915" s="39"/>
      <c r="S915" s="34"/>
      <c r="T915" s="34"/>
    </row>
    <row r="916" spans="1:20" x14ac:dyDescent="0.25">
      <c r="A916" s="255"/>
      <c r="D916" s="34" t="s">
        <v>378</v>
      </c>
      <c r="E916" s="251"/>
      <c r="G916" s="251"/>
      <c r="I916" s="258"/>
      <c r="J916" s="80"/>
      <c r="K916" s="80"/>
      <c r="L916" s="32"/>
      <c r="M916" s="258"/>
      <c r="N916" s="32"/>
      <c r="O916" s="32"/>
      <c r="P916" s="32"/>
      <c r="Q916" s="32"/>
      <c r="R916" s="39"/>
    </row>
    <row r="917" spans="1:20" x14ac:dyDescent="0.25">
      <c r="A917" s="255"/>
      <c r="E917" s="251" t="s">
        <v>3175</v>
      </c>
      <c r="G917" s="251" t="s">
        <v>1264</v>
      </c>
      <c r="I917" s="258">
        <f>'Op Detail'!F5880</f>
        <v>9120</v>
      </c>
      <c r="J917" s="80"/>
      <c r="K917" s="80">
        <f>I917</f>
        <v>9120</v>
      </c>
      <c r="L917" s="32"/>
      <c r="M917" s="258">
        <v>60850</v>
      </c>
      <c r="N917" s="32"/>
      <c r="O917" s="32">
        <v>60850</v>
      </c>
      <c r="P917" s="32"/>
      <c r="Q917" s="32">
        <f>K917-O917</f>
        <v>-51730</v>
      </c>
      <c r="R917" s="39"/>
    </row>
    <row r="918" spans="1:20" x14ac:dyDescent="0.25">
      <c r="A918" s="255"/>
      <c r="D918" s="255" t="s">
        <v>3161</v>
      </c>
      <c r="I918" s="34"/>
      <c r="J918" s="34"/>
      <c r="K918" s="34"/>
      <c r="M918" s="255"/>
      <c r="R918" s="39"/>
    </row>
    <row r="919" spans="1:20" x14ac:dyDescent="0.25">
      <c r="A919" s="255"/>
      <c r="E919" s="251" t="s">
        <v>3162</v>
      </c>
      <c r="G919" s="251" t="s">
        <v>1264</v>
      </c>
      <c r="H919" s="251"/>
      <c r="I919" s="87">
        <f>+'Op Detail'!E3562</f>
        <v>1701.44</v>
      </c>
      <c r="J919" s="251"/>
      <c r="K919" s="87">
        <f>I919</f>
        <v>1701.44</v>
      </c>
      <c r="L919" s="251"/>
      <c r="M919" s="258">
        <v>0</v>
      </c>
      <c r="N919" s="251"/>
      <c r="O919" s="31">
        <v>0</v>
      </c>
      <c r="P919" s="251"/>
      <c r="Q919" s="88">
        <f>K919-O919</f>
        <v>1701.44</v>
      </c>
      <c r="R919" s="39"/>
    </row>
    <row r="920" spans="1:20" x14ac:dyDescent="0.25">
      <c r="A920" s="255"/>
      <c r="E920" s="251"/>
      <c r="G920" s="251"/>
      <c r="I920" s="258"/>
      <c r="J920" s="80"/>
      <c r="K920" s="80"/>
      <c r="L920" s="32"/>
      <c r="M920" s="258"/>
      <c r="N920" s="32"/>
      <c r="O920" s="32"/>
      <c r="P920" s="32"/>
      <c r="Q920" s="32"/>
      <c r="R920" s="39"/>
    </row>
    <row r="921" spans="1:20" x14ac:dyDescent="0.25">
      <c r="B921" s="54" t="s">
        <v>1525</v>
      </c>
      <c r="G921" s="251"/>
      <c r="I921" s="258"/>
      <c r="J921" s="80"/>
      <c r="K921" s="80"/>
      <c r="L921" s="31"/>
      <c r="M921" s="258"/>
      <c r="N921" s="31"/>
      <c r="O921" s="31"/>
      <c r="P921" s="31"/>
      <c r="Q921" s="32"/>
    </row>
    <row r="922" spans="1:20" x14ac:dyDescent="0.25">
      <c r="D922" s="34" t="s">
        <v>459</v>
      </c>
      <c r="G922" s="251"/>
      <c r="I922" s="258"/>
      <c r="J922" s="80"/>
      <c r="K922" s="80"/>
      <c r="L922" s="31"/>
      <c r="M922" s="258"/>
      <c r="N922" s="31"/>
      <c r="O922" s="31"/>
      <c r="P922" s="31"/>
      <c r="Q922" s="32"/>
    </row>
    <row r="923" spans="1:20" x14ac:dyDescent="0.25">
      <c r="E923" s="255" t="s">
        <v>2673</v>
      </c>
      <c r="G923" s="251" t="s">
        <v>1264</v>
      </c>
      <c r="I923" s="258">
        <f>'Op Detail'!E5502</f>
        <v>0</v>
      </c>
      <c r="J923" s="80"/>
      <c r="K923" s="80">
        <f>I923</f>
        <v>0</v>
      </c>
      <c r="L923" s="31"/>
      <c r="M923" s="258">
        <v>0</v>
      </c>
      <c r="N923" s="31"/>
      <c r="O923" s="31">
        <v>0</v>
      </c>
      <c r="P923" s="31"/>
      <c r="Q923" s="32">
        <f>K923-O923</f>
        <v>0</v>
      </c>
    </row>
    <row r="924" spans="1:20" x14ac:dyDescent="0.25">
      <c r="D924" s="34" t="s">
        <v>460</v>
      </c>
      <c r="G924" s="251"/>
      <c r="I924" s="258"/>
      <c r="J924" s="80"/>
      <c r="K924" s="80"/>
      <c r="L924" s="31"/>
      <c r="M924" s="258"/>
      <c r="N924" s="31"/>
      <c r="O924" s="31"/>
      <c r="P924" s="31"/>
      <c r="Q924" s="32"/>
    </row>
    <row r="925" spans="1:20" x14ac:dyDescent="0.25">
      <c r="E925" s="34" t="s">
        <v>461</v>
      </c>
      <c r="G925" s="251" t="s">
        <v>1264</v>
      </c>
      <c r="I925" s="258">
        <f>'Op Detail'!E5576</f>
        <v>0</v>
      </c>
      <c r="J925" s="80"/>
      <c r="K925" s="80">
        <f>I925</f>
        <v>0</v>
      </c>
      <c r="L925" s="31"/>
      <c r="M925" s="258">
        <v>0</v>
      </c>
      <c r="N925" s="31"/>
      <c r="O925" s="31">
        <v>0</v>
      </c>
      <c r="P925" s="31"/>
      <c r="Q925" s="32">
        <f>K925-O925</f>
        <v>0</v>
      </c>
    </row>
    <row r="926" spans="1:20" x14ac:dyDescent="0.25">
      <c r="G926" s="251"/>
      <c r="I926" s="258"/>
      <c r="J926" s="80"/>
      <c r="K926" s="80"/>
      <c r="L926" s="31"/>
      <c r="M926" s="258"/>
      <c r="N926" s="31"/>
      <c r="O926" s="31"/>
      <c r="P926" s="31"/>
      <c r="Q926" s="32"/>
    </row>
    <row r="927" spans="1:20" x14ac:dyDescent="0.25">
      <c r="G927" s="251"/>
      <c r="I927" s="258"/>
      <c r="J927" s="80"/>
      <c r="K927" s="80"/>
      <c r="L927" s="31"/>
      <c r="M927" s="258"/>
      <c r="N927" s="31"/>
      <c r="O927" s="31"/>
      <c r="P927" s="31"/>
      <c r="Q927" s="32"/>
    </row>
    <row r="928" spans="1:20" x14ac:dyDescent="0.25">
      <c r="G928" s="251"/>
      <c r="I928" s="258"/>
      <c r="J928" s="80"/>
      <c r="K928" s="80"/>
      <c r="L928" s="31"/>
      <c r="M928" s="258"/>
      <c r="N928" s="31"/>
      <c r="O928" s="31"/>
      <c r="P928" s="31"/>
      <c r="Q928" s="32"/>
    </row>
    <row r="929" spans="2:20" ht="16.5" thickBot="1" x14ac:dyDescent="0.3">
      <c r="I929" s="271">
        <f>SUM(I9:I925)</f>
        <v>42205230.079999998</v>
      </c>
      <c r="J929" s="80"/>
      <c r="K929" s="197">
        <f>SUM(K9:K925)</f>
        <v>42205230.079999998</v>
      </c>
      <c r="L929" s="31"/>
      <c r="M929" s="198">
        <f>SUM(M9:M925)</f>
        <v>42478510</v>
      </c>
      <c r="N929" s="31"/>
      <c r="O929" s="198">
        <f>SUM(O9:O925)</f>
        <v>42478510</v>
      </c>
      <c r="P929" s="31"/>
      <c r="Q929" s="198">
        <f>SUM(Q9:Q925)</f>
        <v>-262577</v>
      </c>
      <c r="T929" s="211"/>
    </row>
    <row r="930" spans="2:20" ht="16.5" thickTop="1" x14ac:dyDescent="0.25">
      <c r="I930" s="259"/>
      <c r="J930" s="80"/>
      <c r="K930" s="80"/>
      <c r="L930" s="31"/>
      <c r="M930" s="32"/>
      <c r="N930" s="31"/>
      <c r="O930" s="31"/>
      <c r="P930" s="31"/>
      <c r="Q930" s="32"/>
    </row>
    <row r="931" spans="2:20" x14ac:dyDescent="0.25">
      <c r="I931" s="258">
        <v>42205230.079999998</v>
      </c>
      <c r="J931" s="80"/>
      <c r="K931" s="80"/>
      <c r="M931" s="186"/>
    </row>
    <row r="932" spans="2:20" ht="15" x14ac:dyDescent="0.2">
      <c r="B932" s="34"/>
      <c r="I932" s="259"/>
      <c r="M932" s="31"/>
      <c r="S932" s="34"/>
      <c r="T932" s="34"/>
    </row>
    <row r="933" spans="2:20" ht="15" x14ac:dyDescent="0.2">
      <c r="B933" s="34"/>
      <c r="I933" s="259">
        <f>+I929-I931</f>
        <v>0</v>
      </c>
      <c r="S933" s="34"/>
      <c r="T933" s="34"/>
    </row>
    <row r="934" spans="2:20" ht="15" x14ac:dyDescent="0.2">
      <c r="B934" s="34"/>
      <c r="I934" s="259"/>
      <c r="S934" s="34"/>
      <c r="T934" s="34"/>
    </row>
    <row r="935" spans="2:20" ht="15" x14ac:dyDescent="0.2">
      <c r="B935" s="34"/>
      <c r="G935" s="255" t="s">
        <v>3148</v>
      </c>
      <c r="I935" s="259">
        <f>+Salaries!G378</f>
        <v>15525894.91</v>
      </c>
      <c r="S935" s="34"/>
      <c r="T935" s="34"/>
    </row>
    <row r="936" spans="2:20" ht="15" x14ac:dyDescent="0.2">
      <c r="B936" s="34"/>
      <c r="G936" s="255" t="s">
        <v>3149</v>
      </c>
      <c r="I936" s="259">
        <f>+I508+I510</f>
        <v>181415</v>
      </c>
      <c r="S936" s="34"/>
      <c r="T936" s="34"/>
    </row>
    <row r="937" spans="2:20" ht="15" x14ac:dyDescent="0.2">
      <c r="B937" s="34"/>
      <c r="G937" s="255" t="s">
        <v>3150</v>
      </c>
      <c r="I937" s="258">
        <f>+I506</f>
        <v>30000</v>
      </c>
      <c r="S937" s="34"/>
      <c r="T937" s="34"/>
    </row>
    <row r="938" spans="2:20" ht="15" x14ac:dyDescent="0.2">
      <c r="B938" s="34"/>
      <c r="G938" s="255" t="s">
        <v>3151</v>
      </c>
      <c r="I938" s="259">
        <f>+'Op Detail TOC'!I162</f>
        <v>12387924.58</v>
      </c>
      <c r="S938" s="34"/>
      <c r="T938" s="34"/>
    </row>
    <row r="939" spans="2:20" ht="15" x14ac:dyDescent="0.2">
      <c r="B939" s="34"/>
      <c r="G939" s="255" t="s">
        <v>3152</v>
      </c>
      <c r="I939" s="259">
        <f>+I520+I518+I516+I512</f>
        <v>12922838</v>
      </c>
      <c r="S939" s="34"/>
      <c r="T939" s="34"/>
    </row>
    <row r="940" spans="2:20" ht="15" x14ac:dyDescent="0.2">
      <c r="B940" s="34"/>
      <c r="G940" s="255" t="s">
        <v>3153</v>
      </c>
      <c r="I940" s="259">
        <f>+I496+I487+I484+I479+I477+I475+I473+I471+I468</f>
        <v>1157157.5900000001</v>
      </c>
      <c r="S940" s="34"/>
      <c r="T940" s="34"/>
    </row>
    <row r="941" spans="2:20" ht="15" x14ac:dyDescent="0.2">
      <c r="B941" s="34"/>
      <c r="I941" s="259"/>
      <c r="S941" s="34"/>
      <c r="T941" s="34"/>
    </row>
    <row r="942" spans="2:20" ht="15" x14ac:dyDescent="0.2">
      <c r="B942" s="34"/>
      <c r="I942" s="259"/>
      <c r="S942" s="34"/>
      <c r="T942" s="34"/>
    </row>
    <row r="943" spans="2:20" ht="15" x14ac:dyDescent="0.2">
      <c r="B943" s="34"/>
      <c r="I943" s="259">
        <f>SUM(I935:I942)</f>
        <v>42205230.079999998</v>
      </c>
      <c r="S943" s="34"/>
      <c r="T943" s="34"/>
    </row>
    <row r="944" spans="2:20" ht="15" x14ac:dyDescent="0.2">
      <c r="B944" s="34"/>
      <c r="H944" s="255" t="s">
        <v>3154</v>
      </c>
      <c r="I944" s="79">
        <f>+I943-I929</f>
        <v>0</v>
      </c>
      <c r="S944" s="34"/>
      <c r="T944" s="34"/>
    </row>
    <row r="946" spans="2:20" ht="15" x14ac:dyDescent="0.2">
      <c r="B946" s="34"/>
      <c r="G946" s="255"/>
      <c r="S946" s="34"/>
      <c r="T946" s="34"/>
    </row>
  </sheetData>
  <customSheetViews>
    <customSheetView guid="{32908539-2542-409A-8F82-90CA4AF2FA22}" scale="85" showPageBreaks="1" printArea="1" view="pageBreakPreview" topLeftCell="A61">
      <selection activeCell="E383" sqref="E383"/>
      <rowBreaks count="24" manualBreakCount="24">
        <brk id="38" max="16383" man="1"/>
        <brk id="73" max="16383" man="1"/>
        <brk id="108" max="16383" man="1"/>
        <brk id="148" max="17" man="1"/>
        <brk id="186" max="17" man="1"/>
        <brk id="220" max="16383" man="1"/>
        <brk id="258" max="16383" man="1"/>
        <brk id="296" max="16383" man="1"/>
        <brk id="334" max="17" man="1"/>
        <brk id="371" max="16383" man="1"/>
        <brk id="407" max="16383" man="1"/>
        <brk id="439" max="16383" man="1"/>
        <brk id="467" max="16383" man="1"/>
        <brk id="508" max="16383" man="1"/>
        <brk id="539" max="16383" man="1"/>
        <brk id="574" max="16383" man="1"/>
        <brk id="609" max="16383" man="1"/>
        <brk id="644" max="16383" man="1"/>
        <brk id="680" max="16383" man="1"/>
        <brk id="714" max="16383" man="1"/>
        <brk id="754" max="17" man="1"/>
        <brk id="788" max="16383" man="1"/>
        <brk id="819" max="16383" man="1"/>
        <brk id="850" max="16383" man="1"/>
      </rowBreaks>
      <pageMargins left="0.75" right="0.75" top="1" bottom="1" header="0.25" footer="0.5"/>
      <printOptions horizontalCentered="1"/>
      <pageSetup scale="70" orientation="landscape" horizontalDpi="4294967292" verticalDpi="4294967292" r:id="rId1"/>
      <headerFooter alignWithMargins="0">
        <oddHeader>&amp;C&amp;"Arial,Bold"SWTJC DRAFT OPERATING BUDGET
FY 2010
SALARY AND OPERATING EXPENDITURES</oddHeader>
        <oddFooter>&amp;C&amp;P</oddFooter>
      </headerFooter>
    </customSheetView>
    <customSheetView guid="{A8860A6A-D8F5-A548-B67D-3E99578E1F8E}" scale="85" showPageBreaks="1" printArea="1" topLeftCell="A742">
      <selection activeCell="K414" sqref="K414"/>
      <rowBreaks count="24" manualBreakCount="24">
        <brk id="38" max="16383" man="1"/>
        <brk id="73" max="16383" man="1"/>
        <brk id="108" max="16383" man="1"/>
        <brk id="148" max="17" man="1"/>
        <brk id="186" max="17" man="1"/>
        <brk id="220" max="16383" man="1"/>
        <brk id="258" max="16383" man="1"/>
        <brk id="296" max="16383" man="1"/>
        <brk id="334" max="17" man="1"/>
        <brk id="371" max="16383" man="1"/>
        <brk id="407" max="16383" man="1"/>
        <brk id="439" max="16383" man="1"/>
        <brk id="467" max="16383" man="1"/>
        <brk id="508" max="16383" man="1"/>
        <brk id="539" max="16383" man="1"/>
        <brk id="574" max="16383" man="1"/>
        <brk id="609" max="16383" man="1"/>
        <brk id="644" max="16383" man="1"/>
        <brk id="680" max="16383" man="1"/>
        <brk id="714" max="16383" man="1"/>
        <brk id="754" max="17" man="1"/>
        <brk id="788" max="16383" man="1"/>
        <brk id="819" max="16383" man="1"/>
        <brk id="850" max="16383" man="1"/>
      </rowBreaks>
      <pageMargins left="0.7" right="0.7" top="0.75" bottom="0.75" header="0.3" footer="0.3"/>
      <printOptions horizontalCentered="1"/>
      <headerFooter alignWithMargins="0">
        <oddHeader>&amp;C&amp;"Arial,Bold"SWTJC DRAFT OPERATING BUDGETFY 2010SALARY AND OPERATING EXPENDITURES</oddHeader>
        <oddFooter>&amp;C&amp;P</oddFooter>
      </headerFooter>
    </customSheetView>
  </customSheetViews>
  <phoneticPr fontId="0" type="noConversion"/>
  <hyperlinks>
    <hyperlink ref="I43" location="'Op%20Detail'!D5105" display="'Op%20Detail'!D5105"/>
    <hyperlink ref="I45" location="'Op%20Detail'!D2184" display="'Op%20Detail'!D2184"/>
    <hyperlink ref="I49" location="'Op%20Detail'!D2249" display="'Op%20Detail'!D2249"/>
    <hyperlink ref="I53" location="'Op%20Detail'!D2270" display="'Op%20Detail'!D2270"/>
    <hyperlink ref="I55" location="'Op%20Detail'!D2308" display="'Op%20Detail'!D2308"/>
    <hyperlink ref="I59" location="'Op%20Detail'!G2950" display="'Op%20Detail'!G2950"/>
    <hyperlink ref="I94" location="'Op%20Detail'!D3755" display="'Op%20Detail'!D3755"/>
    <hyperlink ref="I98" location="'Op%20Detail'!D3861" display="'Op%20Detail'!D3861"/>
    <hyperlink ref="I100" location="'Op%20Detail'!D3826" display="'Op%20Detail'!D3826"/>
    <hyperlink ref="I102" location="'Op%20Detail'!D3693" display="'Op%20Detail'!D3693"/>
    <hyperlink ref="I107" location="'Op%20Detail'!D5022" display="'Op%20Detail'!D5022"/>
    <hyperlink ref="I109" location="'Op%20Detail'!D5052" display="'Op%20Detail'!D5052"/>
    <hyperlink ref="I115" location="'Op%20Detail'!D3926" display="'Op%20Detail'!D3926"/>
    <hyperlink ref="I117" location="'Op%20Detail'!D5078" display="'Op%20Detail'!D5078"/>
    <hyperlink ref="I119" location="'Op%20Detail'!D3721" display="'Op%20Detail'!D3721"/>
    <hyperlink ref="I124" location="'Op%20Detail'!D5712" display="'Op%20Detail'!D5712"/>
    <hyperlink ref="I127" location="'Op%20Detail'!D5752" display="'Op%20Detail'!D5752"/>
    <hyperlink ref="I169" location="'Op%20Detail'!D1730" display="'Op%20Detail'!D1730"/>
    <hyperlink ref="I172" location="'Op%20Detail'!D1769" display="'Op%20Detail'!D1769"/>
    <hyperlink ref="I180" location="'Op%20Detail'!D1822" display="'Op%20Detail'!D1822"/>
    <hyperlink ref="I192" location="'Op%20Detail'!D1608" display="'Op%20Detail'!D1608"/>
    <hyperlink ref="I195" location="'Op%20Detail'!D4113" display="'Op%20Detail'!D4113"/>
    <hyperlink ref="I198" location="'Op%20Detail'!D4140" display="'Op%20Detail'!D4140"/>
    <hyperlink ref="I201" location="'Op%20Detail'!D3476" display="'Op%20Detail'!D3476"/>
    <hyperlink ref="I205" location="'Op%20Detail'!D220" display="'Op%20Detail'!D220"/>
    <hyperlink ref="I211" location="'Op%20Detail'!D272" display="'Op%20Detail'!D272"/>
    <hyperlink ref="I213" location="'Op%20Detail'!D298" display="'Op%20Detail'!D298"/>
    <hyperlink ref="I224" location="'Op%20Detail'!D401" display="'Op%20Detail'!D401"/>
    <hyperlink ref="I230" location="'Op%20Detail'!D1159" display="'Op%20Detail'!D1159"/>
    <hyperlink ref="I232" location="'Op%20Detail'!D443" display="'Op%20Detail'!D443"/>
    <hyperlink ref="I236" location="'Op%20Detail'!D487" display="'Op%20Detail'!D487"/>
    <hyperlink ref="I320" location="'Op%20Detail'!D16" display="'Op%20Detail'!D16"/>
    <hyperlink ref="I327" location="'Op%20Detail'!D1688" display="'Op%20Detail'!D1688"/>
    <hyperlink ref="I330" location="'Op%20Detail'!D61" display="'Op%20Detail'!D61"/>
    <hyperlink ref="I351" location="'Op%20Detail'!D3440" display="'Op%20Detail'!D3440"/>
    <hyperlink ref="I353" location="'Op%20Detail'!D1191" display="'Op%20Detail'!D1191"/>
    <hyperlink ref="I356" location="'Op%20Detail'!D1221" display="'Op%20Detail'!D1221"/>
    <hyperlink ref="I362" location="'Op%20Detail'!E5962" display="'Op%20Detail'!E5962"/>
    <hyperlink ref="I382" location="'Op%20Detail'!D1365" display="'Op%20Detail'!D1365"/>
    <hyperlink ref="I391" location="'Op%20Detail'!D1463" display="'Op%20Detail'!D1463"/>
    <hyperlink ref="I394" location="'Op%20Detail'!D1423" display="'Op%20Detail'!D1423"/>
    <hyperlink ref="I399" location="'Op%20Detail'!D1518" display="'Op%20Detail'!D1518"/>
    <hyperlink ref="I422" location="'Op%20Detail'!D1632" display="'Op%20Detail'!D1632"/>
    <hyperlink ref="I450" location="'Op%20Detail'!D4374" display="'Op%20Detail'!D4374"/>
    <hyperlink ref="I528" location="'Op%20Detail'!D4581" display="'Op%20Detail'!D4581"/>
    <hyperlink ref="I539" location="'Op%20Detail'!D4911" display="'Op%20Detail'!D4911"/>
    <hyperlink ref="I598" location="'Op%20Detail'!F2600" display="'Op%20Detail'!F2600"/>
    <hyperlink ref="I618" location="'Op%20Detail'!E4113" display="'Op%20Detail'!E4113"/>
    <hyperlink ref="I717" location="'Op%20Detail'!F2816" display="'Op%20Detail'!F2816"/>
    <hyperlink ref="I722" location="'Op%20Detail'!D3360" display="'Op%20Detail'!D3360"/>
    <hyperlink ref="I725" location="'Op%20Detail'!E2775" display="'Op%20Detail'!E2775"/>
    <hyperlink ref="I728" location="'Op%20Detail'!F4113" display="'Op%20Detail'!F4113"/>
    <hyperlink ref="I773" location="'Op%20Detail'!D4488" display="'Op%20Detail'!D4488"/>
    <hyperlink ref="I905" location="'Op%20Detail'!D5257" display="'Op%20Detail'!D5257"/>
    <hyperlink ref="M43" location="'Op%20Detail'!D5105" display="'Op%20Detail'!D5105"/>
    <hyperlink ref="M45" location="'Op%20Detail'!D2184" display="'Op%20Detail'!D2184"/>
    <hyperlink ref="M49" location="'Op%20Detail'!D2249" display="'Op%20Detail'!D2249"/>
    <hyperlink ref="M53" location="'Op%20Detail'!D2270" display="'Op%20Detail'!D2270"/>
    <hyperlink ref="M55" location="'Op%20Detail'!D2308" display="'Op%20Detail'!D2308"/>
    <hyperlink ref="M59" location="'Op%20Detail'!G2950" display="'Op%20Detail'!G2950"/>
    <hyperlink ref="M94" location="'Op%20Detail'!D3755" display="'Op%20Detail'!D3755"/>
    <hyperlink ref="M98" location="'Op%20Detail'!D3861" display="'Op%20Detail'!D3861"/>
    <hyperlink ref="M100" location="'Op%20Detail'!D3826" display="'Op%20Detail'!D3826"/>
    <hyperlink ref="M102" location="'Op%20Detail'!D3693" display="'Op%20Detail'!D3693"/>
    <hyperlink ref="M107" location="'Op%20Detail'!D5022" display="'Op%20Detail'!D5022"/>
    <hyperlink ref="M109" location="'Op%20Detail'!D5052" display="'Op%20Detail'!D5052"/>
    <hyperlink ref="M115" location="'Op%20Detail'!D3926" display="'Op%20Detail'!D3926"/>
    <hyperlink ref="M117" location="'Op%20Detail'!D5078" display="'Op%20Detail'!D5078"/>
    <hyperlink ref="M119" location="'Op%20Detail'!D3721" display="'Op%20Detail'!D3721"/>
    <hyperlink ref="M124" location="'Op%20Detail'!D5712" display="'Op%20Detail'!D5712"/>
    <hyperlink ref="M127" location="'Op%20Detail'!D5752" display="'Op%20Detail'!D5752"/>
    <hyperlink ref="M169" location="'Op%20Detail'!D1730" display="'Op%20Detail'!D1730"/>
    <hyperlink ref="M172" location="'Op%20Detail'!D1769" display="'Op%20Detail'!D1769"/>
    <hyperlink ref="M180" location="'Op%20Detail'!D1822" display="'Op%20Detail'!D1822"/>
    <hyperlink ref="M192" location="'Op%20Detail'!D1608" display="'Op%20Detail'!D1608"/>
    <hyperlink ref="M195" location="'Op%20Detail'!D4113" display="'Op%20Detail'!D4113"/>
    <hyperlink ref="M198" location="'Op%20Detail'!D4140" display="'Op%20Detail'!D4140"/>
    <hyperlink ref="M201" location="'Op%20Detail'!D3476" display="'Op%20Detail'!D3476"/>
    <hyperlink ref="M205" location="'Op%20Detail'!D220" display="'Op%20Detail'!D220"/>
    <hyperlink ref="M211" location="'Op%20Detail'!D272" display="'Op%20Detail'!D272"/>
    <hyperlink ref="M213" location="'Op%20Detail'!D298" display="'Op%20Detail'!D298"/>
    <hyperlink ref="M224" location="'Op%20Detail'!D401" display="'Op%20Detail'!D401"/>
    <hyperlink ref="M230" location="'Op%20Detail'!D1159" display="'Op%20Detail'!D1159"/>
    <hyperlink ref="M232" location="'Op%20Detail'!D443" display="'Op%20Detail'!D443"/>
    <hyperlink ref="M236" location="'Op%20Detail'!D487" display="'Op%20Detail'!D487"/>
    <hyperlink ref="M320" location="'Op%20Detail'!D16" display="'Op%20Detail'!D16"/>
    <hyperlink ref="M327" location="'Op%20Detail'!D1688" display="'Op%20Detail'!D1688"/>
    <hyperlink ref="M330" location="'Op%20Detail'!D61" display="'Op%20Detail'!D61"/>
    <hyperlink ref="M351" location="'Op%20Detail'!D3440" display="'Op%20Detail'!D3440"/>
    <hyperlink ref="M353" location="'Op%20Detail'!D1191" display="'Op%20Detail'!D1191"/>
    <hyperlink ref="M356" location="'Op%20Detail'!D1221" display="'Op%20Detail'!D1221"/>
    <hyperlink ref="M362" location="'Op%20Detail'!E5962" display="'Op%20Detail'!E5962"/>
    <hyperlink ref="M382" location="'Op%20Detail'!D1365" display="'Op%20Detail'!D1365"/>
    <hyperlink ref="M391" location="'Op%20Detail'!D1463" display="'Op%20Detail'!D1463"/>
    <hyperlink ref="M394" location="'Op%20Detail'!D1423" display="'Op%20Detail'!D1423"/>
    <hyperlink ref="M399" location="'Op%20Detail'!D1518" display="'Op%20Detail'!D1518"/>
    <hyperlink ref="M422" location="'Op%20Detail'!D1632" display="'Op%20Detail'!D1632"/>
    <hyperlink ref="M450" location="'Op%20Detail'!D4374" display="'Op%20Detail'!D4374"/>
    <hyperlink ref="M528" location="'Op%20Detail'!D4581" display="'Op%20Detail'!D4581"/>
    <hyperlink ref="M539" location="'Op%20Detail'!D4911" display="'Op%20Detail'!D4911"/>
    <hyperlink ref="M598" location="'Op%20Detail'!F2600" display="'Op%20Detail'!F2600"/>
    <hyperlink ref="M618" location="'Op%20Detail'!E4113" display="'Op%20Detail'!E4113"/>
    <hyperlink ref="M717" location="'Op%20Detail'!F2816" display="'Op%20Detail'!F2816"/>
    <hyperlink ref="M722" location="'Op%20Detail'!D3360" display="'Op%20Detail'!D3360"/>
    <hyperlink ref="M725" location="'Op%20Detail'!E2775" display="'Op%20Detail'!E2775"/>
    <hyperlink ref="M728" location="'Op%20Detail'!F4113" display="'Op%20Detail'!F4113"/>
    <hyperlink ref="M773" location="'Op%20Detail'!D4488" display="'Op%20Detail'!D4488"/>
    <hyperlink ref="M905" location="'Op%20Detail'!D5257" display="'Op%20Detail'!D5257"/>
    <hyperlink ref="I359" location="'Op%20Detail'!E5962" display="'Op%20Detail'!E5962"/>
    <hyperlink ref="M359" location="'Op%20Detail'!E5962" display="'Op%20Detail'!E5962"/>
  </hyperlinks>
  <printOptions horizontalCentered="1"/>
  <pageMargins left="0.7" right="0.7" top="0.75" bottom="0.75" header="0.3" footer="0.3"/>
  <pageSetup scale="71" fitToHeight="100" orientation="landscape" r:id="rId2"/>
  <headerFooter alignWithMargins="0">
    <oddHeader>&amp;C&amp;"Arial,Bold"SWTJC DRAFT OPERATING BUDGET FY 2014 SALARY AND OPERATING EXPENDITURES</oddHeader>
    <oddFooter>&amp;C&amp;P</oddFooter>
  </headerFooter>
  <rowBreaks count="24" manualBreakCount="24">
    <brk id="39" max="16383" man="1"/>
    <brk id="74" max="16383" man="1"/>
    <brk id="109" max="16383" man="1"/>
    <brk id="149" max="17" man="1"/>
    <brk id="187" max="17" man="1"/>
    <brk id="221" max="16383" man="1"/>
    <brk id="259" max="16383" man="1"/>
    <brk id="297" max="16383" man="1"/>
    <brk id="335" max="17" man="1"/>
    <brk id="375" max="16383" man="1"/>
    <brk id="411" max="16383" man="1"/>
    <brk id="443" max="16383" man="1"/>
    <brk id="474" max="16383" man="1"/>
    <brk id="506" max="16383" man="1"/>
    <brk id="537" max="16383" man="1"/>
    <brk id="572" max="16383" man="1"/>
    <brk id="607" max="16383" man="1"/>
    <brk id="642" max="16383" man="1"/>
    <brk id="679" max="16383" man="1"/>
    <brk id="713" max="16383" man="1"/>
    <brk id="753" max="17" man="1"/>
    <brk id="787" max="16383" man="1"/>
    <brk id="820" max="16383" man="1"/>
    <brk id="851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4">
    <tabColor indexed="11"/>
    <pageSetUpPr fitToPage="1"/>
  </sheetPr>
  <dimension ref="A2:N107"/>
  <sheetViews>
    <sheetView topLeftCell="A85" zoomScale="90" zoomScaleNormal="90" zoomScaleSheetLayoutView="100" workbookViewId="0">
      <selection activeCell="F17" sqref="F17"/>
    </sheetView>
  </sheetViews>
  <sheetFormatPr defaultRowHeight="15" x14ac:dyDescent="0.2"/>
  <cols>
    <col min="1" max="1" width="14.33203125" style="4" customWidth="1"/>
    <col min="2" max="2" width="23.88671875" style="4" customWidth="1"/>
    <col min="3" max="3" width="2.109375" style="4" customWidth="1"/>
    <col min="4" max="4" width="16.6640625" style="4" customWidth="1"/>
    <col min="5" max="5" width="2.33203125" style="4" customWidth="1"/>
    <col min="6" max="6" width="13.109375" style="4" customWidth="1"/>
    <col min="7" max="7" width="2.6640625" style="4" customWidth="1"/>
    <col min="8" max="8" width="12.6640625" style="4" customWidth="1"/>
    <col min="9" max="9" width="2.6640625" style="4" customWidth="1"/>
    <col min="10" max="10" width="12.77734375" style="4" customWidth="1"/>
    <col min="11" max="11" width="2.6640625" style="4" customWidth="1"/>
    <col min="12" max="12" width="11" style="4" bestFit="1" customWidth="1"/>
    <col min="13" max="13" width="12.44140625" style="4" bestFit="1" customWidth="1"/>
    <col min="14" max="14" width="14.5546875" style="4" bestFit="1" customWidth="1"/>
    <col min="15" max="16384" width="8.88671875" style="4"/>
  </cols>
  <sheetData>
    <row r="2" spans="1:14" x14ac:dyDescent="0.2">
      <c r="C2" s="1"/>
    </row>
    <row r="3" spans="1:14" x14ac:dyDescent="0.2">
      <c r="F3" s="12"/>
      <c r="H3" s="1"/>
    </row>
    <row r="4" spans="1:14" x14ac:dyDescent="0.2">
      <c r="D4" s="21" t="s">
        <v>208</v>
      </c>
      <c r="F4" s="20" t="s">
        <v>2915</v>
      </c>
      <c r="H4" s="20" t="s">
        <v>2881</v>
      </c>
      <c r="J4" s="20" t="s">
        <v>652</v>
      </c>
    </row>
    <row r="5" spans="1:14" x14ac:dyDescent="0.2">
      <c r="D5" s="22"/>
      <c r="F5" s="16"/>
      <c r="H5" s="23"/>
      <c r="J5" s="16"/>
    </row>
    <row r="6" spans="1:14" x14ac:dyDescent="0.2">
      <c r="A6" s="7" t="s">
        <v>187</v>
      </c>
      <c r="F6" s="35"/>
      <c r="G6" s="6"/>
      <c r="H6" s="6"/>
      <c r="I6" s="6"/>
      <c r="J6" s="6"/>
    </row>
    <row r="7" spans="1:14" x14ac:dyDescent="0.2">
      <c r="A7" s="7" t="s">
        <v>188</v>
      </c>
      <c r="D7" s="2" t="s">
        <v>589</v>
      </c>
      <c r="F7" s="247">
        <f>6543900-1045745</f>
        <v>5498155</v>
      </c>
      <c r="G7" s="69"/>
      <c r="H7" s="247">
        <v>5954613</v>
      </c>
      <c r="I7" s="69"/>
      <c r="J7" s="69">
        <f>F7-H7</f>
        <v>-456458</v>
      </c>
      <c r="L7" s="176"/>
      <c r="M7" s="176"/>
      <c r="N7" s="176"/>
    </row>
    <row r="8" spans="1:14" ht="15.75" x14ac:dyDescent="0.25">
      <c r="A8" s="62" t="s">
        <v>788</v>
      </c>
      <c r="B8" s="61">
        <v>107000</v>
      </c>
      <c r="D8" s="2"/>
      <c r="F8" s="64"/>
      <c r="G8" s="17"/>
      <c r="H8" s="64"/>
      <c r="I8" s="17"/>
      <c r="J8" s="17"/>
      <c r="L8" s="177"/>
      <c r="M8" s="178"/>
      <c r="N8" s="179"/>
    </row>
    <row r="9" spans="1:14" ht="15.75" x14ac:dyDescent="0.25">
      <c r="A9" s="62"/>
      <c r="B9" s="135" t="s">
        <v>342</v>
      </c>
      <c r="D9" s="2"/>
      <c r="F9" s="248"/>
      <c r="G9" s="17"/>
      <c r="H9" s="248"/>
      <c r="I9" s="17"/>
      <c r="J9" s="17"/>
      <c r="L9" s="177"/>
      <c r="M9" s="178"/>
      <c r="N9" s="179"/>
    </row>
    <row r="10" spans="1:14" x14ac:dyDescent="0.2">
      <c r="A10" s="2" t="s">
        <v>567</v>
      </c>
      <c r="F10" s="64"/>
      <c r="G10" s="18"/>
      <c r="H10" s="64"/>
      <c r="I10" s="18"/>
      <c r="J10" s="18"/>
      <c r="L10" s="312"/>
      <c r="M10" s="313"/>
      <c r="N10" s="314"/>
    </row>
    <row r="11" spans="1:14" x14ac:dyDescent="0.2">
      <c r="B11" s="2" t="s">
        <v>2876</v>
      </c>
      <c r="D11" s="2" t="s">
        <v>590</v>
      </c>
      <c r="F11" s="64">
        <v>880000</v>
      </c>
      <c r="G11" s="17"/>
      <c r="H11" s="64">
        <v>676000</v>
      </c>
      <c r="I11" s="17"/>
      <c r="J11" s="17">
        <f t="shared" ref="J11:J25" si="0">F11-H11</f>
        <v>204000</v>
      </c>
      <c r="L11" s="315"/>
      <c r="M11" s="316"/>
      <c r="N11" s="314"/>
    </row>
    <row r="12" spans="1:14" x14ac:dyDescent="0.2">
      <c r="B12" s="2" t="s">
        <v>438</v>
      </c>
      <c r="D12" s="2" t="s">
        <v>591</v>
      </c>
      <c r="F12" s="64">
        <v>907500</v>
      </c>
      <c r="G12" s="17"/>
      <c r="H12" s="64">
        <v>858000</v>
      </c>
      <c r="I12" s="17"/>
      <c r="J12" s="17">
        <f t="shared" si="0"/>
        <v>49500</v>
      </c>
      <c r="L12" s="317"/>
      <c r="M12" s="317"/>
      <c r="N12" s="317"/>
    </row>
    <row r="13" spans="1:14" x14ac:dyDescent="0.2">
      <c r="B13" s="2" t="s">
        <v>439</v>
      </c>
      <c r="D13" s="2" t="s">
        <v>592</v>
      </c>
      <c r="F13" s="64">
        <v>350000</v>
      </c>
      <c r="G13" s="17"/>
      <c r="H13" s="64">
        <v>426400</v>
      </c>
      <c r="I13" s="17"/>
      <c r="J13" s="17">
        <f t="shared" si="0"/>
        <v>-76400</v>
      </c>
      <c r="L13" s="102"/>
      <c r="M13" s="56"/>
    </row>
    <row r="14" spans="1:14" x14ac:dyDescent="0.2">
      <c r="B14" s="2" t="s">
        <v>440</v>
      </c>
      <c r="D14" s="2" t="s">
        <v>593</v>
      </c>
      <c r="F14" s="64">
        <v>8500</v>
      </c>
      <c r="G14" s="17"/>
      <c r="H14" s="64">
        <v>10000</v>
      </c>
      <c r="I14" s="17"/>
      <c r="J14" s="17">
        <f t="shared" si="0"/>
        <v>-1500</v>
      </c>
    </row>
    <row r="15" spans="1:14" x14ac:dyDescent="0.2">
      <c r="B15" s="2" t="s">
        <v>714</v>
      </c>
      <c r="D15" s="2" t="s">
        <v>594</v>
      </c>
      <c r="F15" s="64">
        <v>4197600</v>
      </c>
      <c r="G15" s="17"/>
      <c r="H15" s="64">
        <v>3663493</v>
      </c>
      <c r="I15" s="17"/>
      <c r="J15" s="17">
        <f t="shared" si="0"/>
        <v>534107</v>
      </c>
    </row>
    <row r="16" spans="1:14" x14ac:dyDescent="0.2">
      <c r="B16" s="2" t="s">
        <v>715</v>
      </c>
      <c r="D16" s="2" t="s">
        <v>595</v>
      </c>
      <c r="F16" s="492">
        <f>-1330948+0</f>
        <v>-1330948</v>
      </c>
      <c r="G16" s="17"/>
      <c r="H16" s="64">
        <v>35000</v>
      </c>
      <c r="I16" s="17"/>
      <c r="J16" s="17">
        <f t="shared" si="0"/>
        <v>-1365948</v>
      </c>
    </row>
    <row r="17" spans="1:14" x14ac:dyDescent="0.2">
      <c r="B17" s="2" t="s">
        <v>716</v>
      </c>
      <c r="D17" s="2" t="s">
        <v>606</v>
      </c>
      <c r="F17" s="64">
        <v>135000</v>
      </c>
      <c r="G17" s="17"/>
      <c r="H17" s="64">
        <v>130000</v>
      </c>
      <c r="I17" s="17"/>
      <c r="J17" s="17">
        <f t="shared" si="0"/>
        <v>5000</v>
      </c>
    </row>
    <row r="18" spans="1:14" x14ac:dyDescent="0.2">
      <c r="B18" s="2" t="s">
        <v>717</v>
      </c>
      <c r="D18" s="2" t="s">
        <v>607</v>
      </c>
      <c r="F18" s="64">
        <v>25000</v>
      </c>
      <c r="G18" s="17"/>
      <c r="H18" s="64">
        <v>24000</v>
      </c>
      <c r="I18" s="17"/>
      <c r="J18" s="17">
        <f t="shared" si="0"/>
        <v>1000</v>
      </c>
    </row>
    <row r="19" spans="1:14" x14ac:dyDescent="0.2">
      <c r="B19" s="2" t="s">
        <v>718</v>
      </c>
      <c r="D19" s="2" t="s">
        <v>608</v>
      </c>
      <c r="F19" s="64">
        <v>12000</v>
      </c>
      <c r="G19" s="17"/>
      <c r="H19" s="64">
        <v>9000</v>
      </c>
      <c r="I19" s="17"/>
      <c r="J19" s="17">
        <f t="shared" si="0"/>
        <v>3000</v>
      </c>
      <c r="L19" s="30"/>
    </row>
    <row r="20" spans="1:14" x14ac:dyDescent="0.2">
      <c r="B20" s="74" t="s">
        <v>1988</v>
      </c>
      <c r="D20" s="2" t="s">
        <v>2888</v>
      </c>
      <c r="F20" s="64">
        <v>125000</v>
      </c>
      <c r="G20" s="17"/>
      <c r="H20" s="64">
        <v>80000</v>
      </c>
      <c r="I20" s="17"/>
      <c r="J20" s="17">
        <f t="shared" si="0"/>
        <v>45000</v>
      </c>
      <c r="L20" s="30"/>
    </row>
    <row r="21" spans="1:14" x14ac:dyDescent="0.2">
      <c r="B21" s="74" t="s">
        <v>2714</v>
      </c>
      <c r="D21" s="2" t="s">
        <v>2889</v>
      </c>
      <c r="F21" s="64">
        <v>1430000</v>
      </c>
      <c r="G21" s="17"/>
      <c r="H21" s="64">
        <v>1381813</v>
      </c>
      <c r="I21" s="17"/>
      <c r="J21" s="17">
        <f t="shared" si="0"/>
        <v>48187</v>
      </c>
      <c r="L21" s="30"/>
    </row>
    <row r="22" spans="1:14" x14ac:dyDescent="0.2">
      <c r="B22" s="74" t="s">
        <v>2886</v>
      </c>
      <c r="D22" s="2" t="s">
        <v>2887</v>
      </c>
      <c r="F22" s="64">
        <v>30600</v>
      </c>
      <c r="G22" s="17"/>
      <c r="H22" s="64">
        <v>30600</v>
      </c>
      <c r="I22" s="17"/>
      <c r="J22" s="17">
        <f t="shared" si="0"/>
        <v>0</v>
      </c>
      <c r="L22" s="30"/>
    </row>
    <row r="23" spans="1:14" x14ac:dyDescent="0.2">
      <c r="B23" s="74" t="s">
        <v>2715</v>
      </c>
      <c r="D23" s="2" t="s">
        <v>2890</v>
      </c>
      <c r="F23" s="64">
        <v>130000</v>
      </c>
      <c r="G23" s="17"/>
      <c r="H23" s="64">
        <v>120000</v>
      </c>
      <c r="I23" s="17"/>
      <c r="J23" s="17">
        <f t="shared" si="0"/>
        <v>10000</v>
      </c>
      <c r="L23" s="30"/>
    </row>
    <row r="24" spans="1:14" x14ac:dyDescent="0.2">
      <c r="C24" s="2" t="s">
        <v>342</v>
      </c>
      <c r="F24" s="65"/>
      <c r="G24" s="18"/>
      <c r="H24" s="65"/>
      <c r="I24" s="18"/>
      <c r="J24" s="18"/>
      <c r="L24" s="30"/>
    </row>
    <row r="25" spans="1:14" x14ac:dyDescent="0.2">
      <c r="A25" s="2" t="s">
        <v>568</v>
      </c>
      <c r="C25" s="2"/>
      <c r="D25" s="2" t="s">
        <v>2895</v>
      </c>
      <c r="F25" s="65">
        <v>-900000</v>
      </c>
      <c r="G25" s="18"/>
      <c r="H25" s="65">
        <v>-810000</v>
      </c>
      <c r="I25" s="18"/>
      <c r="J25" s="17">
        <f t="shared" si="0"/>
        <v>-90000</v>
      </c>
      <c r="L25" s="30"/>
      <c r="M25" s="78"/>
    </row>
    <row r="26" spans="1:14" x14ac:dyDescent="0.2">
      <c r="D26" s="30"/>
      <c r="F26" s="65"/>
      <c r="G26" s="18"/>
      <c r="H26" s="65"/>
      <c r="I26" s="18" t="s">
        <v>342</v>
      </c>
      <c r="J26" s="18"/>
    </row>
    <row r="27" spans="1:14" x14ac:dyDescent="0.2">
      <c r="A27" s="2" t="s">
        <v>571</v>
      </c>
      <c r="F27" s="64"/>
      <c r="G27" s="17"/>
      <c r="H27" s="64"/>
      <c r="I27" s="17"/>
      <c r="J27" s="18"/>
    </row>
    <row r="28" spans="1:14" x14ac:dyDescent="0.2">
      <c r="A28" s="2"/>
      <c r="B28" s="4" t="s">
        <v>722</v>
      </c>
      <c r="D28" s="2" t="s">
        <v>615</v>
      </c>
      <c r="F28" s="362">
        <v>164400</v>
      </c>
      <c r="G28" s="17"/>
      <c r="H28" s="32">
        <v>213700</v>
      </c>
      <c r="I28" s="17"/>
      <c r="J28" s="17">
        <f t="shared" ref="J28:J34" si="1">F28-H28</f>
        <v>-49300</v>
      </c>
      <c r="M28" s="36"/>
      <c r="N28" s="14"/>
    </row>
    <row r="29" spans="1:14" x14ac:dyDescent="0.2">
      <c r="A29" s="2"/>
      <c r="B29" s="4" t="s">
        <v>723</v>
      </c>
      <c r="D29" s="2" t="s">
        <v>615</v>
      </c>
      <c r="F29" s="362">
        <v>36700</v>
      </c>
      <c r="G29" s="17"/>
      <c r="H29" s="32">
        <v>50500</v>
      </c>
      <c r="I29" s="17"/>
      <c r="J29" s="17">
        <f t="shared" si="1"/>
        <v>-13800</v>
      </c>
      <c r="M29" s="36"/>
      <c r="N29" s="14"/>
    </row>
    <row r="30" spans="1:14" x14ac:dyDescent="0.2">
      <c r="A30" s="2"/>
      <c r="B30" s="4" t="s">
        <v>724</v>
      </c>
      <c r="D30" s="2" t="s">
        <v>615</v>
      </c>
      <c r="F30" s="362">
        <v>573200</v>
      </c>
      <c r="G30" s="17"/>
      <c r="H30" s="32">
        <v>617650</v>
      </c>
      <c r="I30" s="17"/>
      <c r="J30" s="17">
        <f t="shared" si="1"/>
        <v>-44450</v>
      </c>
      <c r="M30" s="36"/>
      <c r="N30" s="14"/>
    </row>
    <row r="31" spans="1:14" x14ac:dyDescent="0.2">
      <c r="A31" s="2"/>
      <c r="B31" s="7" t="s">
        <v>2038</v>
      </c>
      <c r="D31" s="2" t="s">
        <v>615</v>
      </c>
      <c r="F31" s="362">
        <f>134480+280000</f>
        <v>414480</v>
      </c>
      <c r="G31" s="17"/>
      <c r="H31" s="32">
        <v>138740</v>
      </c>
      <c r="I31" s="17"/>
      <c r="J31" s="17">
        <f t="shared" si="1"/>
        <v>275740</v>
      </c>
      <c r="M31" s="36"/>
      <c r="N31" s="14"/>
    </row>
    <row r="32" spans="1:14" x14ac:dyDescent="0.2">
      <c r="A32" s="2"/>
      <c r="B32" s="4" t="s">
        <v>725</v>
      </c>
      <c r="D32" s="2" t="s">
        <v>615</v>
      </c>
      <c r="F32" s="362">
        <f>36000+66400+14500</f>
        <v>116900</v>
      </c>
      <c r="G32" s="17"/>
      <c r="H32" s="32">
        <v>177757</v>
      </c>
      <c r="I32" s="17"/>
      <c r="J32" s="17">
        <f t="shared" si="1"/>
        <v>-60857</v>
      </c>
      <c r="M32" s="36"/>
      <c r="N32" s="14"/>
    </row>
    <row r="33" spans="1:14" x14ac:dyDescent="0.2">
      <c r="A33" s="2"/>
      <c r="B33" s="4" t="s">
        <v>1066</v>
      </c>
      <c r="D33" s="2" t="s">
        <v>615</v>
      </c>
      <c r="F33" s="362">
        <v>20780</v>
      </c>
      <c r="G33" s="17"/>
      <c r="H33" s="32">
        <v>23340</v>
      </c>
      <c r="I33" s="17"/>
      <c r="J33" s="17">
        <f t="shared" si="1"/>
        <v>-2560</v>
      </c>
      <c r="M33" s="36"/>
      <c r="N33" s="14"/>
    </row>
    <row r="34" spans="1:14" x14ac:dyDescent="0.2">
      <c r="A34" s="2"/>
      <c r="B34" s="7" t="s">
        <v>2039</v>
      </c>
      <c r="D34" s="2" t="s">
        <v>615</v>
      </c>
      <c r="F34" s="363">
        <v>92720</v>
      </c>
      <c r="G34" s="66"/>
      <c r="H34" s="249">
        <v>113280</v>
      </c>
      <c r="I34" s="66"/>
      <c r="J34" s="66">
        <f t="shared" si="1"/>
        <v>-20560</v>
      </c>
      <c r="L34" s="30"/>
    </row>
    <row r="35" spans="1:14" x14ac:dyDescent="0.2">
      <c r="B35" s="2"/>
      <c r="D35" s="2" t="s">
        <v>342</v>
      </c>
      <c r="F35" s="65"/>
      <c r="G35" s="17"/>
      <c r="H35" s="65"/>
      <c r="I35" s="17"/>
      <c r="J35" s="17"/>
      <c r="M35" s="36"/>
    </row>
    <row r="36" spans="1:14" x14ac:dyDescent="0.2">
      <c r="A36" s="7" t="s">
        <v>569</v>
      </c>
      <c r="F36" s="64"/>
      <c r="G36" s="18"/>
      <c r="H36" s="18"/>
      <c r="I36" s="18"/>
      <c r="J36" s="18"/>
    </row>
    <row r="37" spans="1:14" x14ac:dyDescent="0.2">
      <c r="B37" s="2" t="s">
        <v>719</v>
      </c>
      <c r="D37" s="2" t="s">
        <v>609</v>
      </c>
      <c r="F37" s="32">
        <v>1620000</v>
      </c>
      <c r="G37" s="17"/>
      <c r="H37" s="32">
        <v>1525000</v>
      </c>
      <c r="I37" s="17"/>
      <c r="J37" s="17">
        <f>F37-H37</f>
        <v>95000</v>
      </c>
      <c r="L37" s="103"/>
      <c r="M37" s="29"/>
    </row>
    <row r="38" spans="1:14" x14ac:dyDescent="0.2">
      <c r="B38" s="2" t="s">
        <v>720</v>
      </c>
      <c r="D38" s="2" t="s">
        <v>610</v>
      </c>
      <c r="F38" s="32">
        <v>422000</v>
      </c>
      <c r="G38" s="17"/>
      <c r="H38" s="32">
        <v>410000</v>
      </c>
      <c r="I38" s="17"/>
      <c r="J38" s="17">
        <f>F38-H38</f>
        <v>12000</v>
      </c>
      <c r="L38" s="103"/>
      <c r="M38" s="29"/>
    </row>
    <row r="39" spans="1:14" x14ac:dyDescent="0.2">
      <c r="B39" s="2" t="s">
        <v>721</v>
      </c>
      <c r="D39" s="2" t="s">
        <v>611</v>
      </c>
      <c r="F39" s="32">
        <v>425000</v>
      </c>
      <c r="G39" s="17"/>
      <c r="H39" s="32">
        <v>400000</v>
      </c>
      <c r="I39" s="17"/>
      <c r="J39" s="17">
        <f>F39-H39</f>
        <v>25000</v>
      </c>
      <c r="L39" s="103"/>
      <c r="M39" s="29"/>
    </row>
    <row r="40" spans="1:14" x14ac:dyDescent="0.2">
      <c r="B40" s="2"/>
      <c r="D40" s="2"/>
      <c r="F40" s="64"/>
      <c r="G40" s="17"/>
      <c r="H40" s="64"/>
      <c r="I40" s="17"/>
      <c r="J40" s="17"/>
    </row>
    <row r="41" spans="1:14" x14ac:dyDescent="0.2">
      <c r="A41" s="2" t="s">
        <v>570</v>
      </c>
      <c r="F41" s="64"/>
      <c r="G41" s="17"/>
      <c r="H41" s="64"/>
      <c r="I41" s="17"/>
      <c r="J41" s="17"/>
    </row>
    <row r="42" spans="1:14" x14ac:dyDescent="0.2">
      <c r="B42" s="2" t="s">
        <v>719</v>
      </c>
      <c r="D42" s="2" t="s">
        <v>612</v>
      </c>
      <c r="F42" s="64">
        <v>35000</v>
      </c>
      <c r="G42" s="17"/>
      <c r="H42" s="64">
        <v>30000</v>
      </c>
      <c r="I42" s="17"/>
      <c r="J42" s="17">
        <f>F42-H42</f>
        <v>5000</v>
      </c>
    </row>
    <row r="43" spans="1:14" x14ac:dyDescent="0.2">
      <c r="B43" s="2" t="s">
        <v>720</v>
      </c>
      <c r="D43" s="2" t="s">
        <v>613</v>
      </c>
      <c r="F43" s="64">
        <v>12000</v>
      </c>
      <c r="G43" s="17"/>
      <c r="H43" s="64">
        <v>6000</v>
      </c>
      <c r="I43" s="17"/>
      <c r="J43" s="17">
        <f>F43-H43</f>
        <v>6000</v>
      </c>
    </row>
    <row r="44" spans="1:14" x14ac:dyDescent="0.2">
      <c r="B44" s="2" t="s">
        <v>721</v>
      </c>
      <c r="D44" s="2" t="s">
        <v>614</v>
      </c>
      <c r="F44" s="64">
        <v>7000</v>
      </c>
      <c r="G44" s="17"/>
      <c r="H44" s="64">
        <v>2000</v>
      </c>
      <c r="I44" s="17"/>
      <c r="J44" s="17">
        <f>F44-H44</f>
        <v>5000</v>
      </c>
    </row>
    <row r="45" spans="1:14" x14ac:dyDescent="0.2">
      <c r="A45" s="6"/>
      <c r="B45" s="6"/>
      <c r="C45" s="6"/>
      <c r="D45" s="6"/>
      <c r="E45" s="6"/>
      <c r="F45" s="64"/>
      <c r="G45" s="17"/>
      <c r="H45" s="64"/>
      <c r="I45" s="17"/>
      <c r="J45" s="17"/>
      <c r="K45" s="6"/>
    </row>
    <row r="46" spans="1:14" x14ac:dyDescent="0.2">
      <c r="A46" s="7" t="s">
        <v>1095</v>
      </c>
      <c r="F46" s="249"/>
      <c r="G46" s="18"/>
      <c r="H46" s="249"/>
      <c r="I46" s="18"/>
      <c r="J46" s="66"/>
    </row>
    <row r="47" spans="1:14" x14ac:dyDescent="0.2">
      <c r="A47" s="7" t="s">
        <v>182</v>
      </c>
      <c r="D47" s="2" t="s">
        <v>726</v>
      </c>
      <c r="F47" s="64">
        <v>7311744</v>
      </c>
      <c r="G47" s="17"/>
      <c r="H47" s="64">
        <v>6422247</v>
      </c>
      <c r="I47" s="17"/>
      <c r="J47" s="17">
        <f>F47-H47</f>
        <v>889497</v>
      </c>
      <c r="L47" s="276"/>
      <c r="M47" s="30"/>
    </row>
    <row r="48" spans="1:14" x14ac:dyDescent="0.2">
      <c r="A48" s="7" t="s">
        <v>183</v>
      </c>
      <c r="D48" s="2" t="s">
        <v>727</v>
      </c>
      <c r="F48" s="64"/>
      <c r="G48" s="17"/>
      <c r="H48" s="64"/>
      <c r="I48" s="17"/>
      <c r="J48" s="17">
        <f>F48-H48</f>
        <v>0</v>
      </c>
    </row>
    <row r="49" spans="1:12" x14ac:dyDescent="0.2">
      <c r="A49" s="181" t="s">
        <v>2757</v>
      </c>
      <c r="B49" s="34"/>
      <c r="C49" s="34"/>
      <c r="D49" s="25"/>
      <c r="E49" s="34"/>
      <c r="F49" s="64"/>
      <c r="G49" s="174"/>
      <c r="H49" s="64"/>
      <c r="I49" s="17"/>
      <c r="J49" s="17">
        <f>F49-H49</f>
        <v>0</v>
      </c>
    </row>
    <row r="50" spans="1:12" x14ac:dyDescent="0.2">
      <c r="A50" s="7" t="s">
        <v>184</v>
      </c>
      <c r="D50" s="2" t="s">
        <v>728</v>
      </c>
      <c r="F50" s="64">
        <v>1154648</v>
      </c>
      <c r="G50" s="17"/>
      <c r="H50" s="64">
        <v>893961</v>
      </c>
      <c r="I50" s="17"/>
      <c r="J50" s="17">
        <f>F50-H50</f>
        <v>260687</v>
      </c>
    </row>
    <row r="51" spans="1:12" x14ac:dyDescent="0.2">
      <c r="A51" s="2" t="s">
        <v>558</v>
      </c>
      <c r="D51" s="2" t="s">
        <v>729</v>
      </c>
      <c r="F51" s="64">
        <v>460000</v>
      </c>
      <c r="G51" s="17"/>
      <c r="H51" s="64">
        <v>438418</v>
      </c>
      <c r="I51" s="17"/>
      <c r="J51" s="17">
        <f>F51-H51</f>
        <v>21582</v>
      </c>
    </row>
    <row r="52" spans="1:12" x14ac:dyDescent="0.2">
      <c r="F52" s="64"/>
      <c r="G52" s="17"/>
      <c r="H52" s="64"/>
      <c r="I52" s="17"/>
      <c r="J52" s="17"/>
    </row>
    <row r="53" spans="1:12" x14ac:dyDescent="0.2">
      <c r="A53" s="4" t="s">
        <v>1094</v>
      </c>
      <c r="F53" s="64"/>
      <c r="G53" s="17"/>
      <c r="H53" s="64"/>
      <c r="I53" s="17"/>
      <c r="J53" s="17"/>
    </row>
    <row r="54" spans="1:12" x14ac:dyDescent="0.2">
      <c r="A54" s="33" t="s">
        <v>559</v>
      </c>
      <c r="B54" s="34"/>
      <c r="C54" s="34"/>
      <c r="D54" s="25" t="s">
        <v>730</v>
      </c>
      <c r="E54" s="34"/>
      <c r="F54" s="346">
        <v>122602</v>
      </c>
      <c r="G54" s="32"/>
      <c r="H54" s="64">
        <v>122602</v>
      </c>
      <c r="I54" s="32"/>
      <c r="J54" s="32">
        <f t="shared" ref="J54:J61" si="2">F54-H54</f>
        <v>0</v>
      </c>
    </row>
    <row r="55" spans="1:12" x14ac:dyDescent="0.2">
      <c r="A55" s="25" t="s">
        <v>560</v>
      </c>
      <c r="B55" s="34"/>
      <c r="C55" s="34"/>
      <c r="D55" s="25" t="s">
        <v>731</v>
      </c>
      <c r="E55" s="34"/>
      <c r="F55" s="346">
        <v>32205</v>
      </c>
      <c r="G55" s="32"/>
      <c r="H55" s="64">
        <v>32205</v>
      </c>
      <c r="I55" s="32"/>
      <c r="J55" s="32">
        <f t="shared" si="2"/>
        <v>0</v>
      </c>
    </row>
    <row r="56" spans="1:12" x14ac:dyDescent="0.2">
      <c r="A56" s="25" t="s">
        <v>563</v>
      </c>
      <c r="B56" s="34"/>
      <c r="C56" s="34"/>
      <c r="D56" s="25" t="s">
        <v>732</v>
      </c>
      <c r="E56" s="34"/>
      <c r="F56" s="346"/>
      <c r="G56" s="32"/>
      <c r="H56" s="64"/>
      <c r="I56" s="32"/>
      <c r="J56" s="32">
        <f t="shared" si="2"/>
        <v>0</v>
      </c>
    </row>
    <row r="57" spans="1:12" x14ac:dyDescent="0.2">
      <c r="A57" s="25" t="s">
        <v>564</v>
      </c>
      <c r="B57" s="34"/>
      <c r="C57" s="34"/>
      <c r="D57" s="25" t="s">
        <v>583</v>
      </c>
      <c r="E57" s="34"/>
      <c r="F57" s="346">
        <v>62130</v>
      </c>
      <c r="G57" s="32"/>
      <c r="H57" s="64">
        <v>62130</v>
      </c>
      <c r="I57" s="32"/>
      <c r="J57" s="32">
        <f t="shared" si="2"/>
        <v>0</v>
      </c>
      <c r="L57" s="30"/>
    </row>
    <row r="58" spans="1:12" x14ac:dyDescent="0.2">
      <c r="A58" s="33" t="s">
        <v>565</v>
      </c>
      <c r="B58" s="34"/>
      <c r="C58" s="34"/>
      <c r="D58" s="25" t="s">
        <v>584</v>
      </c>
      <c r="E58" s="34"/>
      <c r="F58" s="346">
        <v>646017</v>
      </c>
      <c r="G58" s="32"/>
      <c r="H58" s="64">
        <v>646017</v>
      </c>
      <c r="I58" s="32"/>
      <c r="J58" s="32">
        <f t="shared" si="2"/>
        <v>0</v>
      </c>
    </row>
    <row r="59" spans="1:12" x14ac:dyDescent="0.2">
      <c r="A59" s="25" t="s">
        <v>199</v>
      </c>
      <c r="B59" s="34"/>
      <c r="C59" s="34"/>
      <c r="D59" s="25" t="s">
        <v>585</v>
      </c>
      <c r="E59" s="34"/>
      <c r="F59" s="346">
        <v>102000</v>
      </c>
      <c r="G59" s="32"/>
      <c r="H59" s="64">
        <v>102000</v>
      </c>
      <c r="I59" s="32"/>
      <c r="J59" s="32">
        <f t="shared" si="2"/>
        <v>0</v>
      </c>
      <c r="L59" s="30"/>
    </row>
    <row r="60" spans="1:12" x14ac:dyDescent="0.2">
      <c r="A60" s="33" t="s">
        <v>186</v>
      </c>
      <c r="B60" s="34"/>
      <c r="C60" s="34"/>
      <c r="D60" s="25" t="s">
        <v>586</v>
      </c>
      <c r="E60" s="34"/>
      <c r="F60" s="346">
        <v>300923</v>
      </c>
      <c r="G60" s="32"/>
      <c r="H60" s="64">
        <v>300923</v>
      </c>
      <c r="I60" s="32"/>
      <c r="J60" s="32">
        <f t="shared" si="2"/>
        <v>0</v>
      </c>
    </row>
    <row r="61" spans="1:12" x14ac:dyDescent="0.2">
      <c r="A61" s="33" t="s">
        <v>308</v>
      </c>
      <c r="B61" s="34"/>
      <c r="C61" s="34"/>
      <c r="D61" s="25" t="s">
        <v>587</v>
      </c>
      <c r="E61" s="34"/>
      <c r="F61" s="346">
        <v>226197</v>
      </c>
      <c r="G61" s="32"/>
      <c r="H61" s="64">
        <v>226197</v>
      </c>
      <c r="I61" s="32"/>
      <c r="J61" s="32">
        <f t="shared" si="2"/>
        <v>0</v>
      </c>
    </row>
    <row r="62" spans="1:12" x14ac:dyDescent="0.2">
      <c r="A62" s="33" t="s">
        <v>566</v>
      </c>
      <c r="B62" s="34"/>
      <c r="C62" s="34"/>
      <c r="D62" s="25" t="s">
        <v>588</v>
      </c>
      <c r="E62" s="34"/>
      <c r="F62" s="346">
        <v>246952</v>
      </c>
      <c r="G62" s="32"/>
      <c r="H62" s="64">
        <v>246952</v>
      </c>
      <c r="I62" s="32"/>
      <c r="J62" s="32">
        <f t="shared" ref="J62:J67" si="3">F62-H62</f>
        <v>0</v>
      </c>
    </row>
    <row r="63" spans="1:12" x14ac:dyDescent="0.2">
      <c r="A63" s="25" t="s">
        <v>1818</v>
      </c>
      <c r="B63" s="34"/>
      <c r="C63" s="34"/>
      <c r="D63" s="25" t="s">
        <v>816</v>
      </c>
      <c r="E63" s="34"/>
      <c r="F63" s="346"/>
      <c r="G63" s="32"/>
      <c r="H63" s="64"/>
      <c r="I63" s="32"/>
      <c r="J63" s="32">
        <f t="shared" si="3"/>
        <v>0</v>
      </c>
    </row>
    <row r="64" spans="1:12" x14ac:dyDescent="0.2">
      <c r="A64" s="25" t="s">
        <v>433</v>
      </c>
      <c r="B64" s="34"/>
      <c r="C64" s="34"/>
      <c r="D64" s="25" t="s">
        <v>434</v>
      </c>
      <c r="E64" s="34"/>
      <c r="F64" s="346">
        <v>300000</v>
      </c>
      <c r="G64" s="32"/>
      <c r="H64" s="64">
        <v>300000</v>
      </c>
      <c r="I64" s="32"/>
      <c r="J64" s="32">
        <f t="shared" si="3"/>
        <v>0</v>
      </c>
    </row>
    <row r="65" spans="1:10" x14ac:dyDescent="0.2">
      <c r="A65" s="57" t="s">
        <v>1072</v>
      </c>
      <c r="B65" s="34"/>
      <c r="C65" s="34"/>
      <c r="D65" s="324" t="s">
        <v>2908</v>
      </c>
      <c r="E65" s="34"/>
      <c r="F65" s="64"/>
      <c r="G65" s="32"/>
      <c r="H65" s="64">
        <v>0</v>
      </c>
      <c r="I65" s="32"/>
      <c r="J65" s="32">
        <f t="shared" si="3"/>
        <v>0</v>
      </c>
    </row>
    <row r="66" spans="1:10" x14ac:dyDescent="0.2">
      <c r="A66" s="89" t="s">
        <v>741</v>
      </c>
      <c r="B66" s="34"/>
      <c r="C66" s="34"/>
      <c r="D66" s="251" t="s">
        <v>2894</v>
      </c>
      <c r="E66" s="34"/>
      <c r="F66" s="64">
        <v>0</v>
      </c>
      <c r="G66" s="32"/>
      <c r="H66" s="64">
        <v>550041</v>
      </c>
      <c r="I66" s="32"/>
      <c r="J66" s="32">
        <f t="shared" si="3"/>
        <v>-550041</v>
      </c>
    </row>
    <row r="67" spans="1:10" x14ac:dyDescent="0.2">
      <c r="A67" s="104" t="s">
        <v>1989</v>
      </c>
      <c r="B67" s="34"/>
      <c r="C67" s="34"/>
      <c r="D67" s="25" t="s">
        <v>432</v>
      </c>
      <c r="E67" s="34"/>
      <c r="F67" s="64"/>
      <c r="G67" s="32"/>
      <c r="H67" s="32"/>
      <c r="I67" s="32"/>
      <c r="J67" s="32">
        <f t="shared" si="3"/>
        <v>0</v>
      </c>
    </row>
    <row r="68" spans="1:10" x14ac:dyDescent="0.2">
      <c r="F68" s="64"/>
      <c r="G68" s="18"/>
      <c r="H68" s="18"/>
      <c r="I68" s="18"/>
      <c r="J68" s="18"/>
    </row>
    <row r="69" spans="1:10" x14ac:dyDescent="0.2">
      <c r="A69" s="7" t="s">
        <v>345</v>
      </c>
      <c r="F69" s="64"/>
      <c r="G69" s="17"/>
      <c r="H69" s="17"/>
      <c r="I69" s="17"/>
      <c r="J69" s="17"/>
    </row>
    <row r="70" spans="1:10" x14ac:dyDescent="0.2">
      <c r="A70" s="7" t="s">
        <v>577</v>
      </c>
      <c r="D70" s="2" t="s">
        <v>774</v>
      </c>
      <c r="F70" s="346">
        <v>147534</v>
      </c>
      <c r="G70" s="17"/>
      <c r="H70" s="64">
        <v>147534</v>
      </c>
      <c r="I70" s="17"/>
      <c r="J70" s="17">
        <f t="shared" ref="J70:J77" si="4">F70-H70</f>
        <v>0</v>
      </c>
    </row>
    <row r="71" spans="1:10" x14ac:dyDescent="0.2">
      <c r="A71" s="7" t="s">
        <v>578</v>
      </c>
      <c r="D71" s="2" t="s">
        <v>775</v>
      </c>
      <c r="F71" s="346">
        <v>33881</v>
      </c>
      <c r="G71" s="17"/>
      <c r="H71" s="64">
        <v>33881</v>
      </c>
      <c r="I71" s="17"/>
      <c r="J71" s="17">
        <f t="shared" si="4"/>
        <v>0</v>
      </c>
    </row>
    <row r="72" spans="1:10" x14ac:dyDescent="0.2">
      <c r="A72" s="7" t="s">
        <v>97</v>
      </c>
      <c r="D72" s="2" t="s">
        <v>776</v>
      </c>
      <c r="F72" s="346">
        <v>12000000</v>
      </c>
      <c r="G72" s="17"/>
      <c r="H72" s="64">
        <v>12000000</v>
      </c>
      <c r="I72" s="17"/>
      <c r="J72" s="17">
        <f t="shared" si="4"/>
        <v>0</v>
      </c>
    </row>
    <row r="73" spans="1:10" x14ac:dyDescent="0.2">
      <c r="A73" s="7" t="s">
        <v>579</v>
      </c>
      <c r="D73" s="2" t="s">
        <v>777</v>
      </c>
      <c r="F73" s="346"/>
      <c r="G73" s="17"/>
      <c r="H73" s="64"/>
      <c r="I73" s="17"/>
      <c r="J73" s="17">
        <f t="shared" si="4"/>
        <v>0</v>
      </c>
    </row>
    <row r="74" spans="1:10" x14ac:dyDescent="0.2">
      <c r="A74" s="2" t="s">
        <v>580</v>
      </c>
      <c r="D74" s="2" t="s">
        <v>778</v>
      </c>
      <c r="F74" s="346"/>
      <c r="G74" s="17"/>
      <c r="H74" s="64"/>
      <c r="I74" s="17"/>
      <c r="J74" s="17">
        <f t="shared" si="4"/>
        <v>0</v>
      </c>
    </row>
    <row r="75" spans="1:10" x14ac:dyDescent="0.2">
      <c r="A75" s="2" t="s">
        <v>581</v>
      </c>
      <c r="D75" s="2" t="s">
        <v>779</v>
      </c>
      <c r="F75" s="345"/>
      <c r="G75" s="17"/>
      <c r="H75" s="248"/>
      <c r="I75" s="17"/>
      <c r="J75" s="17">
        <f t="shared" si="4"/>
        <v>0</v>
      </c>
    </row>
    <row r="76" spans="1:10" x14ac:dyDescent="0.2">
      <c r="A76" s="58" t="s">
        <v>605</v>
      </c>
      <c r="D76" s="2" t="s">
        <v>2893</v>
      </c>
      <c r="F76" s="345">
        <v>136913</v>
      </c>
      <c r="G76" s="17"/>
      <c r="H76" s="248">
        <v>136913</v>
      </c>
      <c r="I76" s="17"/>
      <c r="J76" s="17">
        <f t="shared" si="4"/>
        <v>0</v>
      </c>
    </row>
    <row r="77" spans="1:10" x14ac:dyDescent="0.2">
      <c r="A77" s="2" t="s">
        <v>582</v>
      </c>
      <c r="D77" s="2" t="s">
        <v>780</v>
      </c>
      <c r="F77" s="346">
        <v>435925</v>
      </c>
      <c r="G77" s="18"/>
      <c r="H77" s="64">
        <v>435925</v>
      </c>
      <c r="I77" s="18"/>
      <c r="J77" s="17">
        <f t="shared" si="4"/>
        <v>0</v>
      </c>
    </row>
    <row r="78" spans="1:10" x14ac:dyDescent="0.2">
      <c r="F78" s="65"/>
      <c r="G78" s="18"/>
      <c r="H78" s="18" t="s">
        <v>342</v>
      </c>
      <c r="I78" s="18"/>
      <c r="J78" s="18"/>
    </row>
    <row r="79" spans="1:10" x14ac:dyDescent="0.2">
      <c r="A79" s="7" t="s">
        <v>344</v>
      </c>
      <c r="F79" s="65"/>
      <c r="G79" s="17"/>
      <c r="H79" s="17" t="s">
        <v>342</v>
      </c>
      <c r="I79" s="17"/>
      <c r="J79" s="17"/>
    </row>
    <row r="80" spans="1:10" x14ac:dyDescent="0.2">
      <c r="A80" s="7" t="s">
        <v>189</v>
      </c>
      <c r="D80" s="2" t="s">
        <v>618</v>
      </c>
      <c r="F80" s="64">
        <v>1270272</v>
      </c>
      <c r="G80" s="17"/>
      <c r="H80" s="64">
        <v>1298853</v>
      </c>
      <c r="I80" s="17"/>
      <c r="J80" s="17">
        <f t="shared" ref="J80:J88" si="5">F80-H80</f>
        <v>-28581</v>
      </c>
    </row>
    <row r="81" spans="1:14" x14ac:dyDescent="0.2">
      <c r="A81" s="7" t="s">
        <v>190</v>
      </c>
      <c r="D81" s="2" t="s">
        <v>619</v>
      </c>
      <c r="F81" s="64">
        <v>142200</v>
      </c>
      <c r="G81" s="17"/>
      <c r="H81" s="64">
        <v>142200</v>
      </c>
      <c r="I81" s="17"/>
      <c r="J81" s="17">
        <f t="shared" si="5"/>
        <v>0</v>
      </c>
    </row>
    <row r="82" spans="1:14" x14ac:dyDescent="0.2">
      <c r="A82" s="7" t="s">
        <v>93</v>
      </c>
      <c r="D82" s="2" t="s">
        <v>620</v>
      </c>
      <c r="F82" s="64">
        <v>15000</v>
      </c>
      <c r="G82" s="17"/>
      <c r="H82" s="64">
        <v>15000</v>
      </c>
      <c r="I82" s="17"/>
      <c r="J82" s="17">
        <f t="shared" si="5"/>
        <v>0</v>
      </c>
    </row>
    <row r="83" spans="1:14" x14ac:dyDescent="0.2">
      <c r="A83" s="7" t="s">
        <v>94</v>
      </c>
      <c r="D83" s="2" t="s">
        <v>621</v>
      </c>
      <c r="F83" s="64">
        <v>140000</v>
      </c>
      <c r="G83" s="17"/>
      <c r="H83" s="64">
        <v>90000</v>
      </c>
      <c r="I83" s="17"/>
      <c r="J83" s="17">
        <f t="shared" si="5"/>
        <v>50000</v>
      </c>
    </row>
    <row r="84" spans="1:14" x14ac:dyDescent="0.2">
      <c r="A84" s="7" t="s">
        <v>2836</v>
      </c>
      <c r="D84" s="2" t="s">
        <v>2891</v>
      </c>
      <c r="F84" s="64">
        <v>26000</v>
      </c>
      <c r="G84" s="17"/>
      <c r="H84" s="64">
        <v>26000</v>
      </c>
      <c r="I84" s="17"/>
      <c r="J84" s="17">
        <f t="shared" si="5"/>
        <v>0</v>
      </c>
    </row>
    <row r="85" spans="1:14" x14ac:dyDescent="0.2">
      <c r="A85" s="7" t="s">
        <v>96</v>
      </c>
      <c r="D85" s="2" t="s">
        <v>769</v>
      </c>
      <c r="F85" s="64">
        <v>82000</v>
      </c>
      <c r="G85" s="17"/>
      <c r="H85" s="64">
        <v>113800</v>
      </c>
      <c r="I85" s="17"/>
      <c r="J85" s="17">
        <f t="shared" si="5"/>
        <v>-31800</v>
      </c>
    </row>
    <row r="86" spans="1:14" x14ac:dyDescent="0.2">
      <c r="A86" s="2" t="s">
        <v>573</v>
      </c>
      <c r="D86" s="2" t="s">
        <v>770</v>
      </c>
      <c r="F86" s="64">
        <v>25000</v>
      </c>
      <c r="G86" s="17"/>
      <c r="H86" s="64">
        <v>30000</v>
      </c>
      <c r="I86" s="17"/>
      <c r="J86" s="17">
        <f t="shared" si="5"/>
        <v>-5000</v>
      </c>
    </row>
    <row r="87" spans="1:14" x14ac:dyDescent="0.2">
      <c r="A87" s="2" t="s">
        <v>574</v>
      </c>
      <c r="D87" s="2" t="s">
        <v>771</v>
      </c>
      <c r="F87" s="64">
        <v>21000</v>
      </c>
      <c r="G87" s="17"/>
      <c r="H87" s="64">
        <v>45000</v>
      </c>
      <c r="I87" s="17"/>
      <c r="J87" s="17">
        <f t="shared" si="5"/>
        <v>-24000</v>
      </c>
    </row>
    <row r="88" spans="1:14" x14ac:dyDescent="0.2">
      <c r="A88" s="2" t="s">
        <v>575</v>
      </c>
      <c r="D88" s="2" t="s">
        <v>772</v>
      </c>
      <c r="F88" s="250">
        <v>140000</v>
      </c>
      <c r="G88" s="17"/>
      <c r="H88" s="250">
        <v>150000</v>
      </c>
      <c r="I88" s="17"/>
      <c r="J88" s="17">
        <f t="shared" si="5"/>
        <v>-10000</v>
      </c>
    </row>
    <row r="89" spans="1:14" x14ac:dyDescent="0.2">
      <c r="A89" s="7" t="s">
        <v>576</v>
      </c>
      <c r="D89" s="2" t="s">
        <v>773</v>
      </c>
      <c r="F89" s="64">
        <v>30000</v>
      </c>
      <c r="G89" s="17"/>
      <c r="H89" s="64">
        <v>500</v>
      </c>
      <c r="I89" s="17"/>
      <c r="J89" s="17">
        <f>F89-H89</f>
        <v>29500</v>
      </c>
    </row>
    <row r="90" spans="1:14" x14ac:dyDescent="0.2">
      <c r="A90" s="2" t="s">
        <v>1607</v>
      </c>
      <c r="D90" s="2" t="s">
        <v>616</v>
      </c>
      <c r="F90" s="64">
        <v>9000</v>
      </c>
      <c r="G90" s="17"/>
      <c r="H90" s="64">
        <v>8000</v>
      </c>
      <c r="I90" s="17"/>
      <c r="J90" s="17">
        <f>F90-H90</f>
        <v>1000</v>
      </c>
    </row>
    <row r="91" spans="1:14" x14ac:dyDescent="0.2">
      <c r="A91" s="2" t="s">
        <v>95</v>
      </c>
      <c r="D91" s="2" t="s">
        <v>617</v>
      </c>
      <c r="F91" s="64">
        <v>12000</v>
      </c>
      <c r="G91" s="17"/>
      <c r="H91" s="64">
        <v>10000</v>
      </c>
      <c r="I91" s="17"/>
      <c r="J91" s="17">
        <f>F91-H91</f>
        <v>2000</v>
      </c>
    </row>
    <row r="92" spans="1:14" x14ac:dyDescent="0.2">
      <c r="F92" s="64"/>
      <c r="G92" s="18"/>
      <c r="H92" s="18"/>
      <c r="I92" s="18"/>
      <c r="J92" s="18"/>
      <c r="L92" s="30"/>
    </row>
    <row r="93" spans="1:14" x14ac:dyDescent="0.2">
      <c r="A93" s="7" t="s">
        <v>346</v>
      </c>
      <c r="F93" s="64"/>
      <c r="G93" s="17"/>
      <c r="H93" s="17"/>
      <c r="I93" s="17"/>
      <c r="J93" s="17">
        <f t="shared" ref="J93:J103" si="6">F93-H93</f>
        <v>0</v>
      </c>
    </row>
    <row r="94" spans="1:14" x14ac:dyDescent="0.2">
      <c r="A94" s="7" t="s">
        <v>1549</v>
      </c>
      <c r="D94" s="2" t="s">
        <v>781</v>
      </c>
      <c r="F94" s="64">
        <v>330000</v>
      </c>
      <c r="G94" s="17"/>
      <c r="H94" s="64">
        <v>330000</v>
      </c>
      <c r="I94" s="17"/>
      <c r="J94" s="17">
        <f t="shared" si="6"/>
        <v>0</v>
      </c>
    </row>
    <row r="95" spans="1:14" x14ac:dyDescent="0.2">
      <c r="A95" s="7" t="s">
        <v>437</v>
      </c>
      <c r="D95" s="2" t="s">
        <v>782</v>
      </c>
      <c r="F95" s="64">
        <v>50000</v>
      </c>
      <c r="G95" s="17"/>
      <c r="H95" s="64">
        <v>0</v>
      </c>
      <c r="I95" s="17"/>
      <c r="J95" s="17">
        <f t="shared" si="6"/>
        <v>50000</v>
      </c>
    </row>
    <row r="96" spans="1:14" x14ac:dyDescent="0.2">
      <c r="A96" s="2" t="s">
        <v>3115</v>
      </c>
      <c r="D96" s="2" t="s">
        <v>2892</v>
      </c>
      <c r="F96" s="65">
        <v>80000</v>
      </c>
      <c r="G96" s="18"/>
      <c r="H96" s="65">
        <v>0</v>
      </c>
      <c r="I96" s="18"/>
      <c r="J96" s="17">
        <f t="shared" si="6"/>
        <v>80000</v>
      </c>
      <c r="N96" s="30"/>
    </row>
    <row r="97" spans="1:12" x14ac:dyDescent="0.2">
      <c r="A97" s="2" t="s">
        <v>2716</v>
      </c>
      <c r="D97" s="2" t="s">
        <v>783</v>
      </c>
      <c r="F97" s="64">
        <v>445000</v>
      </c>
      <c r="G97" s="17"/>
      <c r="H97" s="64">
        <v>445000</v>
      </c>
      <c r="I97" s="17"/>
      <c r="J97" s="17">
        <f t="shared" si="6"/>
        <v>0</v>
      </c>
    </row>
    <row r="98" spans="1:12" x14ac:dyDescent="0.2">
      <c r="A98" s="2" t="s">
        <v>2717</v>
      </c>
      <c r="D98" s="2" t="s">
        <v>784</v>
      </c>
      <c r="F98" s="64">
        <v>100000</v>
      </c>
      <c r="G98" s="17"/>
      <c r="H98" s="64">
        <v>110000</v>
      </c>
      <c r="I98" s="18"/>
      <c r="J98" s="17">
        <f t="shared" si="6"/>
        <v>-10000</v>
      </c>
    </row>
    <row r="99" spans="1:12" x14ac:dyDescent="0.2">
      <c r="A99" s="7" t="s">
        <v>1550</v>
      </c>
      <c r="D99" s="2" t="s">
        <v>789</v>
      </c>
      <c r="F99" s="64">
        <v>2500</v>
      </c>
      <c r="G99" s="17"/>
      <c r="H99" s="64">
        <v>2500</v>
      </c>
      <c r="I99" s="17"/>
      <c r="J99" s="17">
        <f t="shared" si="6"/>
        <v>0</v>
      </c>
    </row>
    <row r="100" spans="1:12" x14ac:dyDescent="0.2">
      <c r="A100" s="74" t="s">
        <v>955</v>
      </c>
      <c r="D100" s="2" t="s">
        <v>790</v>
      </c>
      <c r="F100" s="64">
        <v>20000</v>
      </c>
      <c r="G100" s="17"/>
      <c r="H100" s="64">
        <v>15000</v>
      </c>
      <c r="I100" s="17"/>
      <c r="J100" s="17">
        <f t="shared" si="6"/>
        <v>5000</v>
      </c>
    </row>
    <row r="101" spans="1:12" x14ac:dyDescent="0.2">
      <c r="A101" s="2" t="s">
        <v>205</v>
      </c>
      <c r="D101" s="2" t="s">
        <v>791</v>
      </c>
      <c r="F101" s="64">
        <v>100000</v>
      </c>
      <c r="G101" s="17"/>
      <c r="H101" s="64">
        <v>100000</v>
      </c>
      <c r="I101" s="17"/>
      <c r="J101" s="17">
        <f t="shared" si="6"/>
        <v>0</v>
      </c>
    </row>
    <row r="102" spans="1:12" x14ac:dyDescent="0.2">
      <c r="A102" s="2" t="s">
        <v>96</v>
      </c>
      <c r="B102" s="4" t="s">
        <v>342</v>
      </c>
      <c r="D102" s="2" t="s">
        <v>792</v>
      </c>
      <c r="F102" s="250">
        <v>5000</v>
      </c>
      <c r="G102" s="17"/>
      <c r="H102" s="250">
        <v>1000</v>
      </c>
      <c r="I102" s="17"/>
      <c r="J102" s="17">
        <f t="shared" si="6"/>
        <v>4000</v>
      </c>
    </row>
    <row r="103" spans="1:12" x14ac:dyDescent="0.2">
      <c r="A103" s="7" t="s">
        <v>93</v>
      </c>
      <c r="D103" s="2" t="s">
        <v>793</v>
      </c>
      <c r="F103" s="65">
        <v>2000</v>
      </c>
      <c r="G103" s="19"/>
      <c r="H103" s="65">
        <v>2000</v>
      </c>
      <c r="I103" s="19"/>
      <c r="J103" s="19">
        <f t="shared" si="6"/>
        <v>0</v>
      </c>
    </row>
    <row r="104" spans="1:12" x14ac:dyDescent="0.2">
      <c r="A104" s="9"/>
      <c r="F104" s="10"/>
      <c r="G104" s="6"/>
      <c r="H104" s="11"/>
      <c r="I104" s="6"/>
      <c r="J104" s="11"/>
    </row>
    <row r="105" spans="1:12" ht="15.75" thickBot="1" x14ac:dyDescent="0.25">
      <c r="A105" s="7" t="s">
        <v>206</v>
      </c>
      <c r="F105" s="67">
        <f>SUM(F7:F104)</f>
        <v>42205230</v>
      </c>
      <c r="G105" s="68"/>
      <c r="H105" s="67">
        <f>SUM(H7:H104)</f>
        <v>42329685</v>
      </c>
      <c r="I105" s="68"/>
      <c r="J105" s="68">
        <f>SUM(J7:J104)</f>
        <v>-124455</v>
      </c>
      <c r="L105" s="30"/>
    </row>
    <row r="106" spans="1:12" ht="15.75" thickTop="1" x14ac:dyDescent="0.2">
      <c r="F106" s="5"/>
      <c r="H106" s="5"/>
      <c r="J106" s="5"/>
    </row>
    <row r="107" spans="1:12" hidden="1" x14ac:dyDescent="0.2"/>
  </sheetData>
  <customSheetViews>
    <customSheetView guid="{32908539-2542-409A-8F82-90CA4AF2FA22}" showPageBreaks="1" printArea="1" hiddenColumns="1" topLeftCell="A6">
      <selection activeCell="F24" sqref="F24"/>
      <rowBreaks count="3" manualBreakCount="3">
        <brk id="32" max="10" man="1"/>
        <brk id="67" max="11" man="1"/>
        <brk id="91" max="11" man="1"/>
      </rowBreaks>
      <pageMargins left="0.75" right="0.75" top="1" bottom="1" header="0.25" footer="0.5"/>
      <printOptions horizontalCentered="1"/>
      <pageSetup scale="85" orientation="landscape" r:id="rId1"/>
      <headerFooter alignWithMargins="0">
        <oddHeader>&amp;C&amp;"Arial,Bold"SWTJC DRAFT OPERATING BUDGET
FY 2010
REVENUE</oddHeader>
        <oddFooter>&amp;C&amp;P</oddFooter>
      </headerFooter>
    </customSheetView>
    <customSheetView guid="{A8860A6A-D8F5-A548-B67D-3E99578E1F8E}" showPageBreaks="1" printArea="1" hiddenRows="1" hiddenColumns="1">
      <selection activeCell="O11" sqref="O11"/>
      <rowBreaks count="3" manualBreakCount="3">
        <brk id="39" max="11" man="1"/>
        <brk id="65" max="11" man="1"/>
        <brk id="89" max="11" man="1"/>
      </rowBreaks>
      <pageMargins left="0.7" right="0.7" top="0.75" bottom="0.75" header="0.3" footer="0.3"/>
      <printOptions horizontalCentered="1"/>
      <headerFooter alignWithMargins="0">
        <oddHeader>&amp;C&amp;"Arial,Bold"SWTJC DRAFT OPERATING BUDGETFY 2010REVENUE</oddHeader>
        <oddFooter>&amp;C&amp;P</oddFooter>
      </headerFooter>
    </customSheetView>
  </customSheetViews>
  <phoneticPr fontId="0" type="noConversion"/>
  <printOptions horizontalCentered="1"/>
  <pageMargins left="0.7" right="0.7" top="0.75" bottom="0.75" header="0.3" footer="0.3"/>
  <pageSetup scale="99" fitToHeight="20" orientation="landscape" r:id="rId2"/>
  <headerFooter alignWithMargins="0">
    <oddHeader>&amp;C&amp;"Arial,Bold"SWTJC DRAFT OPERATING BUDGET FY 2014 REVENUE</oddHeader>
    <oddFooter>&amp;C&amp;P</oddFooter>
  </headerFooter>
  <rowBreaks count="2" manualBreakCount="2">
    <brk id="39" max="11" man="1"/>
    <brk id="8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7">
    <tabColor indexed="22"/>
    <pageSetUpPr fitToPage="1"/>
  </sheetPr>
  <dimension ref="A1:L163"/>
  <sheetViews>
    <sheetView view="pageBreakPreview" topLeftCell="A119" zoomScaleSheetLayoutView="100" workbookViewId="0">
      <selection activeCell="B169" sqref="B169"/>
    </sheetView>
  </sheetViews>
  <sheetFormatPr defaultColWidth="8.6640625" defaultRowHeight="12.75" x14ac:dyDescent="0.2"/>
  <cols>
    <col min="1" max="1" width="16.109375" style="27" customWidth="1"/>
    <col min="2" max="2" width="39.33203125" style="28" customWidth="1"/>
    <col min="3" max="3" width="20.88671875" style="27" customWidth="1"/>
    <col min="4" max="4" width="2.5546875" style="42" customWidth="1"/>
    <col min="5" max="5" width="1.44140625" style="42" bestFit="1" customWidth="1"/>
    <col min="6" max="6" width="4" style="43" bestFit="1" customWidth="1"/>
    <col min="7" max="7" width="1.88671875" style="43" customWidth="1"/>
    <col min="8" max="8" width="9.88671875" style="44" customWidth="1"/>
    <col min="9" max="9" width="11.88671875" style="27" customWidth="1"/>
    <col min="10" max="10" width="12" style="144" customWidth="1"/>
    <col min="11" max="11" width="10.44140625" style="27" bestFit="1" customWidth="1"/>
    <col min="12" max="16384" width="8.6640625" style="27"/>
  </cols>
  <sheetData>
    <row r="1" spans="1:12" ht="15" customHeight="1" x14ac:dyDescent="0.2">
      <c r="A1" s="288"/>
      <c r="B1" s="291" t="s">
        <v>1302</v>
      </c>
      <c r="C1" s="288"/>
      <c r="D1" s="501" t="s">
        <v>1303</v>
      </c>
      <c r="E1" s="501"/>
      <c r="F1" s="501"/>
      <c r="G1" s="501"/>
      <c r="H1" s="501"/>
      <c r="I1" s="70" t="s">
        <v>2915</v>
      </c>
      <c r="J1" s="143" t="s">
        <v>2881</v>
      </c>
    </row>
    <row r="2" spans="1:12" ht="15" x14ac:dyDescent="0.2">
      <c r="A2" s="288"/>
      <c r="B2" s="290"/>
      <c r="C2" s="288"/>
      <c r="D2" s="288"/>
      <c r="E2" s="288"/>
      <c r="F2" s="297"/>
      <c r="G2" s="297"/>
      <c r="H2" s="300"/>
      <c r="I2" s="84"/>
    </row>
    <row r="3" spans="1:12" x14ac:dyDescent="0.2">
      <c r="A3" s="502" t="s">
        <v>1653</v>
      </c>
      <c r="B3" s="294" t="s">
        <v>1304</v>
      </c>
      <c r="C3" s="289"/>
      <c r="D3" s="295">
        <v>4</v>
      </c>
      <c r="E3" s="296" t="s">
        <v>1593</v>
      </c>
      <c r="F3" s="302">
        <v>1</v>
      </c>
      <c r="G3" s="299"/>
      <c r="H3" s="302"/>
      <c r="I3" s="81">
        <f>'Op Detail'!D22</f>
        <v>9000</v>
      </c>
      <c r="J3" s="144">
        <v>6500</v>
      </c>
      <c r="K3" s="101">
        <f t="shared" ref="K3:K34" si="0">I3-J3</f>
        <v>2500</v>
      </c>
      <c r="L3" s="27" t="s">
        <v>3123</v>
      </c>
    </row>
    <row r="4" spans="1:12" x14ac:dyDescent="0.2">
      <c r="A4" s="502"/>
      <c r="B4" s="294" t="s">
        <v>1305</v>
      </c>
      <c r="C4" s="289"/>
      <c r="D4" s="295">
        <v>4</v>
      </c>
      <c r="E4" s="296" t="s">
        <v>1593</v>
      </c>
      <c r="F4" s="302">
        <v>2</v>
      </c>
      <c r="G4" s="299"/>
      <c r="H4" s="302"/>
      <c r="I4" s="81">
        <f>'Op Detail'!D50</f>
        <v>16700</v>
      </c>
      <c r="J4" s="144">
        <v>16700</v>
      </c>
      <c r="K4" s="101">
        <f t="shared" si="0"/>
        <v>0</v>
      </c>
      <c r="L4" s="27" t="s">
        <v>3123</v>
      </c>
    </row>
    <row r="5" spans="1:12" ht="12.75" customHeight="1" x14ac:dyDescent="0.2">
      <c r="A5" s="499" t="s">
        <v>1654</v>
      </c>
      <c r="B5" s="292" t="s">
        <v>817</v>
      </c>
      <c r="C5" s="289"/>
      <c r="D5" s="295">
        <v>4</v>
      </c>
      <c r="E5" s="296" t="s">
        <v>1593</v>
      </c>
      <c r="F5" s="301">
        <v>113</v>
      </c>
      <c r="G5" s="299"/>
      <c r="H5" s="288"/>
      <c r="I5" s="81">
        <f>'Op Detail'!D3524</f>
        <v>18120</v>
      </c>
      <c r="J5" s="144">
        <v>22500</v>
      </c>
      <c r="K5" s="101">
        <f t="shared" si="0"/>
        <v>-4380</v>
      </c>
      <c r="L5" s="27" t="s">
        <v>3118</v>
      </c>
    </row>
    <row r="6" spans="1:12" ht="12.75" customHeight="1" x14ac:dyDescent="0.2">
      <c r="A6" s="500"/>
      <c r="B6" s="292" t="s">
        <v>1703</v>
      </c>
      <c r="C6" s="289" t="s">
        <v>2869</v>
      </c>
      <c r="D6" s="295">
        <v>4</v>
      </c>
      <c r="E6" s="296" t="s">
        <v>1593</v>
      </c>
      <c r="F6" s="302">
        <v>12</v>
      </c>
      <c r="G6" s="299"/>
      <c r="H6" s="302"/>
      <c r="I6" s="81">
        <f>'Op Detail'!D359</f>
        <v>4070</v>
      </c>
      <c r="J6" s="145">
        <v>3475</v>
      </c>
      <c r="K6" s="101">
        <f t="shared" si="0"/>
        <v>595</v>
      </c>
      <c r="L6" s="27" t="s">
        <v>3118</v>
      </c>
    </row>
    <row r="7" spans="1:12" ht="12.75" customHeight="1" x14ac:dyDescent="0.2">
      <c r="A7" s="500"/>
      <c r="B7" s="292" t="s">
        <v>1372</v>
      </c>
      <c r="C7" s="289" t="s">
        <v>2868</v>
      </c>
      <c r="D7" s="295">
        <v>4</v>
      </c>
      <c r="E7" s="296" t="s">
        <v>1593</v>
      </c>
      <c r="F7" s="302">
        <v>146</v>
      </c>
      <c r="G7" s="299"/>
      <c r="H7" s="302"/>
      <c r="I7" s="85">
        <f>'Op Detail'!D4548</f>
        <v>8480</v>
      </c>
      <c r="J7" s="144">
        <v>10800</v>
      </c>
      <c r="K7" s="101">
        <f t="shared" si="0"/>
        <v>-2320</v>
      </c>
      <c r="L7" s="27" t="s">
        <v>3116</v>
      </c>
    </row>
    <row r="8" spans="1:12" ht="12.75" customHeight="1" x14ac:dyDescent="0.2">
      <c r="A8" s="500"/>
      <c r="B8" s="292" t="s">
        <v>1312</v>
      </c>
      <c r="C8" s="289"/>
      <c r="D8" s="295">
        <v>4</v>
      </c>
      <c r="E8" s="296" t="s">
        <v>1593</v>
      </c>
      <c r="F8" s="302">
        <v>16</v>
      </c>
      <c r="G8" s="299" t="s">
        <v>1772</v>
      </c>
      <c r="H8" s="302">
        <v>30</v>
      </c>
      <c r="I8" s="81">
        <f>'Op Detail'!D522+'Op Detail'!E522+'Op Detail'!F522+'Op Detail'!H522+'Op Detail'!D567+'Op Detail'!E567+'Op Detail'!F567+'Op Detail'!H567+'Op Detail'!D611+'Op Detail'!E611+'Op Detail'!F611+'Op Detail'!H611+'Op Detail'!D654+'Op Detail'!E654+'Op Detail'!F654+'Op Detail'!H654+'Op Detail'!D697+'Op Detail'!E697+'Op Detail'!F697+'Op Detail'!H697+'Op Detail'!D741+'Op Detail'!E741+'Op Detail'!F741+'Op Detail'!H741+'Op Detail'!D786+'Op Detail'!E786+'Op Detail'!F786+'Op Detail'!H786+'Op Detail'!D830+'Op Detail'!E830+'Op Detail'!F830+'Op Detail'!H830+'Op Detail'!D874+'Op Detail'!E874+'Op Detail'!F874+'Op Detail'!H874+'Op Detail'!D918+'Op Detail'!E918+'Op Detail'!F918+'Op Detail'!H918+'Op Detail'!D963+'Op Detail'!E963+'Op Detail'!F963+'Op Detail'!H963+'Op Detail'!D1007+'Op Detail'!E1007+'Op Detail'!F1007+'Op Detail'!H1007+'Op Detail'!D1050+'Op Detail'!E1050+'Op Detail'!F1050+'Op Detail'!H1050+'Op Detail'!D1093+'Op Detail'!E1093+'Op Detail'!F1093+'Op Detail'!H1093+SUM('Op Detail'!D1136:H1136)</f>
        <v>122960</v>
      </c>
      <c r="J8" s="144">
        <v>115645</v>
      </c>
      <c r="K8" s="101">
        <f t="shared" si="0"/>
        <v>7315</v>
      </c>
      <c r="L8" s="27" t="s">
        <v>3118</v>
      </c>
    </row>
    <row r="9" spans="1:12" ht="12.75" customHeight="1" x14ac:dyDescent="0.2">
      <c r="A9" s="500"/>
      <c r="B9" s="292" t="s">
        <v>3125</v>
      </c>
      <c r="C9" s="289"/>
      <c r="D9" s="295">
        <v>4</v>
      </c>
      <c r="E9" s="296" t="s">
        <v>1593</v>
      </c>
      <c r="F9" s="302">
        <v>9</v>
      </c>
      <c r="G9" s="299"/>
      <c r="H9" s="302"/>
      <c r="I9" s="81">
        <f>'Op Detail'!D272</f>
        <v>2120</v>
      </c>
      <c r="J9" s="144">
        <v>3900</v>
      </c>
      <c r="K9" s="101">
        <f t="shared" si="0"/>
        <v>-1780</v>
      </c>
      <c r="L9" s="27" t="s">
        <v>3118</v>
      </c>
    </row>
    <row r="10" spans="1:12" ht="12.75" customHeight="1" x14ac:dyDescent="0.2">
      <c r="A10" s="500"/>
      <c r="B10" s="292" t="s">
        <v>1375</v>
      </c>
      <c r="C10" s="289"/>
      <c r="D10" s="295">
        <v>4</v>
      </c>
      <c r="E10" s="296" t="s">
        <v>1593</v>
      </c>
      <c r="F10" s="302">
        <v>154</v>
      </c>
      <c r="G10" s="299"/>
      <c r="H10" s="302"/>
      <c r="I10" s="81">
        <f>+'Op Detail'!D4757+'Op Detail'!E4757</f>
        <v>149000</v>
      </c>
      <c r="J10" s="144">
        <v>174000</v>
      </c>
      <c r="K10" s="101">
        <f t="shared" si="0"/>
        <v>-25000</v>
      </c>
      <c r="L10" s="27" t="s">
        <v>3116</v>
      </c>
    </row>
    <row r="11" spans="1:12" ht="12.75" customHeight="1" x14ac:dyDescent="0.2">
      <c r="A11" s="500"/>
      <c r="B11" s="292" t="s">
        <v>1704</v>
      </c>
      <c r="C11" s="289"/>
      <c r="D11" s="295">
        <v>4</v>
      </c>
      <c r="E11" s="296" t="s">
        <v>1593</v>
      </c>
      <c r="F11" s="302">
        <v>10</v>
      </c>
      <c r="G11" s="299"/>
      <c r="H11" s="302"/>
      <c r="I11" s="81">
        <f>'Op Detail'!D303</f>
        <v>2120</v>
      </c>
      <c r="J11" s="144">
        <v>3000</v>
      </c>
      <c r="K11" s="101">
        <f t="shared" si="0"/>
        <v>-880</v>
      </c>
      <c r="L11" s="27" t="s">
        <v>3118</v>
      </c>
    </row>
    <row r="12" spans="1:12" ht="12.75" customHeight="1" x14ac:dyDescent="0.2">
      <c r="A12" s="500"/>
      <c r="B12" s="292" t="s">
        <v>1308</v>
      </c>
      <c r="C12" s="289"/>
      <c r="D12" s="295">
        <v>4</v>
      </c>
      <c r="E12" s="296" t="s">
        <v>1593</v>
      </c>
      <c r="F12" s="302">
        <v>11</v>
      </c>
      <c r="G12" s="299"/>
      <c r="H12" s="302"/>
      <c r="I12" s="81">
        <f>'Op Detail'!D330</f>
        <v>3000</v>
      </c>
      <c r="J12" s="144">
        <v>4050</v>
      </c>
      <c r="K12" s="101">
        <f t="shared" si="0"/>
        <v>-1050</v>
      </c>
      <c r="L12" s="27" t="s">
        <v>3118</v>
      </c>
    </row>
    <row r="13" spans="1:12" ht="12.75" customHeight="1" x14ac:dyDescent="0.2">
      <c r="A13" s="500"/>
      <c r="B13" s="292" t="s">
        <v>1310</v>
      </c>
      <c r="C13" s="289" t="s">
        <v>2870</v>
      </c>
      <c r="D13" s="295">
        <v>4</v>
      </c>
      <c r="E13" s="296" t="s">
        <v>1593</v>
      </c>
      <c r="F13" s="302">
        <v>14</v>
      </c>
      <c r="G13" s="299"/>
      <c r="H13" s="302"/>
      <c r="I13" s="85">
        <f>'Op Detail'!D435</f>
        <v>0</v>
      </c>
      <c r="J13" s="144">
        <v>4215</v>
      </c>
      <c r="K13" s="101">
        <f t="shared" si="0"/>
        <v>-4215</v>
      </c>
      <c r="L13" s="27" t="s">
        <v>3118</v>
      </c>
    </row>
    <row r="14" spans="1:12" ht="12.75" customHeight="1" x14ac:dyDescent="0.2">
      <c r="A14" s="500"/>
      <c r="B14" s="292" t="s">
        <v>1307</v>
      </c>
      <c r="C14" s="289" t="s">
        <v>2871</v>
      </c>
      <c r="D14" s="295">
        <v>4</v>
      </c>
      <c r="E14" s="296" t="s">
        <v>1593</v>
      </c>
      <c r="F14" s="302">
        <v>8</v>
      </c>
      <c r="G14" s="299"/>
      <c r="H14" s="302"/>
      <c r="I14" s="81">
        <f>'Op Detail'!D250</f>
        <v>41240</v>
      </c>
      <c r="J14" s="144">
        <v>57800</v>
      </c>
      <c r="K14" s="101">
        <f t="shared" si="0"/>
        <v>-16560</v>
      </c>
      <c r="L14" s="27" t="s">
        <v>3118</v>
      </c>
    </row>
    <row r="15" spans="1:12" ht="12.75" customHeight="1" x14ac:dyDescent="0.2">
      <c r="A15" s="500"/>
      <c r="B15" s="292" t="s">
        <v>1311</v>
      </c>
      <c r="C15" s="289"/>
      <c r="D15" s="295">
        <v>4</v>
      </c>
      <c r="E15" s="296" t="s">
        <v>1593</v>
      </c>
      <c r="F15" s="302">
        <v>15</v>
      </c>
      <c r="G15" s="299"/>
      <c r="H15" s="302"/>
      <c r="I15" s="81">
        <f>'Op Detail'!D477</f>
        <v>16640</v>
      </c>
      <c r="J15" s="144">
        <v>12800</v>
      </c>
      <c r="K15" s="101">
        <f t="shared" si="0"/>
        <v>3840</v>
      </c>
      <c r="L15" s="27" t="s">
        <v>3118</v>
      </c>
    </row>
    <row r="16" spans="1:12" ht="12.75" customHeight="1" x14ac:dyDescent="0.2">
      <c r="A16" s="500"/>
      <c r="B16" s="292" t="s">
        <v>1384</v>
      </c>
      <c r="C16" s="289" t="s">
        <v>2867</v>
      </c>
      <c r="D16" s="295">
        <v>4</v>
      </c>
      <c r="E16" s="296" t="s">
        <v>1593</v>
      </c>
      <c r="F16" s="302">
        <v>167</v>
      </c>
      <c r="G16" s="299"/>
      <c r="H16" s="302"/>
      <c r="I16" s="81">
        <f>'Op Detail'!D5131</f>
        <v>49228</v>
      </c>
      <c r="J16" s="144">
        <v>49228</v>
      </c>
      <c r="K16" s="101">
        <f t="shared" si="0"/>
        <v>0</v>
      </c>
      <c r="L16" s="27" t="s">
        <v>3116</v>
      </c>
    </row>
    <row r="17" spans="1:12" ht="12.75" customHeight="1" x14ac:dyDescent="0.2">
      <c r="A17" s="500"/>
      <c r="B17" s="292" t="s">
        <v>1309</v>
      </c>
      <c r="C17" s="289"/>
      <c r="D17" s="295">
        <v>4</v>
      </c>
      <c r="E17" s="296" t="s">
        <v>1593</v>
      </c>
      <c r="F17" s="302">
        <v>13</v>
      </c>
      <c r="G17" s="299"/>
      <c r="H17" s="302"/>
      <c r="I17" s="81">
        <f>'Op Detail'!D400</f>
        <v>32000</v>
      </c>
      <c r="J17" s="144">
        <v>35000</v>
      </c>
      <c r="K17" s="101">
        <f t="shared" si="0"/>
        <v>-3000</v>
      </c>
      <c r="L17" s="27" t="s">
        <v>3118</v>
      </c>
    </row>
    <row r="18" spans="1:12" ht="12.75" customHeight="1" x14ac:dyDescent="0.2">
      <c r="A18" s="500"/>
      <c r="B18" s="292" t="s">
        <v>1314</v>
      </c>
      <c r="C18" s="289"/>
      <c r="D18" s="295">
        <v>4</v>
      </c>
      <c r="E18" s="296" t="s">
        <v>1593</v>
      </c>
      <c r="F18" s="302">
        <v>32</v>
      </c>
      <c r="G18" s="299"/>
      <c r="H18" s="302"/>
      <c r="I18" s="81">
        <f>'Op Detail'!D1202</f>
        <v>2360</v>
      </c>
      <c r="J18" s="144">
        <v>3000</v>
      </c>
      <c r="K18" s="101">
        <f t="shared" si="0"/>
        <v>-640</v>
      </c>
      <c r="L18" s="27" t="s">
        <v>3118</v>
      </c>
    </row>
    <row r="19" spans="1:12" ht="12.75" customHeight="1" x14ac:dyDescent="0.2">
      <c r="A19" s="500"/>
      <c r="B19" s="292" t="s">
        <v>1313</v>
      </c>
      <c r="C19" s="289"/>
      <c r="D19" s="295">
        <v>4</v>
      </c>
      <c r="E19" s="296" t="s">
        <v>1593</v>
      </c>
      <c r="F19" s="302">
        <v>31</v>
      </c>
      <c r="G19" s="299"/>
      <c r="H19" s="302"/>
      <c r="I19" s="81">
        <f>'Op Detail'!D1173</f>
        <v>51165</v>
      </c>
      <c r="J19" s="144">
        <v>43250</v>
      </c>
      <c r="K19" s="101">
        <f t="shared" si="0"/>
        <v>7915</v>
      </c>
      <c r="L19" s="27" t="s">
        <v>3118</v>
      </c>
    </row>
    <row r="20" spans="1:12" ht="12.75" customHeight="1" x14ac:dyDescent="0.2">
      <c r="A20" s="500"/>
      <c r="B20" s="292" t="s">
        <v>1369</v>
      </c>
      <c r="C20" s="289"/>
      <c r="D20" s="295">
        <v>4</v>
      </c>
      <c r="E20" s="296" t="s">
        <v>1593</v>
      </c>
      <c r="F20" s="302">
        <v>137</v>
      </c>
      <c r="G20" s="299"/>
      <c r="H20" s="302"/>
      <c r="I20" s="85">
        <f>'Op Detail'!D4333</f>
        <v>5200</v>
      </c>
      <c r="J20" s="144">
        <v>9000</v>
      </c>
      <c r="K20" s="101">
        <f t="shared" si="0"/>
        <v>-3800</v>
      </c>
      <c r="L20" s="27" t="s">
        <v>3118</v>
      </c>
    </row>
    <row r="21" spans="1:12" ht="12.75" customHeight="1" x14ac:dyDescent="0.2">
      <c r="A21" s="500"/>
      <c r="B21" s="292" t="s">
        <v>1701</v>
      </c>
      <c r="C21" s="289"/>
      <c r="D21" s="295">
        <v>4</v>
      </c>
      <c r="E21" s="296" t="s">
        <v>1593</v>
      </c>
      <c r="F21" s="302">
        <v>35</v>
      </c>
      <c r="G21" s="299"/>
      <c r="H21" s="302"/>
      <c r="I21" s="81">
        <f>'Op Detail'!D1298</f>
        <v>46823</v>
      </c>
      <c r="J21" s="144">
        <v>56375</v>
      </c>
      <c r="K21" s="101">
        <f t="shared" si="0"/>
        <v>-9552</v>
      </c>
      <c r="L21" s="27" t="s">
        <v>3118</v>
      </c>
    </row>
    <row r="22" spans="1:12" ht="12.75" customHeight="1" x14ac:dyDescent="0.2">
      <c r="A22" s="500"/>
      <c r="B22" s="292" t="s">
        <v>180</v>
      </c>
      <c r="C22" s="289"/>
      <c r="D22" s="295">
        <v>4</v>
      </c>
      <c r="E22" s="296" t="s">
        <v>1593</v>
      </c>
      <c r="F22" s="302">
        <v>145</v>
      </c>
      <c r="G22" s="299"/>
      <c r="H22" s="302"/>
      <c r="I22" s="144">
        <f>'Op Detail'!D4519</f>
        <v>130000</v>
      </c>
      <c r="J22" s="144">
        <v>-29200</v>
      </c>
      <c r="K22" s="101">
        <f t="shared" si="0"/>
        <v>159200</v>
      </c>
      <c r="L22" s="27" t="s">
        <v>3116</v>
      </c>
    </row>
    <row r="23" spans="1:12" ht="15" x14ac:dyDescent="0.2">
      <c r="A23" s="306"/>
      <c r="B23" s="292" t="s">
        <v>946</v>
      </c>
      <c r="C23" s="289"/>
      <c r="D23" s="295">
        <v>4</v>
      </c>
      <c r="E23" s="305" t="s">
        <v>1593</v>
      </c>
      <c r="F23" s="302">
        <v>200</v>
      </c>
      <c r="G23" s="299"/>
      <c r="H23" s="302"/>
      <c r="I23" s="81">
        <f>'Op Detail'!D6306</f>
        <v>3600</v>
      </c>
      <c r="J23" s="144">
        <v>4500</v>
      </c>
      <c r="K23" s="101">
        <f t="shared" si="0"/>
        <v>-900</v>
      </c>
      <c r="L23" s="27" t="s">
        <v>3118</v>
      </c>
    </row>
    <row r="24" spans="1:12" ht="12.75" customHeight="1" x14ac:dyDescent="0.2">
      <c r="A24" s="499" t="s">
        <v>2713</v>
      </c>
      <c r="B24" s="293" t="s">
        <v>1181</v>
      </c>
      <c r="C24" s="289"/>
      <c r="D24" s="295">
        <v>4</v>
      </c>
      <c r="E24" s="296" t="s">
        <v>1593</v>
      </c>
      <c r="F24" s="303">
        <v>39</v>
      </c>
      <c r="G24" s="299"/>
      <c r="H24" s="303"/>
      <c r="I24" s="81">
        <f>'Op Detail'!D1367</f>
        <v>8550</v>
      </c>
      <c r="J24" s="144">
        <v>10500</v>
      </c>
      <c r="K24" s="101">
        <f t="shared" si="0"/>
        <v>-1950</v>
      </c>
      <c r="L24" s="27" t="s">
        <v>3120</v>
      </c>
    </row>
    <row r="25" spans="1:12" ht="12.75" customHeight="1" x14ac:dyDescent="0.2">
      <c r="A25" s="500"/>
      <c r="B25" s="293" t="s">
        <v>1197</v>
      </c>
      <c r="C25" s="289"/>
      <c r="D25" s="295">
        <v>4</v>
      </c>
      <c r="E25" s="296" t="s">
        <v>1593</v>
      </c>
      <c r="F25" s="335">
        <v>51</v>
      </c>
      <c r="G25" s="299"/>
      <c r="H25" s="288"/>
      <c r="I25" s="81">
        <f>'Op Detail'!D1631</f>
        <v>150050</v>
      </c>
      <c r="J25" s="144">
        <v>197120</v>
      </c>
      <c r="K25" s="101">
        <f t="shared" si="0"/>
        <v>-47070</v>
      </c>
      <c r="L25" s="27" t="s">
        <v>3116</v>
      </c>
    </row>
    <row r="26" spans="1:12" ht="12.75" customHeight="1" x14ac:dyDescent="0.2">
      <c r="A26" s="500"/>
      <c r="B26" s="293" t="s">
        <v>934</v>
      </c>
      <c r="C26" s="289"/>
      <c r="D26" s="295">
        <v>4</v>
      </c>
      <c r="E26" s="305" t="s">
        <v>1593</v>
      </c>
      <c r="F26" s="301">
        <v>199</v>
      </c>
      <c r="G26" s="299"/>
      <c r="H26" s="288"/>
      <c r="I26" s="81">
        <f>'Op Detail'!D6263</f>
        <v>36880</v>
      </c>
      <c r="J26" s="144">
        <v>53600</v>
      </c>
      <c r="K26" s="101">
        <f t="shared" si="0"/>
        <v>-16720</v>
      </c>
      <c r="L26" s="27" t="s">
        <v>3117</v>
      </c>
    </row>
    <row r="27" spans="1:12" ht="12.75" customHeight="1" x14ac:dyDescent="0.2">
      <c r="A27" s="500"/>
      <c r="B27" s="293" t="s">
        <v>1066</v>
      </c>
      <c r="C27" s="289"/>
      <c r="D27" s="295">
        <v>4</v>
      </c>
      <c r="E27" s="296" t="s">
        <v>1593</v>
      </c>
      <c r="F27" s="301">
        <v>161</v>
      </c>
      <c r="G27" s="299"/>
      <c r="H27" s="288"/>
      <c r="I27" s="81">
        <f>'Op Detail'!D4951</f>
        <v>6480</v>
      </c>
      <c r="J27" s="144">
        <v>14300</v>
      </c>
      <c r="K27" s="101">
        <f t="shared" si="0"/>
        <v>-7820</v>
      </c>
      <c r="L27" s="27" t="s">
        <v>3117</v>
      </c>
    </row>
    <row r="28" spans="1:12" ht="12.75" customHeight="1" x14ac:dyDescent="0.2">
      <c r="A28" s="500"/>
      <c r="B28" s="293" t="s">
        <v>932</v>
      </c>
      <c r="C28" s="289"/>
      <c r="D28" s="295">
        <v>4</v>
      </c>
      <c r="E28" s="305" t="s">
        <v>1593</v>
      </c>
      <c r="F28" s="301">
        <v>198</v>
      </c>
      <c r="G28" s="299"/>
      <c r="H28" s="288"/>
      <c r="I28" s="81">
        <f>'Op Detail'!D6219</f>
        <v>0</v>
      </c>
      <c r="J28" s="144">
        <v>0</v>
      </c>
      <c r="K28" s="101">
        <f t="shared" si="0"/>
        <v>0</v>
      </c>
      <c r="L28" s="27" t="s">
        <v>3117</v>
      </c>
    </row>
    <row r="29" spans="1:12" ht="12.75" customHeight="1" x14ac:dyDescent="0.2">
      <c r="A29" s="500"/>
      <c r="B29" s="293" t="s">
        <v>2962</v>
      </c>
      <c r="C29" s="289"/>
      <c r="D29" s="295">
        <v>4</v>
      </c>
      <c r="E29" s="296" t="s">
        <v>1593</v>
      </c>
      <c r="F29" s="335">
        <v>4</v>
      </c>
      <c r="G29" s="299"/>
      <c r="H29" s="288"/>
      <c r="I29" s="82">
        <f>'Op Detail'!D106</f>
        <v>4280</v>
      </c>
      <c r="J29" s="144">
        <v>9200</v>
      </c>
      <c r="K29" s="101">
        <f t="shared" si="0"/>
        <v>-4920</v>
      </c>
      <c r="L29" s="27" t="s">
        <v>3116</v>
      </c>
    </row>
    <row r="30" spans="1:12" ht="12.75" customHeight="1" x14ac:dyDescent="0.2">
      <c r="A30" s="500"/>
      <c r="B30" s="293" t="s">
        <v>1853</v>
      </c>
      <c r="C30" s="289"/>
      <c r="D30" s="295">
        <v>4</v>
      </c>
      <c r="E30" s="296" t="s">
        <v>1593</v>
      </c>
      <c r="F30" s="301">
        <v>196</v>
      </c>
      <c r="G30" s="299"/>
      <c r="H30" s="288"/>
      <c r="I30" s="81">
        <f>'Op Detail'!D6130</f>
        <v>22080</v>
      </c>
      <c r="J30" s="144">
        <v>27600</v>
      </c>
      <c r="K30" s="101">
        <f t="shared" si="0"/>
        <v>-5520</v>
      </c>
      <c r="L30" s="27" t="s">
        <v>3117</v>
      </c>
    </row>
    <row r="31" spans="1:12" ht="12" customHeight="1" x14ac:dyDescent="0.2">
      <c r="A31" s="500"/>
      <c r="B31" s="293" t="s">
        <v>1040</v>
      </c>
      <c r="C31" s="289"/>
      <c r="D31" s="295">
        <v>4</v>
      </c>
      <c r="E31" s="296" t="s">
        <v>1593</v>
      </c>
      <c r="F31" s="335">
        <v>34</v>
      </c>
      <c r="G31" s="299"/>
      <c r="H31" s="288"/>
      <c r="I31" s="45">
        <f>'Op Detail'!D1265</f>
        <v>5200</v>
      </c>
      <c r="J31" s="144">
        <v>8200</v>
      </c>
      <c r="K31" s="101">
        <f t="shared" si="0"/>
        <v>-3000</v>
      </c>
      <c r="L31" s="27" t="s">
        <v>3119</v>
      </c>
    </row>
    <row r="32" spans="1:12" ht="12.75" customHeight="1" x14ac:dyDescent="0.2">
      <c r="A32" s="500"/>
      <c r="B32" s="293" t="s">
        <v>785</v>
      </c>
      <c r="C32" s="289"/>
      <c r="D32" s="295">
        <v>4</v>
      </c>
      <c r="E32" s="305" t="s">
        <v>1593</v>
      </c>
      <c r="F32" s="301">
        <v>197</v>
      </c>
      <c r="G32" s="299"/>
      <c r="H32" s="288"/>
      <c r="I32" s="81">
        <f>'Op Detail'!E6177</f>
        <v>0</v>
      </c>
      <c r="J32" s="144">
        <v>25000</v>
      </c>
      <c r="K32" s="101">
        <f t="shared" si="0"/>
        <v>-25000</v>
      </c>
      <c r="L32" s="27" t="s">
        <v>3119</v>
      </c>
    </row>
    <row r="33" spans="1:12" ht="12.75" customHeight="1" x14ac:dyDescent="0.2">
      <c r="A33" s="500"/>
      <c r="B33" s="293" t="s">
        <v>911</v>
      </c>
      <c r="C33" s="289"/>
      <c r="D33" s="295">
        <v>4</v>
      </c>
      <c r="E33" s="296" t="s">
        <v>1593</v>
      </c>
      <c r="F33" s="301">
        <v>112</v>
      </c>
      <c r="G33" s="299"/>
      <c r="H33" s="288"/>
      <c r="I33" s="81">
        <f>'Op Detail'!D3499+'Op Detail'!E3499+'Op Detail'!F3499</f>
        <v>99760</v>
      </c>
      <c r="J33" s="144">
        <v>124000</v>
      </c>
      <c r="K33" s="101">
        <f t="shared" si="0"/>
        <v>-24240</v>
      </c>
      <c r="L33" s="27" t="s">
        <v>3116</v>
      </c>
    </row>
    <row r="34" spans="1:12" ht="12.75" customHeight="1" x14ac:dyDescent="0.2">
      <c r="A34" s="500"/>
      <c r="B34" s="293" t="s">
        <v>1368</v>
      </c>
      <c r="C34" s="289"/>
      <c r="D34" s="295">
        <v>4</v>
      </c>
      <c r="E34" s="296" t="s">
        <v>1593</v>
      </c>
      <c r="F34" s="301">
        <v>135</v>
      </c>
      <c r="G34" s="299"/>
      <c r="H34" s="288"/>
      <c r="I34" s="81">
        <f>'Op Detail'!D4280</f>
        <v>5600</v>
      </c>
      <c r="J34" s="144">
        <v>16000</v>
      </c>
      <c r="K34" s="101">
        <f t="shared" si="0"/>
        <v>-10400</v>
      </c>
      <c r="L34" s="27" t="s">
        <v>3118</v>
      </c>
    </row>
    <row r="35" spans="1:12" ht="12.75" customHeight="1" x14ac:dyDescent="0.2">
      <c r="A35" s="500"/>
      <c r="B35" s="293" t="s">
        <v>1227</v>
      </c>
      <c r="C35" s="289"/>
      <c r="D35" s="295">
        <v>4</v>
      </c>
      <c r="E35" s="296" t="s">
        <v>1593</v>
      </c>
      <c r="F35" s="301">
        <v>114</v>
      </c>
      <c r="G35" s="299" t="s">
        <v>1772</v>
      </c>
      <c r="H35" s="302">
        <v>115</v>
      </c>
      <c r="I35" s="105">
        <f>'Op Detail'!H3600</f>
        <v>127710</v>
      </c>
      <c r="J35" s="144">
        <v>188225</v>
      </c>
      <c r="K35" s="101">
        <f t="shared" ref="K35:K66" si="1">I35-J35</f>
        <v>-60515</v>
      </c>
      <c r="L35" s="27" t="s">
        <v>3116</v>
      </c>
    </row>
    <row r="36" spans="1:12" ht="12.75" customHeight="1" x14ac:dyDescent="0.2">
      <c r="A36" s="500"/>
      <c r="B36" s="293" t="s">
        <v>1706</v>
      </c>
      <c r="C36" s="289"/>
      <c r="D36" s="295">
        <v>4</v>
      </c>
      <c r="E36" s="296" t="s">
        <v>1593</v>
      </c>
      <c r="F36" s="335">
        <v>49</v>
      </c>
      <c r="G36" s="299"/>
      <c r="H36" s="288"/>
      <c r="I36" s="81">
        <f>'Op Detail'!D1572</f>
        <v>360522.4</v>
      </c>
      <c r="J36" s="144">
        <v>425300</v>
      </c>
      <c r="K36" s="101">
        <f t="shared" si="1"/>
        <v>-64777.599999999999</v>
      </c>
      <c r="L36" s="27" t="s">
        <v>3116</v>
      </c>
    </row>
    <row r="37" spans="1:12" ht="12.75" customHeight="1" x14ac:dyDescent="0.2">
      <c r="A37" s="500"/>
      <c r="B37" s="293" t="s">
        <v>1366</v>
      </c>
      <c r="C37" s="289"/>
      <c r="D37" s="295">
        <v>4</v>
      </c>
      <c r="E37" s="296" t="s">
        <v>1593</v>
      </c>
      <c r="F37" s="301">
        <v>131</v>
      </c>
      <c r="G37" s="299"/>
      <c r="H37" s="288"/>
      <c r="I37" s="81">
        <f>'Op Detail'!D4129+'Op Detail'!E4129</f>
        <v>81950</v>
      </c>
      <c r="J37" s="144">
        <v>86257.4</v>
      </c>
      <c r="K37" s="101">
        <f t="shared" si="1"/>
        <v>-4307.3999999999996</v>
      </c>
      <c r="L37" s="27" t="s">
        <v>3117</v>
      </c>
    </row>
    <row r="38" spans="1:12" ht="12.75" customHeight="1" x14ac:dyDescent="0.2">
      <c r="A38" s="500"/>
      <c r="B38" s="293" t="s">
        <v>2039</v>
      </c>
      <c r="C38" s="289"/>
      <c r="D38" s="295">
        <v>4</v>
      </c>
      <c r="E38" s="296" t="s">
        <v>1593</v>
      </c>
      <c r="F38" s="301">
        <v>201</v>
      </c>
      <c r="G38" s="299"/>
      <c r="H38" s="288"/>
      <c r="I38" s="81">
        <f>+'Op Detail'!D6357</f>
        <v>44800</v>
      </c>
      <c r="J38" s="144">
        <v>108500</v>
      </c>
      <c r="K38" s="101">
        <f t="shared" si="1"/>
        <v>-63700</v>
      </c>
      <c r="L38" s="27" t="s">
        <v>3117</v>
      </c>
    </row>
    <row r="39" spans="1:12" ht="12.75" customHeight="1" x14ac:dyDescent="0.2">
      <c r="A39" s="500"/>
      <c r="B39" s="293" t="s">
        <v>1381</v>
      </c>
      <c r="C39" s="289"/>
      <c r="D39" s="295">
        <v>4</v>
      </c>
      <c r="E39" s="296" t="s">
        <v>1593</v>
      </c>
      <c r="F39" s="301">
        <v>164</v>
      </c>
      <c r="G39" s="299"/>
      <c r="H39" s="288"/>
      <c r="I39" s="81">
        <f>'Op Detail'!D5045</f>
        <v>263878.71000000002</v>
      </c>
      <c r="J39" s="144">
        <v>263551.5</v>
      </c>
      <c r="K39" s="101">
        <f t="shared" si="1"/>
        <v>327.20999999999998</v>
      </c>
      <c r="L39" s="27" t="s">
        <v>3116</v>
      </c>
    </row>
    <row r="40" spans="1:12" ht="12.75" customHeight="1" x14ac:dyDescent="0.2">
      <c r="A40" s="500"/>
      <c r="B40" s="293" t="s">
        <v>1379</v>
      </c>
      <c r="C40" s="289"/>
      <c r="D40" s="295">
        <v>4</v>
      </c>
      <c r="E40" s="296" t="s">
        <v>1593</v>
      </c>
      <c r="F40" s="301">
        <v>160</v>
      </c>
      <c r="G40" s="299"/>
      <c r="H40" s="288"/>
      <c r="I40" s="81">
        <f>'Op Detail'!D4920</f>
        <v>279675</v>
      </c>
      <c r="J40" s="144">
        <v>51061.5</v>
      </c>
      <c r="K40" s="101">
        <f t="shared" si="1"/>
        <v>228613.5</v>
      </c>
      <c r="L40" s="27" t="s">
        <v>3117</v>
      </c>
    </row>
    <row r="41" spans="1:12" ht="12.75" customHeight="1" x14ac:dyDescent="0.2">
      <c r="A41" s="500"/>
      <c r="B41" s="293" t="s">
        <v>1380</v>
      </c>
      <c r="C41" s="289"/>
      <c r="D41" s="295">
        <v>4</v>
      </c>
      <c r="E41" s="296" t="s">
        <v>1593</v>
      </c>
      <c r="F41" s="301">
        <v>163</v>
      </c>
      <c r="G41" s="299"/>
      <c r="H41" s="288"/>
      <c r="I41" s="81">
        <f>'Op Detail'!D5007</f>
        <v>50920</v>
      </c>
      <c r="J41" s="144">
        <v>58350</v>
      </c>
      <c r="K41" s="101">
        <f t="shared" si="1"/>
        <v>-7430</v>
      </c>
      <c r="L41" s="27" t="s">
        <v>3117</v>
      </c>
    </row>
    <row r="42" spans="1:12" ht="12.75" customHeight="1" x14ac:dyDescent="0.2">
      <c r="A42" s="499"/>
      <c r="B42" s="293" t="s">
        <v>1195</v>
      </c>
      <c r="C42" s="289"/>
      <c r="D42" s="295">
        <v>4</v>
      </c>
      <c r="E42" s="296" t="s">
        <v>1593</v>
      </c>
      <c r="F42" s="302">
        <v>47</v>
      </c>
      <c r="G42" s="299"/>
      <c r="H42" s="302"/>
      <c r="I42" s="81">
        <f>'Op Detail'!D1517</f>
        <v>86342.04</v>
      </c>
      <c r="J42" s="144">
        <v>56392.04</v>
      </c>
      <c r="K42" s="101">
        <f t="shared" si="1"/>
        <v>29950</v>
      </c>
      <c r="L42" s="27" t="s">
        <v>3116</v>
      </c>
    </row>
    <row r="43" spans="1:12" ht="12.75" customHeight="1" x14ac:dyDescent="0.2">
      <c r="A43" s="500"/>
      <c r="B43" s="293" t="s">
        <v>1315</v>
      </c>
      <c r="C43" s="289"/>
      <c r="D43" s="295">
        <v>4</v>
      </c>
      <c r="E43" s="296" t="s">
        <v>1593</v>
      </c>
      <c r="F43" s="335">
        <v>33</v>
      </c>
      <c r="G43" s="299"/>
      <c r="H43" s="288"/>
      <c r="I43" s="81">
        <f>'Op Detail'!D1234</f>
        <v>17200</v>
      </c>
      <c r="J43" s="144">
        <v>42400</v>
      </c>
      <c r="K43" s="101">
        <f t="shared" si="1"/>
        <v>-25200</v>
      </c>
      <c r="L43" s="27" t="s">
        <v>3116</v>
      </c>
    </row>
    <row r="44" spans="1:12" ht="12" customHeight="1" x14ac:dyDescent="0.2">
      <c r="A44" s="500"/>
      <c r="B44" s="293" t="s">
        <v>1848</v>
      </c>
      <c r="C44" s="289"/>
      <c r="D44" s="295">
        <v>4</v>
      </c>
      <c r="E44" s="296" t="s">
        <v>1593</v>
      </c>
      <c r="F44" s="301">
        <v>195</v>
      </c>
      <c r="G44" s="299"/>
      <c r="H44" s="288"/>
      <c r="I44" s="45">
        <f>'Op Detail'!D6089</f>
        <v>9320</v>
      </c>
      <c r="J44" s="144">
        <v>11650</v>
      </c>
      <c r="K44" s="101">
        <f t="shared" si="1"/>
        <v>-2330</v>
      </c>
      <c r="L44" s="27" t="s">
        <v>3117</v>
      </c>
    </row>
    <row r="45" spans="1:12" ht="12" customHeight="1" x14ac:dyDescent="0.2">
      <c r="A45" s="500"/>
      <c r="B45" s="293" t="s">
        <v>225</v>
      </c>
      <c r="C45" s="289"/>
      <c r="D45" s="295">
        <v>4</v>
      </c>
      <c r="E45" s="296" t="s">
        <v>1593</v>
      </c>
      <c r="F45" s="301">
        <v>158</v>
      </c>
      <c r="G45" s="299"/>
      <c r="H45" s="288"/>
      <c r="I45" s="45">
        <f>'Op Detail'!D4866</f>
        <v>0</v>
      </c>
      <c r="J45" s="144">
        <v>0</v>
      </c>
      <c r="K45" s="101">
        <f t="shared" si="1"/>
        <v>0</v>
      </c>
      <c r="L45" s="27" t="s">
        <v>3116</v>
      </c>
    </row>
    <row r="46" spans="1:12" ht="12" customHeight="1" x14ac:dyDescent="0.2">
      <c r="A46" s="500"/>
      <c r="B46" s="293" t="s">
        <v>2877</v>
      </c>
      <c r="C46" s="289"/>
      <c r="D46" s="295">
        <v>4</v>
      </c>
      <c r="E46" s="296" t="s">
        <v>1593</v>
      </c>
      <c r="F46" s="301">
        <v>213</v>
      </c>
      <c r="G46" s="299"/>
      <c r="H46" s="288"/>
      <c r="I46" s="45">
        <f>+'Op Detail'!D6668</f>
        <v>218000</v>
      </c>
      <c r="J46" s="144">
        <v>156000</v>
      </c>
      <c r="K46" s="101">
        <f t="shared" si="1"/>
        <v>62000</v>
      </c>
      <c r="L46" s="27" t="s">
        <v>3116</v>
      </c>
    </row>
    <row r="47" spans="1:12" ht="12" customHeight="1" x14ac:dyDescent="0.2">
      <c r="A47" s="500"/>
      <c r="B47" s="293" t="s">
        <v>724</v>
      </c>
      <c r="C47" s="289"/>
      <c r="D47" s="295">
        <v>4</v>
      </c>
      <c r="E47" s="296" t="s">
        <v>1593</v>
      </c>
      <c r="F47" s="301">
        <v>133</v>
      </c>
      <c r="G47" s="299"/>
      <c r="H47" s="288"/>
      <c r="I47" s="45">
        <f>'Op Detail'!D4210</f>
        <v>207540</v>
      </c>
      <c r="J47" s="144">
        <v>234962.4</v>
      </c>
      <c r="K47" s="101">
        <f t="shared" si="1"/>
        <v>-27422.400000000001</v>
      </c>
      <c r="L47" s="27" t="s">
        <v>3117</v>
      </c>
    </row>
    <row r="48" spans="1:12" ht="12" customHeight="1" x14ac:dyDescent="0.2">
      <c r="A48" s="500"/>
      <c r="B48" s="293" t="s">
        <v>2852</v>
      </c>
      <c r="C48" s="289"/>
      <c r="D48" s="295">
        <v>4</v>
      </c>
      <c r="E48" s="305" t="s">
        <v>1593</v>
      </c>
      <c r="F48" s="301">
        <v>209</v>
      </c>
      <c r="G48" s="299"/>
      <c r="H48" s="288"/>
      <c r="I48" s="45">
        <f>'Op Detail'!D6579</f>
        <v>3000</v>
      </c>
      <c r="J48" s="144">
        <v>8600</v>
      </c>
      <c r="K48" s="101">
        <f t="shared" si="1"/>
        <v>-5600</v>
      </c>
      <c r="L48" s="27" t="s">
        <v>3116</v>
      </c>
    </row>
    <row r="49" spans="1:12" ht="12.75" customHeight="1" x14ac:dyDescent="0.2">
      <c r="A49" s="500"/>
      <c r="B49" s="293" t="s">
        <v>1858</v>
      </c>
      <c r="C49" s="289"/>
      <c r="D49" s="295">
        <v>4</v>
      </c>
      <c r="E49" s="296" t="s">
        <v>1593</v>
      </c>
      <c r="F49" s="301">
        <v>116</v>
      </c>
      <c r="G49" s="299"/>
      <c r="H49" s="288"/>
      <c r="I49" s="81">
        <f>'Op Detail'!F3640</f>
        <v>25320</v>
      </c>
      <c r="J49" s="144">
        <v>46017.35</v>
      </c>
      <c r="K49" s="101">
        <f t="shared" si="1"/>
        <v>-20697.349999999999</v>
      </c>
      <c r="L49" s="27" t="s">
        <v>3117</v>
      </c>
    </row>
    <row r="50" spans="1:12" ht="12.75" customHeight="1" x14ac:dyDescent="0.2">
      <c r="A50" s="499" t="s">
        <v>1655</v>
      </c>
      <c r="B50" s="304" t="s">
        <v>2756</v>
      </c>
      <c r="C50" s="289"/>
      <c r="D50" s="295">
        <v>4</v>
      </c>
      <c r="E50" s="296" t="s">
        <v>1593</v>
      </c>
      <c r="F50" s="301">
        <v>111</v>
      </c>
      <c r="G50" s="299"/>
      <c r="H50" s="288"/>
      <c r="I50" s="45">
        <f>'Op Detail'!D3470+'Op Detail'!E3470+'Op Detail'!F3470+'Op Detail'!H3470</f>
        <v>51680</v>
      </c>
      <c r="J50" s="144">
        <v>59015</v>
      </c>
      <c r="K50" s="101">
        <f t="shared" si="1"/>
        <v>-7335</v>
      </c>
      <c r="L50" s="27" t="s">
        <v>3118</v>
      </c>
    </row>
    <row r="51" spans="1:12" ht="12.75" customHeight="1" x14ac:dyDescent="0.2">
      <c r="A51" s="500"/>
      <c r="B51" s="304" t="s">
        <v>1860</v>
      </c>
      <c r="C51" s="289"/>
      <c r="D51" s="295">
        <v>4</v>
      </c>
      <c r="E51" s="296" t="s">
        <v>1593</v>
      </c>
      <c r="F51" s="301">
        <v>121</v>
      </c>
      <c r="G51" s="299"/>
      <c r="H51" s="288"/>
      <c r="I51" s="45">
        <f>'Op Detail'!F3791</f>
        <v>1820</v>
      </c>
      <c r="J51" s="144">
        <v>5300</v>
      </c>
      <c r="K51" s="101">
        <f t="shared" si="1"/>
        <v>-3480</v>
      </c>
      <c r="L51" s="27" t="s">
        <v>3117</v>
      </c>
    </row>
    <row r="52" spans="1:12" ht="12.75" customHeight="1" x14ac:dyDescent="0.2">
      <c r="A52" s="500"/>
      <c r="B52" s="304" t="s">
        <v>2912</v>
      </c>
      <c r="C52" s="307"/>
      <c r="D52" s="308">
        <v>4</v>
      </c>
      <c r="E52" s="309" t="s">
        <v>1593</v>
      </c>
      <c r="F52" s="335">
        <v>7</v>
      </c>
      <c r="G52" s="299"/>
      <c r="H52" s="288"/>
      <c r="I52" s="81">
        <f>'Op Detail'!D214</f>
        <v>14540</v>
      </c>
      <c r="J52" s="144">
        <v>19050</v>
      </c>
      <c r="K52" s="101">
        <f t="shared" si="1"/>
        <v>-4510</v>
      </c>
      <c r="L52" s="27" t="s">
        <v>3120</v>
      </c>
    </row>
    <row r="53" spans="1:12" ht="12.75" customHeight="1" x14ac:dyDescent="0.2">
      <c r="A53" s="500"/>
      <c r="B53" s="304" t="s">
        <v>1363</v>
      </c>
      <c r="C53" s="289"/>
      <c r="D53" s="295">
        <v>4</v>
      </c>
      <c r="E53" s="296" t="s">
        <v>1593</v>
      </c>
      <c r="F53" s="301">
        <v>128</v>
      </c>
      <c r="G53" s="299"/>
      <c r="H53" s="288"/>
      <c r="I53" s="81">
        <f>'Op Detail'!D4025</f>
        <v>0</v>
      </c>
      <c r="J53" s="144">
        <v>0</v>
      </c>
      <c r="K53" s="101">
        <f t="shared" si="1"/>
        <v>0</v>
      </c>
      <c r="L53" s="27" t="s">
        <v>3117</v>
      </c>
    </row>
    <row r="54" spans="1:12" ht="12.75" customHeight="1" x14ac:dyDescent="0.2">
      <c r="A54" s="500"/>
      <c r="B54" s="304" t="s">
        <v>1053</v>
      </c>
      <c r="C54" s="289"/>
      <c r="D54" s="295">
        <v>4</v>
      </c>
      <c r="E54" s="296" t="s">
        <v>1593</v>
      </c>
      <c r="F54" s="301" t="s">
        <v>1595</v>
      </c>
      <c r="G54" s="299"/>
      <c r="H54" s="288"/>
      <c r="I54" s="81">
        <f>'Op Detail'!D1932</f>
        <v>0</v>
      </c>
      <c r="J54" s="144">
        <v>0</v>
      </c>
      <c r="K54" s="101">
        <f t="shared" si="1"/>
        <v>0</v>
      </c>
      <c r="L54" s="27" t="s">
        <v>3117</v>
      </c>
    </row>
    <row r="55" spans="1:12" ht="12.75" customHeight="1" x14ac:dyDescent="0.2">
      <c r="A55" s="500"/>
      <c r="B55" s="304" t="s">
        <v>1361</v>
      </c>
      <c r="C55" s="289"/>
      <c r="D55" s="295">
        <v>4</v>
      </c>
      <c r="E55" s="296" t="s">
        <v>1593</v>
      </c>
      <c r="F55" s="301">
        <v>124</v>
      </c>
      <c r="G55" s="299"/>
      <c r="H55" s="288"/>
      <c r="I55" s="81">
        <f>'Op Detail'!E3885+'Op Detail'!D3885</f>
        <v>20205</v>
      </c>
      <c r="J55" s="144">
        <v>22510</v>
      </c>
      <c r="K55" s="101">
        <f t="shared" si="1"/>
        <v>-2305</v>
      </c>
      <c r="L55" s="27" t="s">
        <v>3117</v>
      </c>
    </row>
    <row r="56" spans="1:12" ht="12.75" customHeight="1" x14ac:dyDescent="0.2">
      <c r="A56" s="500"/>
      <c r="B56" s="304" t="s">
        <v>1060</v>
      </c>
      <c r="C56" s="289"/>
      <c r="D56" s="295">
        <v>4</v>
      </c>
      <c r="E56" s="296" t="s">
        <v>1593</v>
      </c>
      <c r="F56" s="301">
        <v>77</v>
      </c>
      <c r="G56" s="299"/>
      <c r="H56" s="288"/>
      <c r="I56" s="81">
        <f>'Op Detail'!D2283</f>
        <v>1065.5899999999999</v>
      </c>
      <c r="J56" s="144">
        <v>6760</v>
      </c>
      <c r="K56" s="101">
        <f t="shared" si="1"/>
        <v>-5694.41</v>
      </c>
      <c r="L56" s="27" t="s">
        <v>3117</v>
      </c>
    </row>
    <row r="57" spans="1:12" ht="12.75" customHeight="1" x14ac:dyDescent="0.2">
      <c r="A57" s="500"/>
      <c r="B57" s="304" t="s">
        <v>1115</v>
      </c>
      <c r="C57" s="289"/>
      <c r="D57" s="295">
        <v>4</v>
      </c>
      <c r="E57" s="296" t="s">
        <v>1593</v>
      </c>
      <c r="F57" s="335">
        <v>63</v>
      </c>
      <c r="G57" s="299"/>
      <c r="H57" s="288"/>
      <c r="I57" s="81">
        <f>'Op Detail'!D1899</f>
        <v>29480</v>
      </c>
      <c r="J57" s="144">
        <v>36850</v>
      </c>
      <c r="K57" s="101">
        <f t="shared" si="1"/>
        <v>-7370</v>
      </c>
      <c r="L57" s="27" t="s">
        <v>3117</v>
      </c>
    </row>
    <row r="58" spans="1:12" ht="12.75" customHeight="1" x14ac:dyDescent="0.2">
      <c r="A58" s="500"/>
      <c r="B58" s="304" t="s">
        <v>1319</v>
      </c>
      <c r="C58" s="289"/>
      <c r="D58" s="295">
        <v>4</v>
      </c>
      <c r="E58" s="296" t="s">
        <v>1593</v>
      </c>
      <c r="F58" s="335">
        <v>38</v>
      </c>
      <c r="G58" s="299"/>
      <c r="H58" s="288"/>
      <c r="I58" s="81">
        <f>'Op Detail'!D1355</f>
        <v>16900</v>
      </c>
      <c r="J58" s="144">
        <v>16800</v>
      </c>
      <c r="K58" s="101">
        <f t="shared" si="1"/>
        <v>100</v>
      </c>
      <c r="L58" s="27" t="s">
        <v>3120</v>
      </c>
    </row>
    <row r="59" spans="1:12" ht="12.75" customHeight="1" x14ac:dyDescent="0.2">
      <c r="A59" s="500"/>
      <c r="B59" s="304" t="s">
        <v>1362</v>
      </c>
      <c r="C59" s="289"/>
      <c r="D59" s="295">
        <v>4</v>
      </c>
      <c r="E59" s="296" t="s">
        <v>1593</v>
      </c>
      <c r="F59" s="301">
        <v>126</v>
      </c>
      <c r="G59" s="299"/>
      <c r="H59" s="288"/>
      <c r="I59" s="81">
        <f>'Op Detail'!D3956</f>
        <v>14880</v>
      </c>
      <c r="J59" s="144">
        <v>17675</v>
      </c>
      <c r="K59" s="101">
        <f t="shared" si="1"/>
        <v>-2795</v>
      </c>
      <c r="L59" s="27" t="s">
        <v>3117</v>
      </c>
    </row>
    <row r="60" spans="1:12" ht="12.75" customHeight="1" x14ac:dyDescent="0.2">
      <c r="A60" s="500"/>
      <c r="B60" s="304" t="s">
        <v>242</v>
      </c>
      <c r="C60" s="289"/>
      <c r="D60" s="295">
        <v>4</v>
      </c>
      <c r="E60" s="296" t="s">
        <v>1593</v>
      </c>
      <c r="F60" s="301">
        <v>127</v>
      </c>
      <c r="G60" s="299"/>
      <c r="H60" s="288"/>
      <c r="I60" s="81">
        <f>'Op Detail'!D3993</f>
        <v>23976</v>
      </c>
      <c r="J60" s="144">
        <v>22470</v>
      </c>
      <c r="K60" s="101">
        <f t="shared" si="1"/>
        <v>1506</v>
      </c>
      <c r="L60" s="27" t="s">
        <v>3117</v>
      </c>
    </row>
    <row r="61" spans="1:12" ht="12.75" customHeight="1" x14ac:dyDescent="0.2">
      <c r="A61" s="500"/>
      <c r="B61" s="304" t="s">
        <v>2955</v>
      </c>
      <c r="C61" s="289"/>
      <c r="D61" s="295">
        <v>4</v>
      </c>
      <c r="E61" s="296" t="s">
        <v>1593</v>
      </c>
      <c r="F61" s="301">
        <v>210</v>
      </c>
      <c r="G61" s="299"/>
      <c r="H61" s="288"/>
      <c r="I61" s="81">
        <f>+'Op Detail'!D6602</f>
        <v>5000</v>
      </c>
      <c r="J61" s="144">
        <v>0</v>
      </c>
      <c r="K61" s="101">
        <f t="shared" si="1"/>
        <v>5000</v>
      </c>
      <c r="L61" s="27" t="s">
        <v>3119</v>
      </c>
    </row>
    <row r="62" spans="1:12" ht="12.75" customHeight="1" x14ac:dyDescent="0.2">
      <c r="A62" s="500"/>
      <c r="B62" s="304" t="s">
        <v>1077</v>
      </c>
      <c r="C62" s="289"/>
      <c r="D62" s="295">
        <v>4</v>
      </c>
      <c r="E62" s="296" t="s">
        <v>1593</v>
      </c>
      <c r="F62" s="301">
        <v>143</v>
      </c>
      <c r="G62" s="299"/>
      <c r="H62" s="288"/>
      <c r="I62" s="81">
        <f>'Op Detail'!D4465</f>
        <v>95000</v>
      </c>
      <c r="J62" s="144">
        <v>100000</v>
      </c>
      <c r="K62" s="101">
        <f t="shared" si="1"/>
        <v>-5000</v>
      </c>
      <c r="L62" s="27" t="s">
        <v>3120</v>
      </c>
    </row>
    <row r="63" spans="1:12" ht="12.75" customHeight="1" x14ac:dyDescent="0.2">
      <c r="A63" s="500"/>
      <c r="B63" s="304" t="s">
        <v>1216</v>
      </c>
      <c r="C63" s="289"/>
      <c r="D63" s="295">
        <v>4</v>
      </c>
      <c r="E63" s="296" t="s">
        <v>1593</v>
      </c>
      <c r="F63" s="301">
        <v>100</v>
      </c>
      <c r="G63" s="299"/>
      <c r="H63" s="288"/>
      <c r="I63" s="81">
        <f>'Op Detail'!D3131</f>
        <v>29229.599999999999</v>
      </c>
      <c r="J63" s="144">
        <v>38595</v>
      </c>
      <c r="K63" s="101">
        <f t="shared" si="1"/>
        <v>-9365.4</v>
      </c>
      <c r="L63" s="27" t="s">
        <v>3117</v>
      </c>
    </row>
    <row r="64" spans="1:12" ht="12.75" customHeight="1" x14ac:dyDescent="0.2">
      <c r="A64" s="500"/>
      <c r="B64" s="304" t="s">
        <v>1383</v>
      </c>
      <c r="C64" s="289"/>
      <c r="D64" s="295">
        <v>4</v>
      </c>
      <c r="E64" s="296" t="s">
        <v>1593</v>
      </c>
      <c r="F64" s="301">
        <v>166</v>
      </c>
      <c r="G64" s="299"/>
      <c r="H64" s="288"/>
      <c r="I64" s="81">
        <f>'Op Detail'!D5111</f>
        <v>0</v>
      </c>
      <c r="J64" s="144">
        <v>0</v>
      </c>
      <c r="K64" s="101">
        <f t="shared" si="1"/>
        <v>0</v>
      </c>
      <c r="L64" s="27" t="s">
        <v>3116</v>
      </c>
    </row>
    <row r="65" spans="1:12" ht="12.75" customHeight="1" x14ac:dyDescent="0.2">
      <c r="A65" s="500"/>
      <c r="B65" s="304" t="s">
        <v>466</v>
      </c>
      <c r="C65" s="289"/>
      <c r="D65" s="295">
        <v>4</v>
      </c>
      <c r="E65" s="305" t="s">
        <v>1593</v>
      </c>
      <c r="F65" s="301">
        <v>185</v>
      </c>
      <c r="G65" s="299" t="s">
        <v>1772</v>
      </c>
      <c r="H65" s="301">
        <v>187</v>
      </c>
      <c r="I65" s="81">
        <f>'Op Detail'!D5691+'Op Detail'!E5691+'Op Detail'!F5691+'Op Detail'!H5691+'Op Detail'!D5729+'Op Detail'!E5729+'Op Detail'!F5729+'Op Detail'!H5729+'Op Detail'!D5767+'Op Detail'!E5767+'Op Detail'!F5767</f>
        <v>3209.48</v>
      </c>
      <c r="J65" s="144">
        <v>7400</v>
      </c>
      <c r="K65" s="101">
        <f t="shared" si="1"/>
        <v>-4190.5200000000004</v>
      </c>
      <c r="L65" s="27" t="s">
        <v>3118</v>
      </c>
    </row>
    <row r="66" spans="1:12" ht="12.75" customHeight="1" x14ac:dyDescent="0.2">
      <c r="A66" s="500"/>
      <c r="B66" s="304" t="s">
        <v>1373</v>
      </c>
      <c r="C66" s="289"/>
      <c r="D66" s="295">
        <v>4</v>
      </c>
      <c r="E66" s="296" t="s">
        <v>1593</v>
      </c>
      <c r="F66" s="301">
        <v>147</v>
      </c>
      <c r="G66" s="299" t="s">
        <v>1772</v>
      </c>
      <c r="H66" s="302">
        <v>150</v>
      </c>
      <c r="I66" s="81">
        <f>'Op Detail'!D4590+'Op Detail'!D4619+'Op Detail'!D4648+'Op Detail'!D4662+'Op Detail'!E4662+'Op Detail'!F4662</f>
        <v>361145</v>
      </c>
      <c r="J66" s="144">
        <v>366075</v>
      </c>
      <c r="K66" s="101">
        <f t="shared" si="1"/>
        <v>-4930</v>
      </c>
      <c r="L66" s="27" t="s">
        <v>3116</v>
      </c>
    </row>
    <row r="67" spans="1:12" ht="12.75" customHeight="1" x14ac:dyDescent="0.2">
      <c r="A67" s="500"/>
      <c r="B67" s="304" t="s">
        <v>1055</v>
      </c>
      <c r="C67" s="289"/>
      <c r="D67" s="295">
        <v>4</v>
      </c>
      <c r="E67" s="296" t="s">
        <v>1593</v>
      </c>
      <c r="F67" s="335">
        <v>67</v>
      </c>
      <c r="G67" s="299"/>
      <c r="H67" s="288"/>
      <c r="I67" s="81">
        <f>'Op Detail'!D2021</f>
        <v>4868</v>
      </c>
      <c r="J67" s="144">
        <v>11555</v>
      </c>
      <c r="K67" s="101">
        <f t="shared" ref="K67:K98" si="2">I67-J67</f>
        <v>-6687</v>
      </c>
      <c r="L67" s="27" t="s">
        <v>3117</v>
      </c>
    </row>
    <row r="68" spans="1:12" ht="12.75" customHeight="1" x14ac:dyDescent="0.2">
      <c r="A68" s="500"/>
      <c r="B68" s="304" t="s">
        <v>1859</v>
      </c>
      <c r="C68" s="289"/>
      <c r="D68" s="295">
        <v>4</v>
      </c>
      <c r="E68" s="296" t="s">
        <v>1593</v>
      </c>
      <c r="F68" s="335">
        <v>5</v>
      </c>
      <c r="G68" s="299"/>
      <c r="H68" s="288"/>
      <c r="I68" s="81">
        <f>'Op Detail'!D144</f>
        <v>92312</v>
      </c>
      <c r="J68" s="144">
        <v>104350</v>
      </c>
      <c r="K68" s="101">
        <f t="shared" si="2"/>
        <v>-12038</v>
      </c>
      <c r="L68" s="27" t="s">
        <v>3120</v>
      </c>
    </row>
    <row r="69" spans="1:12" ht="12.75" customHeight="1" x14ac:dyDescent="0.2">
      <c r="A69" s="500"/>
      <c r="B69" s="304" t="s">
        <v>1069</v>
      </c>
      <c r="C69" s="289"/>
      <c r="D69" s="295">
        <v>4</v>
      </c>
      <c r="E69" s="296" t="s">
        <v>1593</v>
      </c>
      <c r="F69" s="301">
        <v>125</v>
      </c>
      <c r="G69" s="299"/>
      <c r="H69" s="288"/>
      <c r="I69" s="81">
        <f>'Op Detail'!D3922</f>
        <v>4752</v>
      </c>
      <c r="J69" s="144">
        <v>5940</v>
      </c>
      <c r="K69" s="101">
        <f t="shared" si="2"/>
        <v>-1188</v>
      </c>
      <c r="L69" s="27" t="s">
        <v>3117</v>
      </c>
    </row>
    <row r="70" spans="1:12" ht="12.75" customHeight="1" x14ac:dyDescent="0.2">
      <c r="A70" s="500"/>
      <c r="B70" s="304" t="s">
        <v>550</v>
      </c>
      <c r="C70" s="289"/>
      <c r="D70" s="295">
        <v>4</v>
      </c>
      <c r="E70" s="296" t="s">
        <v>1593</v>
      </c>
      <c r="F70" s="335">
        <v>75</v>
      </c>
      <c r="G70" s="298" t="s">
        <v>2728</v>
      </c>
      <c r="H70" s="310" t="s">
        <v>2934</v>
      </c>
      <c r="I70" s="81">
        <f>+'Op Detail'!D6399+'Op Detail'!D6410</f>
        <v>640</v>
      </c>
      <c r="J70" s="144">
        <v>800</v>
      </c>
      <c r="K70" s="101">
        <f t="shared" si="2"/>
        <v>-160</v>
      </c>
      <c r="L70" s="27" t="s">
        <v>3118</v>
      </c>
    </row>
    <row r="71" spans="1:12" ht="12.75" customHeight="1" x14ac:dyDescent="0.2">
      <c r="A71" s="500"/>
      <c r="B71" s="304" t="s">
        <v>291</v>
      </c>
      <c r="C71" s="289"/>
      <c r="D71" s="295">
        <v>4</v>
      </c>
      <c r="E71" s="305" t="s">
        <v>1593</v>
      </c>
      <c r="F71" s="301">
        <v>179</v>
      </c>
      <c r="G71" s="299" t="s">
        <v>1772</v>
      </c>
      <c r="H71" s="301">
        <v>180</v>
      </c>
      <c r="I71" s="82">
        <f>'Op Detail'!D5465+'Op Detail'!E5465+'Op Detail'!F5465+'Op Detail'!H5465+'Op Detail'!D5502+'Op Detail'!E5502</f>
        <v>1628.66</v>
      </c>
      <c r="J71" s="144">
        <v>3450</v>
      </c>
      <c r="K71" s="101">
        <f t="shared" si="2"/>
        <v>-1821.34</v>
      </c>
      <c r="L71" s="27" t="s">
        <v>3118</v>
      </c>
    </row>
    <row r="72" spans="1:12" ht="12.75" customHeight="1" x14ac:dyDescent="0.2">
      <c r="A72" s="500"/>
      <c r="B72" s="304" t="s">
        <v>1185</v>
      </c>
      <c r="C72" s="289"/>
      <c r="D72" s="295">
        <v>4</v>
      </c>
      <c r="E72" s="296" t="s">
        <v>1593</v>
      </c>
      <c r="F72" s="335">
        <v>44</v>
      </c>
      <c r="G72" s="299"/>
      <c r="H72" s="288"/>
      <c r="I72" s="45">
        <f>'Op Detail'!D1457</f>
        <v>5220</v>
      </c>
      <c r="J72" s="144">
        <v>3220</v>
      </c>
      <c r="K72" s="101">
        <f t="shared" si="2"/>
        <v>2000</v>
      </c>
      <c r="L72" s="27" t="s">
        <v>3120</v>
      </c>
    </row>
    <row r="73" spans="1:12" ht="12.75" customHeight="1" x14ac:dyDescent="0.2">
      <c r="A73" s="500"/>
      <c r="B73" s="304" t="s">
        <v>2960</v>
      </c>
      <c r="C73" s="289"/>
      <c r="D73" s="295">
        <v>4</v>
      </c>
      <c r="E73" s="296" t="s">
        <v>1593</v>
      </c>
      <c r="F73" s="335">
        <v>3</v>
      </c>
      <c r="G73" s="299"/>
      <c r="H73" s="288"/>
      <c r="I73" s="81">
        <f>'Op Detail'!D76</f>
        <v>3425</v>
      </c>
      <c r="J73" s="144">
        <v>3425</v>
      </c>
      <c r="K73" s="101">
        <f t="shared" si="2"/>
        <v>0</v>
      </c>
      <c r="L73" s="27" t="s">
        <v>3120</v>
      </c>
    </row>
    <row r="74" spans="1:12" ht="12.75" customHeight="1" x14ac:dyDescent="0.2">
      <c r="A74" s="500"/>
      <c r="B74" s="304" t="s">
        <v>1218</v>
      </c>
      <c r="C74" s="289"/>
      <c r="D74" s="295">
        <v>4</v>
      </c>
      <c r="E74" s="296" t="s">
        <v>1593</v>
      </c>
      <c r="F74" s="301">
        <v>102</v>
      </c>
      <c r="G74" s="299"/>
      <c r="H74" s="288"/>
      <c r="I74" s="81">
        <f>'Op Detail'!D3185</f>
        <v>1996</v>
      </c>
      <c r="J74" s="144">
        <v>5005</v>
      </c>
      <c r="K74" s="101">
        <f t="shared" si="2"/>
        <v>-3009</v>
      </c>
      <c r="L74" s="27" t="s">
        <v>3117</v>
      </c>
    </row>
    <row r="75" spans="1:12" ht="12.75" customHeight="1" x14ac:dyDescent="0.2">
      <c r="A75" s="500"/>
      <c r="B75" s="304" t="s">
        <v>1360</v>
      </c>
      <c r="C75" s="289"/>
      <c r="D75" s="295">
        <v>4</v>
      </c>
      <c r="E75" s="296" t="s">
        <v>1593</v>
      </c>
      <c r="F75" s="301">
        <v>122</v>
      </c>
      <c r="G75" s="299"/>
      <c r="H75" s="288"/>
      <c r="I75" s="81">
        <f>'Op Detail'!D3819</f>
        <v>2680</v>
      </c>
      <c r="J75" s="144">
        <v>4600</v>
      </c>
      <c r="K75" s="101">
        <f t="shared" si="2"/>
        <v>-1920</v>
      </c>
      <c r="L75" s="27" t="s">
        <v>3117</v>
      </c>
    </row>
    <row r="76" spans="1:12" ht="12.75" customHeight="1" x14ac:dyDescent="0.2">
      <c r="A76" s="500"/>
      <c r="B76" s="304" t="s">
        <v>1844</v>
      </c>
      <c r="C76" s="289"/>
      <c r="D76" s="295">
        <v>4</v>
      </c>
      <c r="E76" s="305" t="s">
        <v>1593</v>
      </c>
      <c r="F76" s="301">
        <v>194</v>
      </c>
      <c r="G76" s="299"/>
      <c r="H76" s="288"/>
      <c r="I76" s="81">
        <f>'Op Detail'!D6048</f>
        <v>3240</v>
      </c>
      <c r="J76" s="144">
        <v>4100</v>
      </c>
      <c r="K76" s="101">
        <f t="shared" si="2"/>
        <v>-860</v>
      </c>
      <c r="L76" s="27" t="s">
        <v>3117</v>
      </c>
    </row>
    <row r="77" spans="1:12" ht="12.75" customHeight="1" x14ac:dyDescent="0.2">
      <c r="A77" s="500"/>
      <c r="B77" s="304" t="s">
        <v>1182</v>
      </c>
      <c r="C77" s="289"/>
      <c r="D77" s="295">
        <v>4</v>
      </c>
      <c r="E77" s="296" t="s">
        <v>1593</v>
      </c>
      <c r="F77" s="301">
        <v>40</v>
      </c>
      <c r="G77" s="299"/>
      <c r="H77" s="288"/>
      <c r="I77" s="45">
        <f>'Op Detail'!D1391</f>
        <v>15150</v>
      </c>
      <c r="J77" s="144">
        <v>30150</v>
      </c>
      <c r="K77" s="101">
        <f t="shared" si="2"/>
        <v>-15000</v>
      </c>
      <c r="L77" s="27" t="s">
        <v>3120</v>
      </c>
    </row>
    <row r="78" spans="1:12" ht="12.75" customHeight="1" x14ac:dyDescent="0.2">
      <c r="A78" s="500"/>
      <c r="B78" s="304" t="s">
        <v>1230</v>
      </c>
      <c r="C78" s="289"/>
      <c r="D78" s="295">
        <v>4</v>
      </c>
      <c r="E78" s="296" t="s">
        <v>1593</v>
      </c>
      <c r="F78" s="301">
        <v>119</v>
      </c>
      <c r="G78" s="299"/>
      <c r="H78" s="288"/>
      <c r="I78" s="81">
        <f>'Op Detail'!F3722</f>
        <v>0</v>
      </c>
      <c r="J78" s="144">
        <v>0</v>
      </c>
      <c r="K78" s="101">
        <f t="shared" si="2"/>
        <v>0</v>
      </c>
      <c r="L78" s="27" t="s">
        <v>3117</v>
      </c>
    </row>
    <row r="79" spans="1:12" ht="12.75" customHeight="1" x14ac:dyDescent="0.2">
      <c r="A79" s="500"/>
      <c r="B79" s="304" t="s">
        <v>1054</v>
      </c>
      <c r="C79" s="289"/>
      <c r="D79" s="295">
        <v>4</v>
      </c>
      <c r="E79" s="296" t="s">
        <v>1593</v>
      </c>
      <c r="F79" s="335">
        <v>66</v>
      </c>
      <c r="G79" s="299"/>
      <c r="H79" s="288"/>
      <c r="I79" s="81">
        <f>'Op Detail'!D1980</f>
        <v>596</v>
      </c>
      <c r="J79" s="144">
        <v>1000</v>
      </c>
      <c r="K79" s="101">
        <f t="shared" si="2"/>
        <v>-404</v>
      </c>
      <c r="L79" s="27" t="s">
        <v>3117</v>
      </c>
    </row>
    <row r="80" spans="1:12" ht="12.75" customHeight="1" x14ac:dyDescent="0.2">
      <c r="A80" s="500"/>
      <c r="B80" s="304" t="s">
        <v>1367</v>
      </c>
      <c r="C80" s="289"/>
      <c r="D80" s="295">
        <v>4</v>
      </c>
      <c r="E80" s="296" t="s">
        <v>1593</v>
      </c>
      <c r="F80" s="301">
        <v>132</v>
      </c>
      <c r="G80" s="299"/>
      <c r="H80" s="288"/>
      <c r="I80" s="81">
        <f>'Op Detail'!D4167</f>
        <v>30783</v>
      </c>
      <c r="J80" s="144">
        <v>25696</v>
      </c>
      <c r="K80" s="101">
        <f t="shared" si="2"/>
        <v>5087</v>
      </c>
      <c r="L80" s="27" t="s">
        <v>3117</v>
      </c>
    </row>
    <row r="81" spans="1:12" ht="12.75" customHeight="1" x14ac:dyDescent="0.2">
      <c r="A81" s="500"/>
      <c r="B81" s="304" t="s">
        <v>707</v>
      </c>
      <c r="C81" s="289"/>
      <c r="D81" s="295">
        <v>4</v>
      </c>
      <c r="E81" s="305" t="s">
        <v>1593</v>
      </c>
      <c r="F81" s="301">
        <v>193</v>
      </c>
      <c r="G81" s="299"/>
      <c r="H81" s="288"/>
      <c r="I81" s="81">
        <f>'Op Detail'!D6007</f>
        <v>-2076.6</v>
      </c>
      <c r="J81" s="144">
        <v>4250</v>
      </c>
      <c r="K81" s="101">
        <f t="shared" si="2"/>
        <v>-6326.6</v>
      </c>
      <c r="L81" s="27" t="s">
        <v>3117</v>
      </c>
    </row>
    <row r="82" spans="1:12" ht="12.75" customHeight="1" x14ac:dyDescent="0.2">
      <c r="A82" s="500"/>
      <c r="B82" s="304" t="s">
        <v>1388</v>
      </c>
      <c r="C82" s="289"/>
      <c r="D82" s="295">
        <v>4</v>
      </c>
      <c r="E82" s="296" t="s">
        <v>1593</v>
      </c>
      <c r="F82" s="301">
        <v>174</v>
      </c>
      <c r="G82" s="299"/>
      <c r="H82" s="288"/>
      <c r="I82" s="81">
        <f>'Op Detail'!D5310</f>
        <v>60</v>
      </c>
      <c r="J82" s="144">
        <v>1325</v>
      </c>
      <c r="K82" s="101">
        <f t="shared" si="2"/>
        <v>-1265</v>
      </c>
      <c r="L82" s="27" t="s">
        <v>3117</v>
      </c>
    </row>
    <row r="83" spans="1:12" ht="12.75" customHeight="1" x14ac:dyDescent="0.2">
      <c r="A83" s="500"/>
      <c r="B83" s="304" t="s">
        <v>541</v>
      </c>
      <c r="C83" s="289"/>
      <c r="D83" s="295">
        <v>4</v>
      </c>
      <c r="E83" s="296" t="s">
        <v>1593</v>
      </c>
      <c r="F83" s="331" t="s">
        <v>2935</v>
      </c>
      <c r="G83" s="299"/>
      <c r="H83" s="302"/>
      <c r="I83" s="45">
        <f>'Op Detail'!D2148+'Op Detail'!E2148+'Op Detail'!F2148+'Op Detail'!H2148+'Op Detail'!D2188+'Op Detail'!E2188+'Op Detail'!F2188+'Op Detail'!H2188+'Op Detail'!D2209+'Op Detail'!D5146+'Op Detail'!D6435+'Op Detail'!E6435+'Op Detail'!F6435+'Op Detail'!H6435+'Op Detail'!D6460+'Op Detail'!E6460+'Op Detail'!F6460+'Op Detail'!H6460</f>
        <v>66500.23</v>
      </c>
      <c r="J83" s="144">
        <f>108350+19921+2500</f>
        <v>130771</v>
      </c>
      <c r="K83" s="101">
        <f t="shared" si="2"/>
        <v>-64270.77</v>
      </c>
      <c r="L83" s="27" t="s">
        <v>3118</v>
      </c>
    </row>
    <row r="84" spans="1:12" ht="12.75" customHeight="1" x14ac:dyDescent="0.2">
      <c r="A84" s="500"/>
      <c r="B84" s="304" t="s">
        <v>2969</v>
      </c>
      <c r="C84" s="289"/>
      <c r="D84" s="295">
        <v>4</v>
      </c>
      <c r="E84" s="296" t="s">
        <v>1593</v>
      </c>
      <c r="F84" s="335">
        <v>62</v>
      </c>
      <c r="G84" s="299"/>
      <c r="H84" s="288"/>
      <c r="I84" s="81">
        <f>'Op Detail'!D1863+'Op Detail'!E1863</f>
        <v>22330</v>
      </c>
      <c r="J84" s="144">
        <f>5250+17550</f>
        <v>22800</v>
      </c>
      <c r="K84" s="101">
        <f t="shared" si="2"/>
        <v>-470</v>
      </c>
      <c r="L84" s="27" t="s">
        <v>3117</v>
      </c>
    </row>
    <row r="85" spans="1:12" ht="12.75" customHeight="1" x14ac:dyDescent="0.2">
      <c r="A85" s="500"/>
      <c r="B85" s="304" t="s">
        <v>1515</v>
      </c>
      <c r="C85" s="289"/>
      <c r="D85" s="295">
        <v>4</v>
      </c>
      <c r="E85" s="296" t="s">
        <v>1593</v>
      </c>
      <c r="F85" s="301">
        <v>151</v>
      </c>
      <c r="G85" s="299"/>
      <c r="H85" s="288"/>
      <c r="I85" s="45">
        <f>'Op Detail'!D4690+'Op Detail'!E4690+'Op Detail'!F4690</f>
        <v>83300</v>
      </c>
      <c r="J85" s="144">
        <v>153750</v>
      </c>
      <c r="K85" s="101">
        <f t="shared" si="2"/>
        <v>-70450</v>
      </c>
      <c r="L85" s="27" t="s">
        <v>3116</v>
      </c>
    </row>
    <row r="86" spans="1:12" ht="12.75" customHeight="1" x14ac:dyDescent="0.2">
      <c r="A86" s="500"/>
      <c r="B86" s="304" t="s">
        <v>1389</v>
      </c>
      <c r="C86" s="289"/>
      <c r="D86" s="295">
        <v>4</v>
      </c>
      <c r="E86" s="296" t="s">
        <v>1593</v>
      </c>
      <c r="F86" s="301">
        <v>175</v>
      </c>
      <c r="G86" s="299"/>
      <c r="H86" s="288"/>
      <c r="I86" s="81">
        <f>'Op Detail'!D5341</f>
        <v>0</v>
      </c>
      <c r="J86" s="144">
        <v>0</v>
      </c>
      <c r="K86" s="101">
        <f t="shared" si="2"/>
        <v>0</v>
      </c>
      <c r="L86" s="27" t="s">
        <v>3117</v>
      </c>
    </row>
    <row r="87" spans="1:12" ht="12.75" customHeight="1" x14ac:dyDescent="0.2">
      <c r="A87" s="500"/>
      <c r="B87" s="304" t="s">
        <v>1378</v>
      </c>
      <c r="C87" s="289"/>
      <c r="D87" s="295">
        <v>4</v>
      </c>
      <c r="E87" s="296" t="s">
        <v>1593</v>
      </c>
      <c r="F87" s="301">
        <v>157</v>
      </c>
      <c r="G87" s="299"/>
      <c r="H87" s="288"/>
      <c r="I87" s="81">
        <f>'Op Detail'!D4838</f>
        <v>94735</v>
      </c>
      <c r="J87" s="144">
        <v>99560</v>
      </c>
      <c r="K87" s="101">
        <f t="shared" si="2"/>
        <v>-4825</v>
      </c>
      <c r="L87" s="27" t="s">
        <v>3117</v>
      </c>
    </row>
    <row r="88" spans="1:12" ht="12.75" customHeight="1" x14ac:dyDescent="0.2">
      <c r="A88" s="500"/>
      <c r="B88" s="304" t="s">
        <v>2978</v>
      </c>
      <c r="C88" s="289"/>
      <c r="D88" s="295">
        <v>4</v>
      </c>
      <c r="E88" s="296" t="s">
        <v>1593</v>
      </c>
      <c r="F88" s="335">
        <v>60</v>
      </c>
      <c r="G88" s="299"/>
      <c r="H88" s="288"/>
      <c r="I88" s="81">
        <f>'Op Detail'!D1791</f>
        <v>5480</v>
      </c>
      <c r="J88" s="144">
        <v>7075</v>
      </c>
      <c r="K88" s="101">
        <f t="shared" si="2"/>
        <v>-1595</v>
      </c>
      <c r="L88" s="27" t="s">
        <v>3117</v>
      </c>
    </row>
    <row r="89" spans="1:12" ht="12.75" customHeight="1" x14ac:dyDescent="0.2">
      <c r="A89" s="500"/>
      <c r="B89" s="304" t="s">
        <v>1065</v>
      </c>
      <c r="C89" s="289"/>
      <c r="D89" s="295">
        <v>4</v>
      </c>
      <c r="E89" s="296" t="s">
        <v>1593</v>
      </c>
      <c r="F89" s="301">
        <v>83</v>
      </c>
      <c r="G89" s="299" t="s">
        <v>1772</v>
      </c>
      <c r="H89" s="302">
        <v>88</v>
      </c>
      <c r="I89" s="81">
        <f>'Op Detail'!D2491+'Op Detail'!E2491+'Op Detail'!F2491+'Op Detail'!G2491+'Op Detail'!H2491+'Op Detail'!D2533+'Op Detail'!E2533+'Op Detail'!F2533+'Op Detail'!H2533+'Op Detail'!D2573+'Op Detail'!E2573+'Op Detail'!F2573+'Op Detail'!H2573+'Op Detail'!D2614+'Op Detail'!E2614+'Op Detail'!F2614+'Op Detail'!H2614+'Op Detail'!D2656+'Op Detail'!E2656+'Op Detail'!F2656+'Op Detail'!H2656+'Op Detail'!D2702+'Op Detail'!E2702+'Op Detail'!F2702+'Op Detail'!H2702</f>
        <v>87749.68</v>
      </c>
      <c r="J89" s="144">
        <f>109273+3515</f>
        <v>112788</v>
      </c>
      <c r="K89" s="101">
        <f t="shared" si="2"/>
        <v>-25038.32</v>
      </c>
      <c r="L89" s="27" t="s">
        <v>3122</v>
      </c>
    </row>
    <row r="90" spans="1:12" ht="12.75" customHeight="1" x14ac:dyDescent="0.2">
      <c r="A90" s="500"/>
      <c r="B90" s="304" t="s">
        <v>1225</v>
      </c>
      <c r="C90" s="289"/>
      <c r="D90" s="295">
        <v>4</v>
      </c>
      <c r="E90" s="296" t="s">
        <v>1593</v>
      </c>
      <c r="F90" s="301">
        <v>109</v>
      </c>
      <c r="G90" s="299"/>
      <c r="H90" s="288"/>
      <c r="I90" s="81">
        <f>'Op Detail'!D3390</f>
        <v>18132</v>
      </c>
      <c r="J90" s="144">
        <v>25238</v>
      </c>
      <c r="K90" s="101">
        <f t="shared" si="2"/>
        <v>-7106</v>
      </c>
      <c r="L90" s="27" t="s">
        <v>3122</v>
      </c>
    </row>
    <row r="91" spans="1:12" ht="12.75" customHeight="1" x14ac:dyDescent="0.2">
      <c r="A91" s="500"/>
      <c r="B91" s="304" t="s">
        <v>2848</v>
      </c>
      <c r="C91" s="289"/>
      <c r="D91" s="295">
        <v>4</v>
      </c>
      <c r="E91" s="296" t="s">
        <v>1593</v>
      </c>
      <c r="F91" s="301">
        <v>76</v>
      </c>
      <c r="G91" s="299"/>
      <c r="H91" s="288"/>
      <c r="I91" s="81">
        <f>'Op Detail'!D2252</f>
        <v>16714.78</v>
      </c>
      <c r="J91" s="144">
        <v>16450</v>
      </c>
      <c r="K91" s="101">
        <f t="shared" si="2"/>
        <v>264.77999999999997</v>
      </c>
      <c r="L91" s="27" t="s">
        <v>3117</v>
      </c>
    </row>
    <row r="92" spans="1:12" ht="12.75" customHeight="1" x14ac:dyDescent="0.2">
      <c r="A92" s="500"/>
      <c r="B92" s="304" t="s">
        <v>1059</v>
      </c>
      <c r="C92" s="289"/>
      <c r="D92" s="295">
        <v>4</v>
      </c>
      <c r="E92" s="296"/>
      <c r="F92" s="301">
        <v>211</v>
      </c>
      <c r="G92" s="299"/>
      <c r="H92" s="288"/>
      <c r="I92" s="81">
        <f>+'Op Detail'!D6642</f>
        <v>2194.44</v>
      </c>
      <c r="J92" s="144">
        <v>2300</v>
      </c>
      <c r="K92" s="101">
        <f t="shared" si="2"/>
        <v>-105.56</v>
      </c>
      <c r="L92" s="27" t="s">
        <v>3117</v>
      </c>
    </row>
    <row r="93" spans="1:12" ht="12.75" customHeight="1" x14ac:dyDescent="0.2">
      <c r="A93" s="500"/>
      <c r="B93" s="304" t="s">
        <v>1930</v>
      </c>
      <c r="C93" s="289"/>
      <c r="D93" s="295">
        <v>4</v>
      </c>
      <c r="E93" s="296" t="s">
        <v>1593</v>
      </c>
      <c r="F93" s="301">
        <v>170</v>
      </c>
      <c r="G93" s="299"/>
      <c r="H93" s="288"/>
      <c r="I93" s="85">
        <f>'Op Detail'!D5195</f>
        <v>2697.6</v>
      </c>
      <c r="J93" s="144">
        <v>3372</v>
      </c>
      <c r="K93" s="101">
        <f t="shared" si="2"/>
        <v>-674.4</v>
      </c>
      <c r="L93" s="27" t="s">
        <v>3117</v>
      </c>
    </row>
    <row r="94" spans="1:12" ht="12.75" customHeight="1" x14ac:dyDescent="0.2">
      <c r="A94" s="500"/>
      <c r="B94" s="304" t="s">
        <v>1390</v>
      </c>
      <c r="C94" s="289"/>
      <c r="D94" s="295">
        <v>4</v>
      </c>
      <c r="E94" s="296" t="s">
        <v>1593</v>
      </c>
      <c r="F94" s="301">
        <v>177</v>
      </c>
      <c r="G94" s="299"/>
      <c r="H94" s="288"/>
      <c r="I94" s="81">
        <f>'Op Detail'!D5396</f>
        <v>18220</v>
      </c>
      <c r="J94" s="144">
        <v>17340</v>
      </c>
      <c r="K94" s="101">
        <f t="shared" si="2"/>
        <v>880</v>
      </c>
      <c r="L94" s="27" t="s">
        <v>3117</v>
      </c>
    </row>
    <row r="95" spans="1:12" ht="12.75" customHeight="1" x14ac:dyDescent="0.2">
      <c r="A95" s="500"/>
      <c r="B95" s="304" t="s">
        <v>464</v>
      </c>
      <c r="C95" s="289"/>
      <c r="D95" s="295">
        <v>4</v>
      </c>
      <c r="E95" s="305" t="s">
        <v>1593</v>
      </c>
      <c r="F95" s="301">
        <v>183</v>
      </c>
      <c r="G95" s="299" t="s">
        <v>1772</v>
      </c>
      <c r="H95" s="301">
        <v>184</v>
      </c>
      <c r="I95" s="81">
        <f>'Op Detail'!D5615+'Op Detail'!E5615+'Op Detail'!F5615+'Op Detail'!H5615+'Op Detail'!D5653+'Op Detail'!E5653</f>
        <v>0</v>
      </c>
      <c r="J95" s="144">
        <v>0</v>
      </c>
      <c r="K95" s="101">
        <f t="shared" si="2"/>
        <v>0</v>
      </c>
      <c r="L95" s="27" t="s">
        <v>3118</v>
      </c>
    </row>
    <row r="96" spans="1:12" ht="12.75" customHeight="1" x14ac:dyDescent="0.2">
      <c r="A96" s="500"/>
      <c r="B96" s="304" t="s">
        <v>1318</v>
      </c>
      <c r="C96" s="289"/>
      <c r="D96" s="295">
        <v>4</v>
      </c>
      <c r="E96" s="296" t="s">
        <v>1593</v>
      </c>
      <c r="F96" s="335">
        <v>37</v>
      </c>
      <c r="G96" s="299"/>
      <c r="H96" s="288"/>
      <c r="I96" s="45">
        <f>'Op Detail'!D1343</f>
        <v>25000</v>
      </c>
      <c r="J96" s="144">
        <v>17500</v>
      </c>
      <c r="K96" s="101">
        <f t="shared" si="2"/>
        <v>7500</v>
      </c>
      <c r="L96" s="27" t="s">
        <v>3120</v>
      </c>
    </row>
    <row r="97" spans="1:12" ht="12.75" customHeight="1" x14ac:dyDescent="0.2">
      <c r="A97" s="500"/>
      <c r="B97" s="304" t="s">
        <v>1211</v>
      </c>
      <c r="C97" s="289"/>
      <c r="D97" s="295">
        <v>4</v>
      </c>
      <c r="E97" s="296" t="s">
        <v>1593</v>
      </c>
      <c r="F97" s="301">
        <v>89</v>
      </c>
      <c r="G97" s="299" t="s">
        <v>1772</v>
      </c>
      <c r="H97" s="302">
        <v>94</v>
      </c>
      <c r="I97" s="45">
        <f>'Op Detail'!D2748+'Op Detail'!E2748+'Op Detail'!F2748+'Op Detail'!H2748+'Op Detail'!D2790+'Op Detail'!E2790+'Op Detail'!F2790+'Op Detail'!H2790+'Op Detail'!D2831+'Op Detail'!E2831+'Op Detail'!F2831+'Op Detail'!H2831+'Op Detail'!D2879+'Op Detail'!E2879+'Op Detail'!F2879+'Op Detail'!H2879+'Op Detail'!D2921+'Op Detail'!E2921+'Op Detail'!F2921+'Op Detail'!H2921+'Op Detail'!D2962+'Op Detail'!E2962+'Op Detail'!F2962+'Op Detail'!H2962</f>
        <v>111404.97</v>
      </c>
      <c r="J97" s="144">
        <f>102541+21200+5500</f>
        <v>129241</v>
      </c>
      <c r="K97" s="101">
        <f t="shared" si="2"/>
        <v>-17836.03</v>
      </c>
      <c r="L97" s="27" t="s">
        <v>3121</v>
      </c>
    </row>
    <row r="98" spans="1:12" ht="12.75" customHeight="1" x14ac:dyDescent="0.2">
      <c r="A98" s="500"/>
      <c r="B98" s="304" t="s">
        <v>1226</v>
      </c>
      <c r="C98" s="289"/>
      <c r="D98" s="295">
        <v>4</v>
      </c>
      <c r="E98" s="296" t="s">
        <v>1593</v>
      </c>
      <c r="F98" s="301">
        <v>110</v>
      </c>
      <c r="G98" s="299"/>
      <c r="H98" s="288"/>
      <c r="I98" s="81">
        <f>'Op Detail'!D3435</f>
        <v>21870</v>
      </c>
      <c r="J98" s="144">
        <v>22590</v>
      </c>
      <c r="K98" s="101">
        <f t="shared" si="2"/>
        <v>-720</v>
      </c>
      <c r="L98" s="27" t="s">
        <v>3121</v>
      </c>
    </row>
    <row r="99" spans="1:12" ht="12.75" customHeight="1" x14ac:dyDescent="0.2">
      <c r="A99" s="500"/>
      <c r="B99" s="304" t="s">
        <v>1223</v>
      </c>
      <c r="C99" s="289"/>
      <c r="D99" s="295">
        <v>4</v>
      </c>
      <c r="E99" s="296" t="s">
        <v>1593</v>
      </c>
      <c r="F99" s="301">
        <v>107</v>
      </c>
      <c r="G99" s="299"/>
      <c r="H99" s="288"/>
      <c r="I99" s="81">
        <f>'Op Detail'!D3320</f>
        <v>2560</v>
      </c>
      <c r="J99" s="144">
        <v>3275</v>
      </c>
      <c r="K99" s="101">
        <f t="shared" ref="K99:K130" si="3">I99-J99</f>
        <v>-715</v>
      </c>
      <c r="L99" s="27" t="s">
        <v>3117</v>
      </c>
    </row>
    <row r="100" spans="1:12" ht="12.75" customHeight="1" x14ac:dyDescent="0.2">
      <c r="A100" s="500"/>
      <c r="B100" s="304" t="s">
        <v>309</v>
      </c>
      <c r="C100" s="289"/>
      <c r="D100" s="295">
        <v>4</v>
      </c>
      <c r="E100" s="296" t="s">
        <v>1593</v>
      </c>
      <c r="F100" s="301">
        <v>169</v>
      </c>
      <c r="G100" s="299"/>
      <c r="H100" s="288"/>
      <c r="I100" s="81">
        <f>'Op Detail'!D5173</f>
        <v>540</v>
      </c>
      <c r="J100" s="144">
        <v>1140</v>
      </c>
      <c r="K100" s="101">
        <f t="shared" si="3"/>
        <v>-600</v>
      </c>
      <c r="L100" s="27" t="s">
        <v>3117</v>
      </c>
    </row>
    <row r="101" spans="1:12" ht="12.75" customHeight="1" x14ac:dyDescent="0.2">
      <c r="A101" s="500"/>
      <c r="B101" s="304" t="s">
        <v>1064</v>
      </c>
      <c r="C101" s="289"/>
      <c r="D101" s="295">
        <v>4</v>
      </c>
      <c r="E101" s="296" t="s">
        <v>1593</v>
      </c>
      <c r="F101" s="301">
        <v>81</v>
      </c>
      <c r="G101" s="299" t="s">
        <v>1772</v>
      </c>
      <c r="H101" s="302">
        <v>82</v>
      </c>
      <c r="I101" s="81">
        <f>'Op Detail'!D2407+'Op Detail'!E2407+'Op Detail'!F2407+'Op Detail'!H2407+'Op Detail'!D2443+'Op Detail'!E2443+'Op Detail'!F2443+'Op Detail'!H2443</f>
        <v>6469.71</v>
      </c>
      <c r="J101" s="144">
        <v>8140</v>
      </c>
      <c r="K101" s="101">
        <f t="shared" si="3"/>
        <v>-1670.29</v>
      </c>
      <c r="L101" s="27" t="s">
        <v>3117</v>
      </c>
    </row>
    <row r="102" spans="1:12" ht="12.75" customHeight="1" x14ac:dyDescent="0.2">
      <c r="A102" s="500"/>
      <c r="B102" s="304" t="s">
        <v>2722</v>
      </c>
      <c r="C102" s="289"/>
      <c r="D102" s="295">
        <v>4</v>
      </c>
      <c r="E102" s="296" t="s">
        <v>1593</v>
      </c>
      <c r="F102" s="301">
        <v>202</v>
      </c>
      <c r="G102" s="299"/>
      <c r="H102" s="302"/>
      <c r="I102" s="81">
        <f>'Op Detail'!D6387</f>
        <v>1000</v>
      </c>
      <c r="J102" s="144">
        <v>2000</v>
      </c>
      <c r="K102" s="101">
        <f t="shared" si="3"/>
        <v>-1000</v>
      </c>
      <c r="L102" s="27" t="s">
        <v>3117</v>
      </c>
    </row>
    <row r="103" spans="1:12" ht="12.75" customHeight="1" x14ac:dyDescent="0.2">
      <c r="A103" s="503"/>
      <c r="B103" s="304" t="s">
        <v>1516</v>
      </c>
      <c r="C103" s="289"/>
      <c r="D103" s="295">
        <v>4</v>
      </c>
      <c r="E103" s="305" t="s">
        <v>1593</v>
      </c>
      <c r="F103" s="301">
        <v>197</v>
      </c>
      <c r="G103" s="299"/>
      <c r="H103" s="288"/>
      <c r="I103" s="81">
        <f>'Op Detail'!D6141+'Op Detail'!E6141+'Op Detail'!F6141</f>
        <v>1020194</v>
      </c>
      <c r="J103" s="144">
        <v>957691.37</v>
      </c>
      <c r="K103" s="101">
        <f t="shared" si="3"/>
        <v>62502.63</v>
      </c>
      <c r="L103" s="27" t="s">
        <v>3120</v>
      </c>
    </row>
    <row r="104" spans="1:12" ht="12.75" customHeight="1" x14ac:dyDescent="0.2">
      <c r="A104" s="499" t="s">
        <v>1655</v>
      </c>
      <c r="B104" s="304" t="s">
        <v>1199</v>
      </c>
      <c r="C104" s="289"/>
      <c r="D104" s="295">
        <v>4</v>
      </c>
      <c r="E104" s="296" t="s">
        <v>1593</v>
      </c>
      <c r="F104" s="335">
        <v>55</v>
      </c>
      <c r="G104" s="299"/>
      <c r="H104" s="288"/>
      <c r="I104" s="81">
        <f>'Op Detail'!D1702</f>
        <v>260000</v>
      </c>
      <c r="J104" s="144">
        <v>260000</v>
      </c>
      <c r="K104" s="101">
        <f t="shared" si="3"/>
        <v>0</v>
      </c>
      <c r="L104" s="27" t="s">
        <v>3120</v>
      </c>
    </row>
    <row r="105" spans="1:12" ht="12.75" customHeight="1" x14ac:dyDescent="0.2">
      <c r="A105" s="500"/>
      <c r="B105" s="304" t="s">
        <v>1382</v>
      </c>
      <c r="C105" s="307"/>
      <c r="D105" s="308">
        <v>4</v>
      </c>
      <c r="E105" s="309" t="s">
        <v>1593</v>
      </c>
      <c r="F105" s="302">
        <v>165</v>
      </c>
      <c r="G105" s="299"/>
      <c r="H105" s="302"/>
      <c r="I105" s="45">
        <f>'Op Detail'!D5075</f>
        <v>251835</v>
      </c>
      <c r="J105" s="144">
        <v>302735</v>
      </c>
      <c r="K105" s="101">
        <f t="shared" si="3"/>
        <v>-50900</v>
      </c>
      <c r="L105" s="27" t="s">
        <v>3116</v>
      </c>
    </row>
    <row r="106" spans="1:12" ht="12.75" customHeight="1" x14ac:dyDescent="0.2">
      <c r="A106" s="500"/>
      <c r="B106" s="304" t="s">
        <v>1371</v>
      </c>
      <c r="C106" s="289"/>
      <c r="D106" s="295">
        <v>4</v>
      </c>
      <c r="E106" s="296" t="s">
        <v>1593</v>
      </c>
      <c r="F106" s="301">
        <v>144</v>
      </c>
      <c r="G106" s="299"/>
      <c r="H106" s="288"/>
      <c r="I106" s="81">
        <f>'Op Detail'!D4494</f>
        <v>125649</v>
      </c>
      <c r="J106" s="144">
        <v>141000</v>
      </c>
      <c r="K106" s="101">
        <f t="shared" si="3"/>
        <v>-15351</v>
      </c>
      <c r="L106" s="27" t="s">
        <v>3116</v>
      </c>
    </row>
    <row r="107" spans="1:12" ht="12.75" customHeight="1" x14ac:dyDescent="0.2">
      <c r="A107" s="500"/>
      <c r="B107" s="304" t="s">
        <v>1220</v>
      </c>
      <c r="C107" s="289"/>
      <c r="D107" s="295">
        <v>4</v>
      </c>
      <c r="E107" s="296" t="s">
        <v>1593</v>
      </c>
      <c r="F107" s="301">
        <v>104</v>
      </c>
      <c r="G107" s="299"/>
      <c r="H107" s="288"/>
      <c r="I107" s="81">
        <f>'Op Detail'!D3241</f>
        <v>2840</v>
      </c>
      <c r="J107" s="144">
        <v>3575</v>
      </c>
      <c r="K107" s="101">
        <f t="shared" si="3"/>
        <v>-735</v>
      </c>
      <c r="L107" s="27" t="s">
        <v>3117</v>
      </c>
    </row>
    <row r="108" spans="1:12" ht="12.75" customHeight="1" x14ac:dyDescent="0.2">
      <c r="A108" s="500"/>
      <c r="B108" s="304" t="s">
        <v>1513</v>
      </c>
      <c r="C108" s="289"/>
      <c r="D108" s="295">
        <v>4</v>
      </c>
      <c r="E108" s="296" t="s">
        <v>1593</v>
      </c>
      <c r="F108" s="301">
        <v>152</v>
      </c>
      <c r="G108" s="299"/>
      <c r="H108" s="288"/>
      <c r="I108" s="81">
        <f>'Op Detail'!D4718+'Op Detail'!E4718+'Op Detail'!F4718</f>
        <v>36350</v>
      </c>
      <c r="J108" s="144">
        <v>88150</v>
      </c>
      <c r="K108" s="101">
        <f t="shared" si="3"/>
        <v>-51800</v>
      </c>
      <c r="L108" s="27" t="s">
        <v>3116</v>
      </c>
    </row>
    <row r="109" spans="1:12" ht="12.75" customHeight="1" x14ac:dyDescent="0.2">
      <c r="A109" s="500"/>
      <c r="B109" s="304" t="s">
        <v>1221</v>
      </c>
      <c r="C109" s="289"/>
      <c r="D109" s="295">
        <v>4</v>
      </c>
      <c r="E109" s="296" t="s">
        <v>1593</v>
      </c>
      <c r="F109" s="301">
        <v>105</v>
      </c>
      <c r="G109" s="299"/>
      <c r="H109" s="288"/>
      <c r="I109" s="81">
        <f>'Op Detail'!D3266</f>
        <v>2980</v>
      </c>
      <c r="J109" s="144">
        <v>3900</v>
      </c>
      <c r="K109" s="101">
        <f t="shared" si="3"/>
        <v>-920</v>
      </c>
      <c r="L109" s="27" t="s">
        <v>3117</v>
      </c>
    </row>
    <row r="110" spans="1:12" ht="12.75" customHeight="1" x14ac:dyDescent="0.2">
      <c r="A110" s="500"/>
      <c r="B110" s="304" t="s">
        <v>1387</v>
      </c>
      <c r="C110" s="289"/>
      <c r="D110" s="295">
        <v>4</v>
      </c>
      <c r="E110" s="296" t="s">
        <v>1593</v>
      </c>
      <c r="F110" s="301">
        <v>173</v>
      </c>
      <c r="G110" s="299"/>
      <c r="H110" s="288"/>
      <c r="I110" s="81">
        <f>'Op Detail'!D5283</f>
        <v>0</v>
      </c>
      <c r="J110" s="144">
        <v>0</v>
      </c>
      <c r="K110" s="101">
        <f t="shared" si="3"/>
        <v>0</v>
      </c>
      <c r="L110" s="27" t="s">
        <v>3117</v>
      </c>
    </row>
    <row r="111" spans="1:12" ht="12.75" customHeight="1" x14ac:dyDescent="0.2">
      <c r="A111" s="500"/>
      <c r="B111" s="304" t="s">
        <v>376</v>
      </c>
      <c r="C111" s="289"/>
      <c r="D111" s="295">
        <v>4</v>
      </c>
      <c r="E111" s="305" t="s">
        <v>1593</v>
      </c>
      <c r="F111" s="301">
        <v>190</v>
      </c>
      <c r="G111" s="298" t="s">
        <v>2728</v>
      </c>
      <c r="H111" s="301">
        <v>207</v>
      </c>
      <c r="I111" s="81">
        <f>'Op Detail'!D5880+'Op Detail'!E5880+'Op Detail'!F5880+'Op Detail'!D6499+'Op Detail'!E6499+'Op Detail'!F6499</f>
        <v>10885.83</v>
      </c>
      <c r="J111" s="144">
        <f>61750+1200</f>
        <v>62950</v>
      </c>
      <c r="K111" s="101">
        <f t="shared" si="3"/>
        <v>-52064.17</v>
      </c>
      <c r="L111" s="27" t="s">
        <v>3118</v>
      </c>
    </row>
    <row r="112" spans="1:12" ht="12.75" customHeight="1" x14ac:dyDescent="0.2">
      <c r="A112" s="500"/>
      <c r="B112" s="304" t="s">
        <v>1056</v>
      </c>
      <c r="C112" s="289"/>
      <c r="D112" s="295">
        <v>4</v>
      </c>
      <c r="E112" s="296" t="s">
        <v>1593</v>
      </c>
      <c r="F112" s="335">
        <v>68</v>
      </c>
      <c r="G112" s="299"/>
      <c r="H112" s="288"/>
      <c r="I112" s="81">
        <f>'Op Detail'!D2054</f>
        <v>1865</v>
      </c>
      <c r="J112" s="144">
        <v>1815</v>
      </c>
      <c r="K112" s="101">
        <f t="shared" si="3"/>
        <v>50</v>
      </c>
      <c r="L112" s="27" t="s">
        <v>3117</v>
      </c>
    </row>
    <row r="113" spans="1:12" ht="12.75" customHeight="1" x14ac:dyDescent="0.2">
      <c r="A113" s="500"/>
      <c r="B113" s="304" t="s">
        <v>45</v>
      </c>
      <c r="C113" s="289"/>
      <c r="D113" s="295">
        <v>4</v>
      </c>
      <c r="E113" s="296" t="s">
        <v>1593</v>
      </c>
      <c r="F113" s="335">
        <v>36</v>
      </c>
      <c r="G113" s="299"/>
      <c r="H113" s="288"/>
      <c r="I113" s="81">
        <f>'Op Detail'!D1331</f>
        <v>21750</v>
      </c>
      <c r="J113" s="144">
        <v>8900</v>
      </c>
      <c r="K113" s="101">
        <f t="shared" si="3"/>
        <v>12850</v>
      </c>
      <c r="L113" s="27" t="s">
        <v>3119</v>
      </c>
    </row>
    <row r="114" spans="1:12" ht="12.75" customHeight="1" x14ac:dyDescent="0.2">
      <c r="A114" s="500"/>
      <c r="B114" s="304" t="s">
        <v>1057</v>
      </c>
      <c r="C114" s="289"/>
      <c r="D114" s="295">
        <v>4</v>
      </c>
      <c r="E114" s="296" t="s">
        <v>1593</v>
      </c>
      <c r="F114" s="335">
        <v>69</v>
      </c>
      <c r="G114" s="299"/>
      <c r="H114" s="288"/>
      <c r="I114" s="81">
        <f>'Op Detail'!D2079</f>
        <v>1976</v>
      </c>
      <c r="J114" s="144">
        <v>3700</v>
      </c>
      <c r="K114" s="101">
        <f t="shared" si="3"/>
        <v>-1724</v>
      </c>
      <c r="L114" s="27" t="s">
        <v>3117</v>
      </c>
    </row>
    <row r="115" spans="1:12" ht="12.75" customHeight="1" x14ac:dyDescent="0.2">
      <c r="A115" s="500"/>
      <c r="B115" s="304" t="s">
        <v>763</v>
      </c>
      <c r="C115" s="289"/>
      <c r="D115" s="295">
        <v>4</v>
      </c>
      <c r="E115" s="296" t="s">
        <v>1593</v>
      </c>
      <c r="F115" s="301">
        <v>123</v>
      </c>
      <c r="G115" s="299"/>
      <c r="H115" s="288"/>
      <c r="I115" s="81">
        <f>'Op Detail'!D3850</f>
        <v>5000</v>
      </c>
      <c r="J115" s="144">
        <v>2561.9499999999998</v>
      </c>
      <c r="K115" s="101">
        <f t="shared" si="3"/>
        <v>2438.0500000000002</v>
      </c>
      <c r="L115" s="27" t="s">
        <v>3117</v>
      </c>
    </row>
    <row r="116" spans="1:12" ht="12.75" customHeight="1" x14ac:dyDescent="0.2">
      <c r="A116" s="500"/>
      <c r="B116" s="304" t="s">
        <v>1213</v>
      </c>
      <c r="C116" s="289"/>
      <c r="D116" s="295">
        <v>4</v>
      </c>
      <c r="E116" s="296" t="s">
        <v>1593</v>
      </c>
      <c r="F116" s="301">
        <v>96</v>
      </c>
      <c r="G116" s="299"/>
      <c r="H116" s="288"/>
      <c r="I116" s="81">
        <f>'Op Detail'!D3009</f>
        <v>1460</v>
      </c>
      <c r="J116" s="144">
        <v>1710</v>
      </c>
      <c r="K116" s="101">
        <f t="shared" si="3"/>
        <v>-250</v>
      </c>
      <c r="L116" s="27" t="s">
        <v>3117</v>
      </c>
    </row>
    <row r="117" spans="1:12" ht="12.75" customHeight="1" x14ac:dyDescent="0.2">
      <c r="A117" s="500"/>
      <c r="B117" s="304" t="s">
        <v>1184</v>
      </c>
      <c r="C117" s="289"/>
      <c r="D117" s="295">
        <v>4</v>
      </c>
      <c r="E117" s="296" t="s">
        <v>1593</v>
      </c>
      <c r="F117" s="335">
        <v>43</v>
      </c>
      <c r="G117" s="299"/>
      <c r="H117" s="288"/>
      <c r="I117" s="81">
        <f>'Op Detail'!D1441</f>
        <v>5200</v>
      </c>
      <c r="J117" s="144">
        <v>19000</v>
      </c>
      <c r="K117" s="101">
        <f t="shared" si="3"/>
        <v>-13800</v>
      </c>
      <c r="L117" s="27" t="s">
        <v>3120</v>
      </c>
    </row>
    <row r="118" spans="1:12" ht="12.75" customHeight="1" x14ac:dyDescent="0.2">
      <c r="A118" s="500"/>
      <c r="B118" s="304" t="s">
        <v>351</v>
      </c>
      <c r="C118" s="289"/>
      <c r="D118" s="295">
        <v>4</v>
      </c>
      <c r="E118" s="296" t="s">
        <v>1593</v>
      </c>
      <c r="F118" s="301">
        <v>134</v>
      </c>
      <c r="G118" s="299"/>
      <c r="H118" s="288"/>
      <c r="I118" s="81">
        <f>'Op Detail'!H4252</f>
        <v>112116</v>
      </c>
      <c r="J118" s="144">
        <v>128405</v>
      </c>
      <c r="K118" s="101">
        <f t="shared" si="3"/>
        <v>-16289</v>
      </c>
      <c r="L118" s="27" t="s">
        <v>3118</v>
      </c>
    </row>
    <row r="119" spans="1:12" ht="12.75" customHeight="1" x14ac:dyDescent="0.2">
      <c r="A119" s="500"/>
      <c r="B119" s="304" t="s">
        <v>1377</v>
      </c>
      <c r="C119" s="289"/>
      <c r="D119" s="295">
        <v>4</v>
      </c>
      <c r="E119" s="296" t="s">
        <v>1593</v>
      </c>
      <c r="F119" s="301">
        <v>156</v>
      </c>
      <c r="G119" s="299"/>
      <c r="H119" s="288"/>
      <c r="I119" s="81">
        <f>'Op Detail'!D4799</f>
        <v>37500</v>
      </c>
      <c r="J119" s="144">
        <v>37500</v>
      </c>
      <c r="K119" s="101">
        <f t="shared" si="3"/>
        <v>0</v>
      </c>
      <c r="L119" s="27" t="s">
        <v>3116</v>
      </c>
    </row>
    <row r="120" spans="1:12" ht="12.75" customHeight="1" x14ac:dyDescent="0.2">
      <c r="A120" s="500"/>
      <c r="B120" s="304" t="s">
        <v>1370</v>
      </c>
      <c r="C120" s="289"/>
      <c r="D120" s="295">
        <v>4</v>
      </c>
      <c r="E120" s="296" t="s">
        <v>1593</v>
      </c>
      <c r="F120" s="301">
        <v>142</v>
      </c>
      <c r="G120" s="299"/>
      <c r="H120" s="288"/>
      <c r="I120" s="85">
        <f>'Op Detail'!D4454</f>
        <v>1654728.59</v>
      </c>
      <c r="J120" s="144">
        <v>882635.46</v>
      </c>
      <c r="K120" s="101">
        <f t="shared" si="3"/>
        <v>772093.13</v>
      </c>
      <c r="L120" s="27" t="s">
        <v>3120</v>
      </c>
    </row>
    <row r="121" spans="1:12" ht="12.75" customHeight="1" x14ac:dyDescent="0.2">
      <c r="A121" s="500"/>
      <c r="B121" s="304" t="s">
        <v>1217</v>
      </c>
      <c r="C121" s="289"/>
      <c r="D121" s="295">
        <v>4</v>
      </c>
      <c r="E121" s="296" t="s">
        <v>1593</v>
      </c>
      <c r="F121" s="301">
        <v>101</v>
      </c>
      <c r="G121" s="299"/>
      <c r="H121" s="288"/>
      <c r="I121" s="81">
        <f>'Op Detail'!D3158</f>
        <v>4520</v>
      </c>
      <c r="J121" s="144">
        <v>6800</v>
      </c>
      <c r="K121" s="101">
        <f t="shared" si="3"/>
        <v>-2280</v>
      </c>
      <c r="L121" s="27" t="s">
        <v>3117</v>
      </c>
    </row>
    <row r="122" spans="1:12" ht="12.75" customHeight="1" x14ac:dyDescent="0.2">
      <c r="A122" s="500"/>
      <c r="B122" s="304" t="s">
        <v>1229</v>
      </c>
      <c r="C122" s="289"/>
      <c r="D122" s="295">
        <v>4</v>
      </c>
      <c r="E122" s="296" t="s">
        <v>1593</v>
      </c>
      <c r="F122" s="301">
        <v>120</v>
      </c>
      <c r="G122" s="299"/>
      <c r="H122" s="288"/>
      <c r="I122" s="45">
        <f>'Op Detail'!F3753</f>
        <v>6432</v>
      </c>
      <c r="J122" s="144">
        <v>8010</v>
      </c>
      <c r="K122" s="101">
        <f t="shared" si="3"/>
        <v>-1578</v>
      </c>
      <c r="L122" s="27" t="s">
        <v>3117</v>
      </c>
    </row>
    <row r="123" spans="1:12" ht="12.75" customHeight="1" x14ac:dyDescent="0.2">
      <c r="A123" s="500"/>
      <c r="B123" s="304" t="s">
        <v>1062</v>
      </c>
      <c r="C123" s="289"/>
      <c r="D123" s="295">
        <v>4</v>
      </c>
      <c r="E123" s="296" t="s">
        <v>1593</v>
      </c>
      <c r="F123" s="301">
        <v>79</v>
      </c>
      <c r="G123" s="299"/>
      <c r="H123" s="288"/>
      <c r="I123" s="45">
        <f>'Op Detail'!D2348</f>
        <v>1729</v>
      </c>
      <c r="J123" s="144">
        <v>7370</v>
      </c>
      <c r="K123" s="101">
        <f t="shared" si="3"/>
        <v>-5641</v>
      </c>
      <c r="L123" s="27" t="s">
        <v>3117</v>
      </c>
    </row>
    <row r="124" spans="1:12" ht="12.75" customHeight="1" x14ac:dyDescent="0.2">
      <c r="A124" s="500"/>
      <c r="B124" s="304" t="s">
        <v>1186</v>
      </c>
      <c r="C124" s="289"/>
      <c r="D124" s="295">
        <v>4</v>
      </c>
      <c r="E124" s="296" t="s">
        <v>1593</v>
      </c>
      <c r="F124" s="335">
        <v>45</v>
      </c>
      <c r="G124" s="299"/>
      <c r="H124" s="288"/>
      <c r="I124" s="45">
        <f>'Op Detail'!D1475</f>
        <v>21400</v>
      </c>
      <c r="J124" s="144">
        <v>20250</v>
      </c>
      <c r="K124" s="101">
        <f t="shared" si="3"/>
        <v>1150</v>
      </c>
      <c r="L124" s="27" t="s">
        <v>3120</v>
      </c>
    </row>
    <row r="125" spans="1:12" ht="12.75" customHeight="1" x14ac:dyDescent="0.2">
      <c r="A125" s="500"/>
      <c r="B125" s="304" t="s">
        <v>2974</v>
      </c>
      <c r="C125" s="289"/>
      <c r="D125" s="295">
        <v>4</v>
      </c>
      <c r="E125" s="296" t="s">
        <v>1593</v>
      </c>
      <c r="F125" s="335">
        <v>61</v>
      </c>
      <c r="G125" s="299"/>
      <c r="H125" s="288"/>
      <c r="I125" s="81">
        <f>'Op Detail'!D1835+'Op Detail'!E1835+'Op Detail'!F1835+'Op Detail'!H1835</f>
        <v>36635</v>
      </c>
      <c r="J125" s="144">
        <v>32050</v>
      </c>
      <c r="K125" s="101">
        <f t="shared" si="3"/>
        <v>4585</v>
      </c>
      <c r="L125" s="27" t="s">
        <v>3118</v>
      </c>
    </row>
    <row r="126" spans="1:12" ht="12.75" customHeight="1" x14ac:dyDescent="0.2">
      <c r="A126" s="500"/>
      <c r="B126" s="304" t="s">
        <v>463</v>
      </c>
      <c r="C126" s="289"/>
      <c r="D126" s="295">
        <v>4</v>
      </c>
      <c r="E126" s="305" t="s">
        <v>1593</v>
      </c>
      <c r="F126" s="301">
        <v>181</v>
      </c>
      <c r="G126" s="299" t="s">
        <v>1772</v>
      </c>
      <c r="H126" s="301">
        <v>182</v>
      </c>
      <c r="I126" s="332">
        <f>'Op Detail'!E5576+'Op Detail'!D5540+'Op Detail'!E5540+'Op Detail'!F5540+'Op Detail'!H5540</f>
        <v>4690</v>
      </c>
      <c r="J126" s="144">
        <v>6300</v>
      </c>
      <c r="K126" s="101">
        <f t="shared" si="3"/>
        <v>-1610</v>
      </c>
      <c r="L126" s="27" t="s">
        <v>3118</v>
      </c>
    </row>
    <row r="127" spans="1:12" ht="12.75" customHeight="1" x14ac:dyDescent="0.2">
      <c r="A127" s="500"/>
      <c r="B127" s="304" t="s">
        <v>1212</v>
      </c>
      <c r="C127" s="289"/>
      <c r="D127" s="295">
        <v>4</v>
      </c>
      <c r="E127" s="296" t="s">
        <v>1593</v>
      </c>
      <c r="F127" s="301">
        <v>95</v>
      </c>
      <c r="G127" s="299"/>
      <c r="H127" s="288"/>
      <c r="I127" s="81">
        <f>'Op Detail'!D2982</f>
        <v>1000.59</v>
      </c>
      <c r="J127" s="144">
        <v>1080</v>
      </c>
      <c r="K127" s="101">
        <f t="shared" si="3"/>
        <v>-79.41</v>
      </c>
      <c r="L127" s="27" t="s">
        <v>3117</v>
      </c>
    </row>
    <row r="128" spans="1:12" ht="12.75" customHeight="1" x14ac:dyDescent="0.2">
      <c r="A128" s="500"/>
      <c r="B128" s="304" t="s">
        <v>1215</v>
      </c>
      <c r="C128" s="289"/>
      <c r="D128" s="295">
        <v>4</v>
      </c>
      <c r="E128" s="296" t="s">
        <v>1593</v>
      </c>
      <c r="F128" s="301">
        <v>98</v>
      </c>
      <c r="G128" s="299"/>
      <c r="H128" s="288"/>
      <c r="I128" s="81">
        <f>'Op Detail'!D3076</f>
        <v>28680</v>
      </c>
      <c r="J128" s="144">
        <v>34050</v>
      </c>
      <c r="K128" s="101">
        <f t="shared" si="3"/>
        <v>-5370</v>
      </c>
      <c r="L128" s="27" t="s">
        <v>3117</v>
      </c>
    </row>
    <row r="129" spans="1:12" ht="12.75" customHeight="1" x14ac:dyDescent="0.2">
      <c r="A129" s="500"/>
      <c r="B129" s="304" t="s">
        <v>1219</v>
      </c>
      <c r="C129" s="289"/>
      <c r="D129" s="295">
        <v>4</v>
      </c>
      <c r="E129" s="296" t="s">
        <v>1593</v>
      </c>
      <c r="F129" s="301">
        <v>103</v>
      </c>
      <c r="G129" s="299"/>
      <c r="H129" s="288"/>
      <c r="I129" s="81">
        <f>'Op Detail'!D3215</f>
        <v>0</v>
      </c>
      <c r="J129" s="144">
        <v>0</v>
      </c>
      <c r="K129" s="101">
        <f t="shared" si="3"/>
        <v>0</v>
      </c>
      <c r="L129" s="27" t="s">
        <v>3117</v>
      </c>
    </row>
    <row r="130" spans="1:12" ht="12.75" customHeight="1" x14ac:dyDescent="0.2">
      <c r="A130" s="500"/>
      <c r="B130" s="304" t="s">
        <v>2873</v>
      </c>
      <c r="C130" s="289"/>
      <c r="D130" s="295">
        <v>4</v>
      </c>
      <c r="E130" s="296" t="s">
        <v>1593</v>
      </c>
      <c r="F130" s="301">
        <v>212</v>
      </c>
      <c r="G130" s="299"/>
      <c r="H130" s="288"/>
      <c r="I130" s="81">
        <f>+'Op Detail'!D6657</f>
        <v>0</v>
      </c>
      <c r="J130" s="144">
        <v>27450</v>
      </c>
      <c r="K130" s="101">
        <f t="shared" si="3"/>
        <v>-27450</v>
      </c>
      <c r="L130" s="27" t="s">
        <v>3123</v>
      </c>
    </row>
    <row r="131" spans="1:12" ht="12.75" customHeight="1" x14ac:dyDescent="0.2">
      <c r="A131" s="500"/>
      <c r="B131" s="304" t="s">
        <v>1081</v>
      </c>
      <c r="C131" s="289"/>
      <c r="D131" s="295">
        <v>4</v>
      </c>
      <c r="E131" s="296" t="s">
        <v>1593</v>
      </c>
      <c r="F131" s="335">
        <v>52</v>
      </c>
      <c r="G131" s="299"/>
      <c r="H131" s="288"/>
      <c r="I131" s="81">
        <f>'Op Detail'!D1665</f>
        <v>18800</v>
      </c>
      <c r="J131" s="144">
        <v>38500</v>
      </c>
      <c r="K131" s="101">
        <f t="shared" ref="K131:K160" si="4">I131-J131</f>
        <v>-19700</v>
      </c>
      <c r="L131" s="27" t="s">
        <v>3119</v>
      </c>
    </row>
    <row r="132" spans="1:12" ht="12.75" customHeight="1" x14ac:dyDescent="0.2">
      <c r="A132" s="500"/>
      <c r="B132" s="304" t="s">
        <v>1224</v>
      </c>
      <c r="C132" s="289"/>
      <c r="D132" s="295">
        <v>4</v>
      </c>
      <c r="E132" s="296" t="s">
        <v>1593</v>
      </c>
      <c r="F132" s="301">
        <v>108</v>
      </c>
      <c r="G132" s="299"/>
      <c r="H132" s="288"/>
      <c r="I132" s="81">
        <f>'Op Detail'!D3343</f>
        <v>2040</v>
      </c>
      <c r="J132" s="144">
        <v>2630</v>
      </c>
      <c r="K132" s="101">
        <f t="shared" si="4"/>
        <v>-590</v>
      </c>
      <c r="L132" s="27" t="s">
        <v>3117</v>
      </c>
    </row>
    <row r="133" spans="1:12" ht="12.75" customHeight="1" x14ac:dyDescent="0.2">
      <c r="A133" s="500"/>
      <c r="B133" s="304" t="s">
        <v>1306</v>
      </c>
      <c r="C133" s="307"/>
      <c r="D133" s="308">
        <v>4</v>
      </c>
      <c r="E133" s="309" t="s">
        <v>1593</v>
      </c>
      <c r="F133" s="335">
        <v>6</v>
      </c>
      <c r="G133" s="299"/>
      <c r="H133" s="288"/>
      <c r="I133" s="81">
        <f>'Op Detail'!D179</f>
        <v>24984</v>
      </c>
      <c r="J133" s="144">
        <v>31230</v>
      </c>
      <c r="K133" s="101">
        <f t="shared" si="4"/>
        <v>-6246</v>
      </c>
      <c r="L133" s="27" t="s">
        <v>3120</v>
      </c>
    </row>
    <row r="134" spans="1:12" ht="12.75" customHeight="1" x14ac:dyDescent="0.2">
      <c r="A134" s="500"/>
      <c r="B134" s="304" t="s">
        <v>705</v>
      </c>
      <c r="C134" s="289"/>
      <c r="D134" s="295">
        <v>4</v>
      </c>
      <c r="E134" s="305" t="s">
        <v>1593</v>
      </c>
      <c r="F134" s="301">
        <v>192</v>
      </c>
      <c r="G134" s="299"/>
      <c r="H134" s="288"/>
      <c r="I134" s="81">
        <f>'Op Detail'!D5965</f>
        <v>12690</v>
      </c>
      <c r="J134" s="144">
        <v>10450</v>
      </c>
      <c r="K134" s="101">
        <f t="shared" si="4"/>
        <v>2240</v>
      </c>
      <c r="L134" s="27" t="s">
        <v>3117</v>
      </c>
    </row>
    <row r="135" spans="1:12" ht="12.75" customHeight="1" x14ac:dyDescent="0.2">
      <c r="A135" s="500"/>
      <c r="B135" s="304" t="s">
        <v>1058</v>
      </c>
      <c r="C135" s="289"/>
      <c r="D135" s="295">
        <v>4</v>
      </c>
      <c r="E135" s="296" t="s">
        <v>1593</v>
      </c>
      <c r="F135" s="335">
        <v>71</v>
      </c>
      <c r="G135" s="299"/>
      <c r="H135" s="288"/>
      <c r="I135" s="81">
        <f>'Op Detail'!D2122</f>
        <v>2202.23</v>
      </c>
      <c r="J135" s="144">
        <v>1975</v>
      </c>
      <c r="K135" s="101">
        <f t="shared" si="4"/>
        <v>227.23</v>
      </c>
      <c r="L135" s="27" t="s">
        <v>3117</v>
      </c>
    </row>
    <row r="136" spans="1:12" ht="12.75" customHeight="1" x14ac:dyDescent="0.2">
      <c r="A136" s="500"/>
      <c r="B136" s="304" t="s">
        <v>1183</v>
      </c>
      <c r="C136" s="289"/>
      <c r="D136" s="295">
        <v>4</v>
      </c>
      <c r="E136" s="296" t="s">
        <v>1593</v>
      </c>
      <c r="F136" s="301">
        <v>42</v>
      </c>
      <c r="G136" s="299"/>
      <c r="H136" s="288"/>
      <c r="I136" s="81">
        <f>'Op Detail'!D1429</f>
        <v>0</v>
      </c>
      <c r="J136" s="144">
        <v>500</v>
      </c>
      <c r="K136" s="101">
        <f t="shared" si="4"/>
        <v>-500</v>
      </c>
      <c r="L136" s="27" t="s">
        <v>3120</v>
      </c>
    </row>
    <row r="137" spans="1:12" ht="12.75" customHeight="1" x14ac:dyDescent="0.2">
      <c r="A137" s="500"/>
      <c r="B137" s="304" t="s">
        <v>1198</v>
      </c>
      <c r="C137" s="289"/>
      <c r="D137" s="295">
        <v>4</v>
      </c>
      <c r="E137" s="296" t="s">
        <v>1593</v>
      </c>
      <c r="F137" s="335">
        <v>54</v>
      </c>
      <c r="G137" s="299"/>
      <c r="H137" s="288"/>
      <c r="I137" s="81">
        <f>'Op Detail'!D1691</f>
        <v>920000</v>
      </c>
      <c r="J137" s="144">
        <v>638000</v>
      </c>
      <c r="K137" s="101">
        <f t="shared" si="4"/>
        <v>282000</v>
      </c>
      <c r="L137" s="27" t="s">
        <v>3120</v>
      </c>
    </row>
    <row r="138" spans="1:12" ht="12.75" customHeight="1" x14ac:dyDescent="0.2">
      <c r="A138" s="500"/>
      <c r="B138" s="304" t="s">
        <v>2849</v>
      </c>
      <c r="C138" s="289"/>
      <c r="D138" s="295">
        <v>4</v>
      </c>
      <c r="E138" s="305" t="s">
        <v>1593</v>
      </c>
      <c r="F138" s="301">
        <v>191</v>
      </c>
      <c r="G138" s="299"/>
      <c r="H138" s="288"/>
      <c r="I138" s="81">
        <f>'Op Detail'!D5923</f>
        <v>49025.2</v>
      </c>
      <c r="J138" s="144">
        <v>48536</v>
      </c>
      <c r="K138" s="101">
        <f t="shared" si="4"/>
        <v>489.2</v>
      </c>
      <c r="L138" s="27" t="s">
        <v>3117</v>
      </c>
    </row>
    <row r="139" spans="1:12" ht="12.75" customHeight="1" x14ac:dyDescent="0.2">
      <c r="A139" s="500"/>
      <c r="B139" s="304" t="s">
        <v>1376</v>
      </c>
      <c r="C139" s="289"/>
      <c r="D139" s="295">
        <v>4</v>
      </c>
      <c r="E139" s="296" t="s">
        <v>1593</v>
      </c>
      <c r="F139" s="301">
        <v>155</v>
      </c>
      <c r="G139" s="299"/>
      <c r="H139" s="288"/>
      <c r="I139" s="81">
        <f>'Op Detail'!D4780</f>
        <v>170000</v>
      </c>
      <c r="J139" s="144">
        <v>170000</v>
      </c>
      <c r="K139" s="101">
        <f t="shared" si="4"/>
        <v>0</v>
      </c>
      <c r="L139" s="27" t="s">
        <v>3116</v>
      </c>
    </row>
    <row r="140" spans="1:12" ht="12.75" customHeight="1" x14ac:dyDescent="0.2">
      <c r="A140" s="500"/>
      <c r="B140" s="304" t="s">
        <v>1592</v>
      </c>
      <c r="C140" s="289"/>
      <c r="D140" s="295">
        <v>4</v>
      </c>
      <c r="E140" s="296" t="s">
        <v>1593</v>
      </c>
      <c r="F140" s="335">
        <v>58</v>
      </c>
      <c r="G140" s="299"/>
      <c r="H140" s="288"/>
      <c r="I140" s="85">
        <f>'Op Detail'!D1748</f>
        <v>15000</v>
      </c>
      <c r="J140" s="144">
        <v>13050</v>
      </c>
      <c r="K140" s="101">
        <f t="shared" si="4"/>
        <v>1950</v>
      </c>
      <c r="L140" s="27" t="s">
        <v>3119</v>
      </c>
    </row>
    <row r="141" spans="1:12" ht="12.75" customHeight="1" x14ac:dyDescent="0.2">
      <c r="A141" s="500"/>
      <c r="B141" s="304" t="s">
        <v>1594</v>
      </c>
      <c r="C141" s="289"/>
      <c r="D141" s="295">
        <v>4</v>
      </c>
      <c r="E141" s="296" t="s">
        <v>1593</v>
      </c>
      <c r="F141" s="301">
        <v>41</v>
      </c>
      <c r="G141" s="299"/>
      <c r="H141" s="288"/>
      <c r="I141" s="81">
        <f>'Op Detail'!D1414</f>
        <v>3000</v>
      </c>
      <c r="J141" s="144">
        <v>5000</v>
      </c>
      <c r="K141" s="101">
        <f t="shared" si="4"/>
        <v>-2000</v>
      </c>
      <c r="L141" s="27" t="s">
        <v>3120</v>
      </c>
    </row>
    <row r="142" spans="1:12" ht="12.75" customHeight="1" x14ac:dyDescent="0.2">
      <c r="A142" s="500"/>
      <c r="B142" s="304" t="s">
        <v>1222</v>
      </c>
      <c r="C142" s="289"/>
      <c r="D142" s="295">
        <v>4</v>
      </c>
      <c r="E142" s="296" t="s">
        <v>1593</v>
      </c>
      <c r="F142" s="301">
        <v>106</v>
      </c>
      <c r="G142" s="299"/>
      <c r="H142" s="288"/>
      <c r="I142" s="81">
        <f>'Op Detail'!D3291</f>
        <v>1400</v>
      </c>
      <c r="J142" s="144">
        <v>1800</v>
      </c>
      <c r="K142" s="101">
        <f t="shared" si="4"/>
        <v>-400</v>
      </c>
      <c r="L142" s="27" t="s">
        <v>3117</v>
      </c>
    </row>
    <row r="143" spans="1:12" ht="12.75" customHeight="1" x14ac:dyDescent="0.2">
      <c r="A143" s="500"/>
      <c r="B143" s="304" t="s">
        <v>1063</v>
      </c>
      <c r="C143" s="289"/>
      <c r="D143" s="295">
        <v>4</v>
      </c>
      <c r="E143" s="296" t="s">
        <v>1593</v>
      </c>
      <c r="F143" s="301">
        <v>80</v>
      </c>
      <c r="G143" s="299"/>
      <c r="H143" s="288"/>
      <c r="I143" s="81">
        <f>'Op Detail'!D2369</f>
        <v>760</v>
      </c>
      <c r="J143" s="144">
        <v>1030</v>
      </c>
      <c r="K143" s="101">
        <f t="shared" si="4"/>
        <v>-270</v>
      </c>
      <c r="L143" s="27" t="s">
        <v>3117</v>
      </c>
    </row>
    <row r="144" spans="1:12" ht="12.75" customHeight="1" x14ac:dyDescent="0.2">
      <c r="A144" s="500"/>
      <c r="B144" s="304" t="s">
        <v>1214</v>
      </c>
      <c r="C144" s="289"/>
      <c r="D144" s="295">
        <v>4</v>
      </c>
      <c r="E144" s="296" t="s">
        <v>1593</v>
      </c>
      <c r="F144" s="301">
        <v>97</v>
      </c>
      <c r="G144" s="299"/>
      <c r="H144" s="288"/>
      <c r="I144" s="81">
        <f>'Op Detail'!D3039</f>
        <v>1940</v>
      </c>
      <c r="J144" s="144">
        <v>2000</v>
      </c>
      <c r="K144" s="101">
        <f t="shared" si="4"/>
        <v>-60</v>
      </c>
      <c r="L144" s="27" t="s">
        <v>3117</v>
      </c>
    </row>
    <row r="145" spans="1:12" ht="12.75" customHeight="1" x14ac:dyDescent="0.2">
      <c r="A145" s="500"/>
      <c r="B145" s="304" t="s">
        <v>350</v>
      </c>
      <c r="C145" s="289"/>
      <c r="D145" s="295">
        <v>4</v>
      </c>
      <c r="E145" s="296" t="s">
        <v>1593</v>
      </c>
      <c r="F145" s="335">
        <v>53</v>
      </c>
      <c r="G145" s="299"/>
      <c r="H145" s="288"/>
      <c r="I145" s="81">
        <f>'Op Detail'!D1678</f>
        <v>2309296</v>
      </c>
      <c r="J145" s="144">
        <v>2453961</v>
      </c>
      <c r="K145" s="101">
        <f t="shared" si="4"/>
        <v>-144665</v>
      </c>
      <c r="L145" s="27" t="s">
        <v>3120</v>
      </c>
    </row>
    <row r="146" spans="1:12" ht="12.75" customHeight="1" x14ac:dyDescent="0.2">
      <c r="A146" s="500"/>
      <c r="B146" s="304" t="s">
        <v>311</v>
      </c>
      <c r="C146" s="289"/>
      <c r="D146" s="295">
        <v>4</v>
      </c>
      <c r="E146" s="296" t="s">
        <v>1593</v>
      </c>
      <c r="F146" s="301">
        <v>176</v>
      </c>
      <c r="G146" s="299"/>
      <c r="H146" s="288"/>
      <c r="I146" s="81">
        <f>'Op Detail'!D5363</f>
        <v>100000</v>
      </c>
      <c r="J146" s="144">
        <v>100000</v>
      </c>
      <c r="K146" s="101">
        <f t="shared" si="4"/>
        <v>0</v>
      </c>
      <c r="L146" s="27" t="s">
        <v>3116</v>
      </c>
    </row>
    <row r="147" spans="1:12" ht="12.75" customHeight="1" x14ac:dyDescent="0.2">
      <c r="A147" s="500"/>
      <c r="B147" s="304" t="s">
        <v>1194</v>
      </c>
      <c r="C147" s="289"/>
      <c r="D147" s="295">
        <v>4</v>
      </c>
      <c r="E147" s="296" t="s">
        <v>1593</v>
      </c>
      <c r="F147" s="335">
        <v>46</v>
      </c>
      <c r="G147" s="299"/>
      <c r="H147" s="288"/>
      <c r="I147" s="81">
        <f>'Op Detail'!D1486</f>
        <v>40000</v>
      </c>
      <c r="J147" s="144">
        <v>110000</v>
      </c>
      <c r="K147" s="101">
        <f t="shared" si="4"/>
        <v>-70000</v>
      </c>
      <c r="L147" s="27" t="s">
        <v>3120</v>
      </c>
    </row>
    <row r="148" spans="1:12" ht="12.75" customHeight="1" x14ac:dyDescent="0.2">
      <c r="A148" s="500"/>
      <c r="B148" s="304" t="s">
        <v>1386</v>
      </c>
      <c r="C148" s="289"/>
      <c r="D148" s="295">
        <v>4</v>
      </c>
      <c r="E148" s="296" t="s">
        <v>1593</v>
      </c>
      <c r="F148" s="301">
        <v>172</v>
      </c>
      <c r="G148" s="299"/>
      <c r="H148" s="288"/>
      <c r="I148" s="81">
        <f>'Op Detail'!D5256</f>
        <v>544</v>
      </c>
      <c r="J148" s="144">
        <v>780</v>
      </c>
      <c r="K148" s="101">
        <f t="shared" si="4"/>
        <v>-236</v>
      </c>
      <c r="L148" s="27" t="s">
        <v>3117</v>
      </c>
    </row>
    <row r="149" spans="1:12" ht="12.75" customHeight="1" x14ac:dyDescent="0.2">
      <c r="A149" s="500"/>
      <c r="B149" s="304" t="s">
        <v>1385</v>
      </c>
      <c r="C149" s="289"/>
      <c r="D149" s="295">
        <v>4</v>
      </c>
      <c r="E149" s="296" t="s">
        <v>1593</v>
      </c>
      <c r="F149" s="301">
        <v>171</v>
      </c>
      <c r="G149" s="299"/>
      <c r="H149" s="288"/>
      <c r="I149" s="81">
        <f>'Op Detail'!D5226</f>
        <v>1050</v>
      </c>
      <c r="J149" s="144">
        <v>2425</v>
      </c>
      <c r="K149" s="101">
        <f t="shared" si="4"/>
        <v>-1375</v>
      </c>
      <c r="L149" s="27" t="s">
        <v>3117</v>
      </c>
    </row>
    <row r="150" spans="1:12" ht="12" customHeight="1" x14ac:dyDescent="0.2">
      <c r="A150" s="500"/>
      <c r="B150" s="304" t="s">
        <v>1228</v>
      </c>
      <c r="C150" s="289"/>
      <c r="D150" s="295">
        <v>4</v>
      </c>
      <c r="E150" s="296" t="s">
        <v>1593</v>
      </c>
      <c r="F150" s="301">
        <v>116</v>
      </c>
      <c r="G150" s="299"/>
      <c r="H150" s="288"/>
      <c r="I150" s="81">
        <f>'Op Detail'!D3640</f>
        <v>1280</v>
      </c>
      <c r="J150" s="144">
        <v>3475</v>
      </c>
      <c r="K150" s="101">
        <f t="shared" si="4"/>
        <v>-2195</v>
      </c>
      <c r="L150" s="27" t="s">
        <v>3117</v>
      </c>
    </row>
    <row r="151" spans="1:12" ht="12" customHeight="1" x14ac:dyDescent="0.2">
      <c r="A151" s="500"/>
      <c r="B151" s="304" t="s">
        <v>2966</v>
      </c>
      <c r="C151" s="289"/>
      <c r="D151" s="295">
        <v>4</v>
      </c>
      <c r="E151" s="305" t="s">
        <v>1593</v>
      </c>
      <c r="F151" s="301">
        <v>116</v>
      </c>
      <c r="G151" s="299"/>
      <c r="H151" s="288"/>
      <c r="I151" s="45">
        <f>'Op Detail'!E3640</f>
        <v>4880</v>
      </c>
      <c r="J151" s="144">
        <v>7000</v>
      </c>
      <c r="K151" s="101">
        <f t="shared" si="4"/>
        <v>-2120</v>
      </c>
      <c r="L151" s="27" t="s">
        <v>3117</v>
      </c>
    </row>
    <row r="152" spans="1:12" ht="12" customHeight="1" x14ac:dyDescent="0.2">
      <c r="A152" s="500"/>
      <c r="B152" s="304" t="s">
        <v>1061</v>
      </c>
      <c r="C152" s="289"/>
      <c r="D152" s="295">
        <v>4</v>
      </c>
      <c r="E152" s="296" t="s">
        <v>1593</v>
      </c>
      <c r="F152" s="301">
        <v>78</v>
      </c>
      <c r="G152" s="299"/>
      <c r="H152" s="288"/>
      <c r="I152" s="45">
        <f>'Op Detail'!D2310</f>
        <v>0</v>
      </c>
      <c r="J152" s="144">
        <v>0</v>
      </c>
      <c r="K152" s="101">
        <f t="shared" si="4"/>
        <v>0</v>
      </c>
      <c r="L152" s="27" t="s">
        <v>3117</v>
      </c>
    </row>
    <row r="153" spans="1:12" ht="12" customHeight="1" x14ac:dyDescent="0.2">
      <c r="A153" s="500"/>
      <c r="B153" s="304" t="s">
        <v>465</v>
      </c>
      <c r="C153" s="289"/>
      <c r="D153" s="295">
        <v>4</v>
      </c>
      <c r="E153" s="305" t="s">
        <v>1593</v>
      </c>
      <c r="F153" s="301">
        <v>188</v>
      </c>
      <c r="G153" s="299" t="s">
        <v>1772</v>
      </c>
      <c r="H153" s="301" t="s">
        <v>3133</v>
      </c>
      <c r="I153" s="332">
        <f>'Op Detail'!D5805+'Op Detail'!E5805+'Op Detail'!F5805+'Op Detail'!H5805+'Op Detail'!D5843+'Op Detail'!E5843+'Op Detail'!F5843+'Op Detail'!H5843</f>
        <v>0</v>
      </c>
      <c r="J153" s="144">
        <v>0</v>
      </c>
      <c r="K153" s="101">
        <f t="shared" si="4"/>
        <v>0</v>
      </c>
      <c r="L153" s="27" t="s">
        <v>3118</v>
      </c>
    </row>
    <row r="154" spans="1:12" ht="12" customHeight="1" x14ac:dyDescent="0.2">
      <c r="A154" s="500"/>
      <c r="B154" s="304" t="s">
        <v>1200</v>
      </c>
      <c r="C154" s="289"/>
      <c r="D154" s="295">
        <v>4</v>
      </c>
      <c r="E154" s="296" t="s">
        <v>1593</v>
      </c>
      <c r="F154" s="335">
        <v>56</v>
      </c>
      <c r="G154" s="299"/>
      <c r="H154" s="288"/>
      <c r="I154" s="45">
        <f>'Op Detail'!D1713</f>
        <v>15000</v>
      </c>
      <c r="J154" s="144">
        <v>15000</v>
      </c>
      <c r="K154" s="101">
        <f t="shared" si="4"/>
        <v>0</v>
      </c>
      <c r="L154" s="27" t="s">
        <v>3120</v>
      </c>
    </row>
    <row r="155" spans="1:12" ht="12" customHeight="1" x14ac:dyDescent="0.2">
      <c r="A155" s="500"/>
      <c r="B155" s="304" t="s">
        <v>1518</v>
      </c>
      <c r="C155" s="289"/>
      <c r="D155" s="295">
        <v>4</v>
      </c>
      <c r="E155" s="296" t="s">
        <v>1593</v>
      </c>
      <c r="F155" s="301">
        <v>153</v>
      </c>
      <c r="G155" s="299"/>
      <c r="H155" s="288"/>
      <c r="I155" s="45">
        <f>'Op Detail'!D4734+'Op Detail'!E4734+'Op Detail'!F4734</f>
        <v>650500</v>
      </c>
      <c r="J155" s="144">
        <v>844500</v>
      </c>
      <c r="K155" s="101">
        <f t="shared" si="4"/>
        <v>-194000</v>
      </c>
      <c r="L155" s="27" t="s">
        <v>3116</v>
      </c>
    </row>
    <row r="156" spans="1:12" ht="12" customHeight="1" x14ac:dyDescent="0.2">
      <c r="A156" s="500"/>
      <c r="B156" s="304" t="s">
        <v>1365</v>
      </c>
      <c r="C156" s="289"/>
      <c r="D156" s="295">
        <v>4</v>
      </c>
      <c r="E156" s="296" t="s">
        <v>1593</v>
      </c>
      <c r="F156" s="301">
        <v>130</v>
      </c>
      <c r="G156" s="299"/>
      <c r="H156" s="288"/>
      <c r="I156" s="45">
        <f>'Op Detail'!D4092+'Op Detail'!E4092</f>
        <v>27859.85</v>
      </c>
      <c r="J156" s="144">
        <v>31620</v>
      </c>
      <c r="K156" s="101">
        <f t="shared" si="4"/>
        <v>-3760.15</v>
      </c>
      <c r="L156" s="27" t="s">
        <v>3117</v>
      </c>
    </row>
    <row r="157" spans="1:12" ht="12" customHeight="1" x14ac:dyDescent="0.2">
      <c r="A157" s="500"/>
      <c r="B157" s="304" t="s">
        <v>1364</v>
      </c>
      <c r="C157" s="289"/>
      <c r="D157" s="295">
        <v>4</v>
      </c>
      <c r="E157" s="296" t="s">
        <v>1593</v>
      </c>
      <c r="F157" s="301">
        <v>129</v>
      </c>
      <c r="G157" s="299"/>
      <c r="H157" s="288"/>
      <c r="I157" s="45">
        <f>'Op Detail'!D4059</f>
        <v>49550</v>
      </c>
      <c r="J157" s="144">
        <v>23620</v>
      </c>
      <c r="K157" s="101">
        <f t="shared" si="4"/>
        <v>25930</v>
      </c>
      <c r="L157" s="27" t="s">
        <v>3117</v>
      </c>
    </row>
    <row r="158" spans="1:12" ht="12" customHeight="1" x14ac:dyDescent="0.2">
      <c r="A158" s="500"/>
      <c r="B158" s="304" t="s">
        <v>1391</v>
      </c>
      <c r="C158" s="289"/>
      <c r="D158" s="295">
        <v>4</v>
      </c>
      <c r="E158" s="296" t="s">
        <v>1593</v>
      </c>
      <c r="F158" s="301">
        <v>178</v>
      </c>
      <c r="G158" s="299"/>
      <c r="H158" s="288"/>
      <c r="I158" s="45">
        <f>'Op Detail'!D5427</f>
        <v>9520</v>
      </c>
      <c r="J158" s="144">
        <v>12100</v>
      </c>
      <c r="K158" s="101">
        <f t="shared" si="4"/>
        <v>-2580</v>
      </c>
      <c r="L158" s="27" t="s">
        <v>3117</v>
      </c>
    </row>
    <row r="159" spans="1:12" ht="12" customHeight="1" x14ac:dyDescent="0.2">
      <c r="A159" s="500"/>
      <c r="B159" s="304" t="s">
        <v>1196</v>
      </c>
      <c r="C159" s="289"/>
      <c r="D159" s="295">
        <v>4</v>
      </c>
      <c r="E159" s="296" t="s">
        <v>1593</v>
      </c>
      <c r="F159" s="335">
        <v>48</v>
      </c>
      <c r="G159" s="299"/>
      <c r="H159" s="288"/>
      <c r="I159" s="45">
        <f>'Op Detail'!D1538</f>
        <v>0</v>
      </c>
      <c r="J159" s="144">
        <v>0</v>
      </c>
      <c r="K159" s="101">
        <f t="shared" si="4"/>
        <v>0</v>
      </c>
      <c r="L159" s="27" t="s">
        <v>3116</v>
      </c>
    </row>
    <row r="160" spans="1:12" ht="12" customHeight="1" x14ac:dyDescent="0.2">
      <c r="A160" s="500"/>
      <c r="B160" s="304" t="s">
        <v>1201</v>
      </c>
      <c r="C160" s="289"/>
      <c r="D160" s="295">
        <v>4</v>
      </c>
      <c r="E160" s="296" t="s">
        <v>1593</v>
      </c>
      <c r="F160" s="335">
        <v>57</v>
      </c>
      <c r="G160" s="299"/>
      <c r="H160" s="288"/>
      <c r="I160" s="45">
        <f>'Op Detail'!D1724</f>
        <v>50000</v>
      </c>
      <c r="J160" s="144">
        <v>50000</v>
      </c>
      <c r="K160" s="101">
        <f t="shared" si="4"/>
        <v>0</v>
      </c>
      <c r="L160" s="27" t="s">
        <v>3120</v>
      </c>
    </row>
    <row r="161" spans="1:10" ht="15.75" thickBot="1" x14ac:dyDescent="0.25">
      <c r="A161" s="288"/>
      <c r="B161" s="288"/>
      <c r="C161" s="288"/>
      <c r="D161" s="288"/>
      <c r="E161" s="288"/>
      <c r="F161" s="288"/>
      <c r="G161" s="288"/>
      <c r="H161" s="288"/>
      <c r="I161" s="90">
        <f>SUM(I3:I160)</f>
        <v>12387924.58</v>
      </c>
      <c r="J161" s="146">
        <f>SUM(J3:J160)</f>
        <v>12200791.970000001</v>
      </c>
    </row>
    <row r="162" spans="1:10" ht="15.75" thickTop="1" x14ac:dyDescent="0.2">
      <c r="A162" s="288"/>
      <c r="B162" s="288"/>
      <c r="C162" s="288"/>
      <c r="D162" s="288"/>
      <c r="E162" s="288"/>
      <c r="F162" s="288"/>
      <c r="G162" s="288"/>
      <c r="H162" s="288"/>
      <c r="I162" s="53"/>
    </row>
    <row r="163" spans="1:10" x14ac:dyDescent="0.2">
      <c r="I163" s="101">
        <f>+I161-'Op Detail'!J1</f>
        <v>0</v>
      </c>
    </row>
  </sheetData>
  <customSheetViews>
    <customSheetView guid="{32908539-2542-409A-8F82-90CA4AF2FA22}" showPageBreaks="1" fitToPage="1" printArea="1" topLeftCell="B4">
      <selection activeCell="I22" sqref="I22"/>
      <rowBreaks count="2" manualBreakCount="2">
        <brk id="46" max="13" man="1"/>
        <brk id="97" max="13" man="1"/>
      </rowBreaks>
      <pageMargins left="0.75" right="0.75" top="1" bottom="1" header="0.5" footer="0.5"/>
      <printOptions horizontalCentered="1"/>
      <pageSetup scale="68" fitToHeight="3" orientation="portrait" horizontalDpi="4294967292" verticalDpi="4294967292" r:id="rId1"/>
      <headerFooter alignWithMargins="0">
        <oddHeader>&amp;C&amp;"Arial,Bold"&amp;10SOUTHWEST TEXAS JUNIOR COLLEGEFY 2009 OPERATING BUDGET DETAILTABLE OF CONTENTS</oddHeader>
      </headerFooter>
    </customSheetView>
    <customSheetView guid="{A8860A6A-D8F5-A548-B67D-3E99578E1F8E}" scale="125" showPageBreaks="1" fitToPage="1" printArea="1" topLeftCell="A67">
      <selection activeCell="I76" sqref="I76"/>
      <rowBreaks count="2" manualBreakCount="2">
        <brk id="46" max="10" man="1"/>
        <brk id="97" max="10" man="1"/>
      </rowBreaks>
      <pageMargins left="0.7" right="0.7" top="0.75" bottom="0.75" header="0.3" footer="0.3"/>
      <printOptions horizontalCentered="1"/>
      <headerFooter alignWithMargins="0">
        <oddHeader>&amp;C&amp;"Arial,Bold"&amp;10SOUTHWEST TEXAS JUNIOR COLLEGEFY 2009 OPERATING BUDGET DETAILTABLE OF CONTENTS</oddHeader>
      </headerFooter>
    </customSheetView>
  </customSheetViews>
  <mergeCells count="7">
    <mergeCell ref="A104:A160"/>
    <mergeCell ref="D1:H1"/>
    <mergeCell ref="A5:A22"/>
    <mergeCell ref="A3:A4"/>
    <mergeCell ref="A50:A103"/>
    <mergeCell ref="A24:A41"/>
    <mergeCell ref="A42:A49"/>
  </mergeCells>
  <phoneticPr fontId="15" type="noConversion"/>
  <hyperlinks>
    <hyperlink ref="I29" location="'Op%20Detail'!A90" display="'Op%20Detail'!A90"/>
    <hyperlink ref="I43" location="'Op%20Detail'!D1190" display="'Op%20Detail'!D1190"/>
    <hyperlink ref="I31" location="'Op%20Detail'!D1220" display="'Op%20Detail'!D1220"/>
    <hyperlink ref="I113" location="'Op%20Detail'!D1295" display="'Op%20Detail'!D1295"/>
    <hyperlink ref="I36" location="'Op%20Detail'!D1517" display="'Op%20Detail'!D1517"/>
    <hyperlink ref="I58" location="'Op%20Detail'!D1317" display="'Op%20Detail'!D1317"/>
    <hyperlink ref="I39" location="'Op%20Detail'!D4872" display="'Op%20Detail'!D4872"/>
    <hyperlink ref="I45" location="'Op%20Detail'!D4703" display="'Op%20Detail'!D4703"/>
    <hyperlink ref="I35" location="'Op%20Detail'!G3478" display="'Op%20Detail'!G3478"/>
    <hyperlink ref="I34" location="'Op%20Detail'!D4151" display="'Op%20Detail'!D4151"/>
    <hyperlink ref="I42" location="'Op%20Detail'!D1462" display="'Op%20Detail'!D1462"/>
    <hyperlink ref="I25" location="'Op%20Detail'!D1573" display="'Op%20Detail'!D1573"/>
    <hyperlink ref="I150" location="'Op%20Detail'!G3540" display="'Op%20Detail'!G3540"/>
    <hyperlink ref="I37" location="'Op%20Detail'!D4003" display="'Op%20Detail'!D4003"/>
    <hyperlink ref="I40" location="'Op%20Detail'!D4755" display="'Op%20Detail'!D4755"/>
    <hyperlink ref="I41" location="'Op%20Detail'!D4839" display="'Op%20Detail'!D4839"/>
    <hyperlink ref="I47" location="'Op%20Detail'!D4084" display="'Op%20Detail'!D4084"/>
    <hyperlink ref="I15" location="'Op%20Detail'!D433" display="'Op%20Detail'!D433"/>
    <hyperlink ref="I14" location="'Op%20Detail'!D228" display="'Op%20Detail'!D228"/>
    <hyperlink ref="I17" location="'Op%20Detail'!D374" display="'Op%20Detail'!D374"/>
    <hyperlink ref="I10" location="'Op%20Detail'!F4620" display="'Op%20Detail'!F4620"/>
    <hyperlink ref="I105" location="'Op%20Detail'!D4927" display="'Op%20Detail'!D4927"/>
    <hyperlink ref="I22" location="'Op%20Detail'!D4407" display="'Op%20Detail'!D4407"/>
    <hyperlink ref="I16" location="'Op%20Detail'!D4974" display="'Op%20Detail'!D4974"/>
    <hyperlink ref="I12" location="'Op%20Detail'!D306" display="'Op%20Detail'!D306"/>
    <hyperlink ref="I11" location="'Op%20Detail'!D281" display="'Op%20Detail'!D281"/>
    <hyperlink ref="I9" location="'Op%20Detail'!D250" display="'Op%20Detail'!D250"/>
    <hyperlink ref="I7" location="'Op%20Detail'!D4434" display="'Op%20Detail'!D4434"/>
    <hyperlink ref="I19" location="'Op%20Detail'!D1140" display="'Op%20Detail'!D1140"/>
    <hyperlink ref="I18" location="'Op%20Detail'!D1168" display="'Op%20Detail'!D1168"/>
    <hyperlink ref="I13" location="'Op%20Detail'!D409" display="'Op%20Detail'!D409"/>
    <hyperlink ref="I6" location="'Op%20Detail'!D334" display="'Op%20Detail'!D334"/>
    <hyperlink ref="I21" location="'Op%20Detail'!D1262" display="'Op%20Detail'!D1262"/>
    <hyperlink ref="I77" location="'Op%20Detail'!D1351" display="'Op%20Detail'!D1351"/>
    <hyperlink ref="I158" location="'Op%20Detail'!D5219" display="'Op%20Detail'!D5219"/>
    <hyperlink ref="I94" location="'Op%20Detail'!D5190" display="'Op%20Detail'!D5190"/>
    <hyperlink ref="I55" location="'Op%20Detail'!D3755" display="'Op%20Detail'!D3755"/>
    <hyperlink ref="I53" location="'Op%20Detail'!D3667" display="'Op%20Detail'!D3667"/>
    <hyperlink ref="I59" location="'Op%20Detail'!D3601" display="'Op%20Detail'!D3601"/>
    <hyperlink ref="I54" location="'Op%20Detail'!D1730" display="'Op%20Detail'!D1730"/>
    <hyperlink ref="I60" location="'Op%20Detail'!D3635" display="'Op%20Detail'!D3635"/>
    <hyperlink ref="I157" location="'Op%20Detail'!D3698" display="'Op%20Detail'!D3698"/>
    <hyperlink ref="I139" location="'Op%20Detail'!D4616" display="'Op%20Detail'!D4616"/>
    <hyperlink ref="I119" location="'Op%20Detail'!D4660" display="'Op%20Detail'!D4660"/>
    <hyperlink ref="I67" location="'Op%20Detail'!G1941" display="'Op%20Detail'!G1941"/>
    <hyperlink ref="I51" location="'Op%20Detail'!F3667" display="'Op%20Detail'!F3667"/>
    <hyperlink ref="I78" location="'Op%20Detail'!F3602" display="'Op%20Detail'!F3602"/>
    <hyperlink ref="I122" location="'Op%20Detail'!F3632" display="'Op%20Detail'!F3632"/>
    <hyperlink ref="I79" location="'Op%20Detail'!F1903" display="'Op%20Detail'!F1903"/>
    <hyperlink ref="I99" location="'Op%20Detail'!F3052" display="'Op%20Detail'!F3052"/>
    <hyperlink ref="I125" location="'Op%20Detail'!A1779" display="'Op%20Detail'!A1779"/>
    <hyperlink ref="I66" location="'Op%20Detail'!D4444" display="'Op%20Detail'!D4444"/>
    <hyperlink ref="I89" location="'Op%20Detail'!D2409" display="'Op%20Detail'!D2409"/>
    <hyperlink ref="I118" location="'Op%20Detail'!G4131" display="'Op%20Detail'!G4131"/>
    <hyperlink ref="I97" location="'Op%20Detail'!D2648" display="'Op%20Detail'!D2648"/>
    <hyperlink ref="I98" location="'Op%20Detail'!D3362" display="'Op%20Detail'!D3362"/>
    <hyperlink ref="I90" location="'Op%20Detail'!D3333" display="'Op%20Detail'!D3333"/>
    <hyperlink ref="I50" location="'Op%20Detail'!D3411" display="'Op%20Detail'!D3411"/>
    <hyperlink ref="I91" location="'Op%20Detail'!D2157" display="'Op%20Detail'!D2157"/>
    <hyperlink ref="I100" location="'Op%20Detail'!D5002" display="'Op%20Detail'!D5002"/>
    <hyperlink ref="I135" location="'Op%20Detail'!D2044" display="'Op%20Detail'!D2044"/>
    <hyperlink ref="I93" location="'Op%20Detail'!D5038" display="'Op%20Detail'!D5038"/>
    <hyperlink ref="I149" location="'Op%20Detail'!D5054" display="'Op%20Detail'!D5054"/>
    <hyperlink ref="I148" location="'Op%20Detail'!D5084" display="'Op%20Detail'!D5084"/>
    <hyperlink ref="I75" location="'Op%20Detail'!D3492" display="'Op%20Detail'!D3492"/>
    <hyperlink ref="I80" location="'Op%20Detail'!D4036" display="'Op%20Detail'!D4036"/>
    <hyperlink ref="I156" location="'Op%20Detail'!D3966" display="'Op%20Detail'!D3966"/>
    <hyperlink ref="I112" location="'Op%20Detail'!D1976" display="'Op%20Detail'!D1976"/>
    <hyperlink ref="I144" location="'Op%20Detail'!F2955" display="'Op%20Detail'!F2955"/>
    <hyperlink ref="I127" location="'Op%20Detail'!D2899" display="'Op%20Detail'!D2899"/>
    <hyperlink ref="I143" location="'Op%20Detail'!D2274" display="'Op%20Detail'!D2274"/>
    <hyperlink ref="I86" location="'Op%20Detail'!D5168" display="'Op%20Detail'!D5168"/>
    <hyperlink ref="I114" location="'Op%20Detail'!D2002" display="'Op%20Detail'!D2002"/>
    <hyperlink ref="I101" location="'Op%20Detail'!D2312" display="'Op%20Detail'!D2312"/>
    <hyperlink ref="I116" location="'Op%20Detail'!D2926" display="'Op%20Detail'!D2926"/>
    <hyperlink ref="I152" location="'Op%20Detail'!D2215" display="'Op%20Detail'!D2215"/>
    <hyperlink ref="I56" location="'Op%20Detail'!D2188" display="'Op%20Detail'!D2188"/>
    <hyperlink ref="I123" location="'Op%20Detail'!D2253" display="'Op%20Detail'!D2253"/>
    <hyperlink ref="I110" location="'Op%20Detail'!D5126" display="'Op%20Detail'!D5126"/>
    <hyperlink ref="I82" location="'Op%20Detail'!D4899" display="'Op%20Detail'!D4899"/>
    <hyperlink ref="I63" location="'Op%20Detail'!D3079" display="'Op%20Detail'!D3079"/>
    <hyperlink ref="I121" location="'Op%20Detail'!D3105" display="'Op%20Detail'!D3105"/>
    <hyperlink ref="I74" location="'Op%20Detail'!D3132" display="'Op%20Detail'!D3132"/>
    <hyperlink ref="I129" location="'Op%20Detail'!D3159" display="'Op%20Detail'!D3159"/>
    <hyperlink ref="I132" location="'Op%20Detail'!D3094" display="'Op%20Detail'!D3094"/>
    <hyperlink ref="I107" location="'Op%20Detail'!F2995" display="'Op%20Detail'!F2995"/>
    <hyperlink ref="I109" location="'Op%20Detail'!D3017" display="'Op%20Detail'!D3017"/>
    <hyperlink ref="I142" location="'Op%20Detail'!D3042" display="'Op%20Detail'!D3042"/>
    <hyperlink ref="I128" location="'Op%20Detail'!D2837" display="'Op%20Detail'!D2837"/>
    <hyperlink ref="I159" location="'Op%20Detail'!D1492" display="'Op%20Detail'!D1492"/>
    <hyperlink ref="I64" location="'Op%20Detail'!D4958" display="'Op%20Detail'!D4958"/>
    <hyperlink ref="I146" location="'Op%20Detail'!D5204" display="'Op%20Detail'!D5204"/>
    <hyperlink ref="I87" location="'Op%20Detail'!D4697" display="'Op%20Detail'!D4697"/>
    <hyperlink ref="I155" location="'Op%20Detail'!D4574" display="'Op%20Detail'!D4574"/>
    <hyperlink ref="I108" location="'Op%20Detail'!D4557" display="'Op%20Detail'!D4557"/>
    <hyperlink ref="I85" location="'Op%20Detail'!D4535" display="'Op%20Detail'!D4535"/>
    <hyperlink ref="I106" location="'Op%20Detail'!D4383" display="'Op%20Detail'!D4383"/>
    <hyperlink ref="I5" location="'Op%20Detail'!D3460" display="'Op%20Detail'!D3460"/>
    <hyperlink ref="I120" location="'Op%20Detail'!D4105" display="'Op%20Detail'!D4105"/>
    <hyperlink ref="I72" location="'Op%20Detail'!D1416" display="'Op%20Detail'!D1416"/>
    <hyperlink ref="I68" location="'Op%20Detail'!D134" display="'Op%20Detail'!D134"/>
    <hyperlink ref="I52" location="'Op%20Detail'!A196" display="'Op%20Detail'!A196"/>
    <hyperlink ref="I141" location="'Op%20Detail'!D1374" display="'Op%20Detail'!D1374"/>
    <hyperlink ref="I133" location="'Op%20Detail'!D166" display="'Op%20Detail'!D166"/>
    <hyperlink ref="I73" location="'Op%20Detail'!D69" display="'Op%20Detail'!D69"/>
    <hyperlink ref="I96" location="'Op%20Detail'!D1306" display="'Op%20Detail'!D1306"/>
    <hyperlink ref="I24" location="'Op%20Detail'!D1328" display="'Op%20Detail'!D1328"/>
    <hyperlink ref="I136" location="'Op%20Detail'!D1389" display="'Op%20Detail'!D1389"/>
    <hyperlink ref="I117" location="'Op%20Detail'!D1400" display="'Op%20Detail'!D1400"/>
    <hyperlink ref="I3" location="'Op%20Detail'!D15" display="'Op%20Detail'!D15"/>
    <hyperlink ref="I4" location="'Op%20Detail'!D45" display="'Op%20Detail'!D45"/>
    <hyperlink ref="I131" location="'Op%20Detail'!D1618" display="'Op%20Detail'!D1618"/>
    <hyperlink ref="I145" location="'Op%20Detail'!D1631" display="'Op%20Detail'!D1631"/>
    <hyperlink ref="I137" location="'Op%20Detail'!D1642" display="'Op%20Detail'!D1642"/>
    <hyperlink ref="I104" location="'Op%20Detail'!D1653" display="'Op%20Detail'!D1653"/>
    <hyperlink ref="I154" location="'Op%20Detail'!D1576" display="'Op%20Detail'!D1576"/>
    <hyperlink ref="I88" location="'Op%20Detail'!A1741" display="'Op%20Detail'!A1741"/>
    <hyperlink ref="I84" location="'Op%20Detail'!D1799" display="'Op%20Detail'!D1799"/>
    <hyperlink ref="I115" location="'Op%20Detail'!D3724" display="'Op%20Detail'!D3724"/>
    <hyperlink ref="I33" location="'Op%20Detail'!D3420" display="'Op%20Detail'!D3420"/>
    <hyperlink ref="I27" location="'Op%20Detail'!D4785" display="'Op%20Detail'!D4785"/>
    <hyperlink ref="I69" location="'Op%20Detail'!D3602" display="'Op%20Detail'!D3602"/>
    <hyperlink ref="I62" location="'Op%20Detail'!D4355" display="'Op%20Detail'!D4355"/>
    <hyperlink ref="I57" location="'Op%20Detail'!D1834" display="'Op%20Detail'!D1834"/>
    <hyperlink ref="I20" location="'Op%20Detail'!D4226" display="'Op%20Detail'!D4226"/>
    <hyperlink ref="I140" location="'Op%20Detail'!D1698" display="'Op%20Detail'!D1698"/>
    <hyperlink ref="I147" location="'Op%20Detail'!D1443" display="'Op%20Detail'!D1443"/>
    <hyperlink ref="I124" location="'Op%20Detail'!D1432" display="'Op%20Detail'!D1432"/>
    <hyperlink ref="I160" location="'Op%20Detail'!D1675" display="'Op%20Detail'!D1675"/>
    <hyperlink ref="I71" location="'Op%20Detail'!A5289" display="'Op%20Detail'!A5289"/>
    <hyperlink ref="I126" location="'Op%20Detail'!A5401" display="'Op%20Detail'!A5401"/>
    <hyperlink ref="I95" location="'Op%20Detail'!A5340" display="'Op%20Detail'!A5340"/>
    <hyperlink ref="I65" location="'Op%20Detail'!A5515" display="'Op%20Detail'!A5515"/>
    <hyperlink ref="I153" location="'Op%20Detail'!A5629" display="'Op%20Detail'!A5629"/>
    <hyperlink ref="I111" location="'Op%20Detail'!A5704" display="'Op%20Detail'!A5704"/>
    <hyperlink ref="I83" location="'Op%20Detail'!A2081" display="'Op%20Detail'!A2081"/>
    <hyperlink ref="I70" location="'Op%20Detail'!A2119" display="'Op%20Detail'!A2119"/>
    <hyperlink ref="I138" location="'Op%20Detail'!A5759" display="'Op%20Detail'!A5759"/>
    <hyperlink ref="I134" location="'Op%20Detail'!A5761" display="'Op%20Detail'!A5761"/>
    <hyperlink ref="I81" location="'Op%20Detail'!A5801" display="'Op%20Detail'!A5801"/>
    <hyperlink ref="I76" location="'Op%20Detail'!A5868" display="'Op%20Detail'!A5868"/>
    <hyperlink ref="I44" location="'Op%20Detail'!A5902" display="'Op%20Detail'!A5902"/>
    <hyperlink ref="I30" location="'Op%20Detail'!A5943" display="'Op%20Detail'!A5943"/>
    <hyperlink ref="I103" location="'Op%20Detail'!A5983" display="'Op%20Detail'!A5983"/>
    <hyperlink ref="I8" location="'Op%20Detail'!A496" display="'Op%20Detail'!A496"/>
    <hyperlink ref="I32" location="'Op%20Detail'!E6015" display="'Op%20Detail'!E6015"/>
    <hyperlink ref="I49" location="'Op%20Detail'!F3523" display="'Op%20Detail'!F3523"/>
    <hyperlink ref="I151" location="'Op%20Detail'!E3527" display="'Op%20Detail'!E3527"/>
    <hyperlink ref="I28" location="'Op%20Detail'!A6033" display="'Op%20Detail'!A6033"/>
    <hyperlink ref="I26" location="'Op%20Detail'!A6078" display="'Op%20Detail'!A6078"/>
    <hyperlink ref="I23" location="'Op%20Detail'!A6144" display="'Op%20Detail'!A6144"/>
    <hyperlink ref="I38" location="'Op%20Detail'!D4872" display="'Op%20Detail'!D4872"/>
    <hyperlink ref="I61" location="'Op%20Detail'!D3635" display="'Op%20Detail'!D3635"/>
  </hyperlinks>
  <printOptions horizontalCentered="1"/>
  <pageMargins left="0.7" right="0.7" top="0.5" bottom="0.5" header="0.3" footer="0.3"/>
  <pageSetup scale="63" fitToHeight="4" orientation="portrait" r:id="rId2"/>
  <headerFooter alignWithMargins="0">
    <oddHeader>&amp;C&amp;"Arial,Bold"&amp;10SOUTHWEST TEXAS JUNIOR COLLEGEFY 2009 OPERATING BUDGET DETAILTABLE OF CONTENTS</oddHeader>
  </headerFooter>
  <rowBreaks count="2" manualBreakCount="2">
    <brk id="47" max="10" man="1"/>
    <brk id="99" max="10" man="1"/>
  </rowBreak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tabColor indexed="22"/>
    <pageSetUpPr fitToPage="1"/>
  </sheetPr>
  <dimension ref="A1:M164"/>
  <sheetViews>
    <sheetView zoomScaleSheetLayoutView="100" workbookViewId="0">
      <pane ySplit="2" topLeftCell="A135" activePane="bottomLeft" state="frozen"/>
      <selection pane="bottomLeft" activeCell="I8" sqref="I8"/>
    </sheetView>
  </sheetViews>
  <sheetFormatPr defaultColWidth="8.6640625" defaultRowHeight="12.75" x14ac:dyDescent="0.2"/>
  <cols>
    <col min="1" max="1" width="9.6640625" style="27" customWidth="1"/>
    <col min="2" max="2" width="33.44140625" style="28" customWidth="1"/>
    <col min="3" max="3" width="20.88671875" style="27" hidden="1" customWidth="1"/>
    <col min="4" max="4" width="2.5546875" style="42" hidden="1" customWidth="1"/>
    <col min="5" max="5" width="1.44140625" style="42" hidden="1" customWidth="1"/>
    <col min="6" max="6" width="4" style="43" hidden="1" customWidth="1"/>
    <col min="7" max="7" width="1.88671875" style="43" hidden="1" customWidth="1"/>
    <col min="8" max="8" width="9.88671875" style="44" hidden="1" customWidth="1"/>
    <col min="9" max="9" width="11.88671875" style="27" customWidth="1"/>
    <col min="10" max="10" width="12" style="144" customWidth="1"/>
    <col min="11" max="11" width="10.88671875" style="27" customWidth="1"/>
    <col min="12" max="12" width="11.21875" style="27" customWidth="1"/>
    <col min="13" max="13" width="11" style="27" customWidth="1"/>
    <col min="14" max="16384" width="8.6640625" style="27"/>
  </cols>
  <sheetData>
    <row r="1" spans="1:13" ht="15" customHeight="1" x14ac:dyDescent="0.2">
      <c r="A1" s="288"/>
      <c r="B1" s="291" t="s">
        <v>1302</v>
      </c>
      <c r="C1" s="288"/>
      <c r="D1" s="501" t="s">
        <v>1303</v>
      </c>
      <c r="E1" s="501"/>
      <c r="F1" s="501"/>
      <c r="G1" s="501"/>
      <c r="H1" s="501"/>
      <c r="I1" s="70" t="s">
        <v>2915</v>
      </c>
      <c r="J1" s="143" t="s">
        <v>2881</v>
      </c>
      <c r="K1" s="143"/>
      <c r="L1" s="143" t="s">
        <v>3181</v>
      </c>
      <c r="M1" s="143" t="s">
        <v>2881</v>
      </c>
    </row>
    <row r="2" spans="1:13" ht="15" customHeight="1" x14ac:dyDescent="0.2">
      <c r="A2" s="288"/>
      <c r="B2" s="291"/>
      <c r="C2" s="288"/>
      <c r="D2" s="355"/>
      <c r="E2" s="355"/>
      <c r="F2" s="355"/>
      <c r="G2" s="355"/>
      <c r="H2" s="355"/>
      <c r="I2" s="70" t="s">
        <v>3176</v>
      </c>
      <c r="J2" s="143" t="s">
        <v>3176</v>
      </c>
      <c r="K2" s="143" t="s">
        <v>3177</v>
      </c>
      <c r="L2" s="143" t="s">
        <v>3182</v>
      </c>
      <c r="M2" s="143" t="s">
        <v>3180</v>
      </c>
    </row>
    <row r="3" spans="1:13" ht="15" x14ac:dyDescent="0.2">
      <c r="A3" s="288"/>
      <c r="B3" s="290"/>
      <c r="C3" s="288"/>
      <c r="D3" s="288"/>
      <c r="E3" s="288"/>
      <c r="F3" s="297"/>
      <c r="G3" s="297"/>
      <c r="H3" s="300"/>
      <c r="I3" s="84"/>
    </row>
    <row r="4" spans="1:13" x14ac:dyDescent="0.2">
      <c r="A4" s="502" t="s">
        <v>1653</v>
      </c>
      <c r="B4" s="347" t="s">
        <v>1304</v>
      </c>
      <c r="C4" s="289"/>
      <c r="D4" s="295">
        <v>4</v>
      </c>
      <c r="E4" s="296" t="s">
        <v>1593</v>
      </c>
      <c r="F4" s="302">
        <v>1</v>
      </c>
      <c r="G4" s="299"/>
      <c r="H4" s="302"/>
      <c r="I4" s="81">
        <f>'Op Detail'!D22</f>
        <v>9000</v>
      </c>
      <c r="J4" s="144">
        <v>6500</v>
      </c>
      <c r="K4" s="101">
        <f t="shared" ref="K4:K35" si="0">I4-J4</f>
        <v>2500</v>
      </c>
      <c r="L4" s="356">
        <v>18587.13</v>
      </c>
      <c r="M4" s="101">
        <v>3407.99</v>
      </c>
    </row>
    <row r="5" spans="1:13" ht="15" x14ac:dyDescent="0.2">
      <c r="A5" s="502"/>
      <c r="B5" s="347" t="s">
        <v>2873</v>
      </c>
      <c r="C5" s="289"/>
      <c r="D5" s="295">
        <v>4</v>
      </c>
      <c r="E5" s="296" t="s">
        <v>1593</v>
      </c>
      <c r="F5" s="301">
        <v>212</v>
      </c>
      <c r="G5" s="299"/>
      <c r="H5" s="288"/>
      <c r="I5" s="81">
        <f>+'Op Detail'!D6657</f>
        <v>0</v>
      </c>
      <c r="J5" s="144">
        <v>27450</v>
      </c>
      <c r="K5" s="101">
        <f t="shared" si="0"/>
        <v>-27450</v>
      </c>
      <c r="L5" s="356">
        <v>0</v>
      </c>
      <c r="M5" s="101">
        <v>9797.7000000000007</v>
      </c>
    </row>
    <row r="6" spans="1:13" ht="12.75" customHeight="1" x14ac:dyDescent="0.2">
      <c r="A6" s="502"/>
      <c r="B6" s="347" t="s">
        <v>1305</v>
      </c>
      <c r="C6" s="289"/>
      <c r="D6" s="295">
        <v>4</v>
      </c>
      <c r="E6" s="296" t="s">
        <v>1593</v>
      </c>
      <c r="F6" s="302">
        <v>2</v>
      </c>
      <c r="G6" s="299"/>
      <c r="H6" s="302"/>
      <c r="I6" s="81">
        <f>'Op Detail'!D50</f>
        <v>16700</v>
      </c>
      <c r="J6" s="144">
        <v>16700</v>
      </c>
      <c r="K6" s="101">
        <f t="shared" si="0"/>
        <v>0</v>
      </c>
      <c r="L6" s="356">
        <f>172146.78-110676.72-45057.68</f>
        <v>16412.38</v>
      </c>
      <c r="M6" s="101">
        <f>127422.09-84114.34-35103.78</f>
        <v>8203.9699999999993</v>
      </c>
    </row>
    <row r="7" spans="1:13" ht="12.75" customHeight="1" x14ac:dyDescent="0.2">
      <c r="A7" s="499" t="s">
        <v>2960</v>
      </c>
      <c r="B7" s="354" t="s">
        <v>1319</v>
      </c>
      <c r="C7" s="289"/>
      <c r="D7" s="295">
        <v>4</v>
      </c>
      <c r="E7" s="296" t="s">
        <v>1593</v>
      </c>
      <c r="F7" s="335">
        <v>38</v>
      </c>
      <c r="G7" s="299"/>
      <c r="H7" s="288"/>
      <c r="I7" s="81">
        <f>'Op Detail'!D1355</f>
        <v>16900</v>
      </c>
      <c r="J7" s="144">
        <v>16800</v>
      </c>
      <c r="K7" s="101">
        <f t="shared" si="0"/>
        <v>100</v>
      </c>
      <c r="L7" s="356">
        <v>15900</v>
      </c>
      <c r="M7" s="101">
        <v>16400</v>
      </c>
    </row>
    <row r="8" spans="1:13" ht="12.75" customHeight="1" x14ac:dyDescent="0.2">
      <c r="A8" s="499"/>
      <c r="B8" s="354" t="s">
        <v>1077</v>
      </c>
      <c r="C8" s="289"/>
      <c r="D8" s="295">
        <v>4</v>
      </c>
      <c r="E8" s="296" t="s">
        <v>1593</v>
      </c>
      <c r="F8" s="301">
        <v>143</v>
      </c>
      <c r="G8" s="299"/>
      <c r="H8" s="288"/>
      <c r="I8" s="81">
        <f>'Op Detail'!D4465</f>
        <v>95000</v>
      </c>
      <c r="J8" s="144">
        <v>100000</v>
      </c>
      <c r="K8" s="101">
        <f t="shared" si="0"/>
        <v>-5000</v>
      </c>
      <c r="L8" s="356">
        <v>135063.48000000001</v>
      </c>
      <c r="M8" s="101">
        <v>89380.97</v>
      </c>
    </row>
    <row r="9" spans="1:13" ht="12.75" customHeight="1" x14ac:dyDescent="0.2">
      <c r="A9" s="499"/>
      <c r="B9" s="354" t="s">
        <v>1859</v>
      </c>
      <c r="C9" s="289"/>
      <c r="D9" s="295">
        <v>4</v>
      </c>
      <c r="E9" s="296" t="s">
        <v>1593</v>
      </c>
      <c r="F9" s="335">
        <v>5</v>
      </c>
      <c r="G9" s="299"/>
      <c r="H9" s="288"/>
      <c r="I9" s="81">
        <f>'Op Detail'!D144</f>
        <v>92312</v>
      </c>
      <c r="J9" s="144">
        <v>104350</v>
      </c>
      <c r="K9" s="101">
        <f t="shared" si="0"/>
        <v>-12038</v>
      </c>
      <c r="L9" s="356">
        <f>510852.01-141607.68-237138.41</f>
        <v>132105.92000000001</v>
      </c>
      <c r="M9" s="101">
        <f>340515.02-31625-115427-121892.38</f>
        <v>71570.64</v>
      </c>
    </row>
    <row r="10" spans="1:13" ht="12.75" customHeight="1" x14ac:dyDescent="0.2">
      <c r="A10" s="499"/>
      <c r="B10" s="354" t="s">
        <v>1181</v>
      </c>
      <c r="C10" s="289"/>
      <c r="D10" s="295">
        <v>4</v>
      </c>
      <c r="E10" s="296" t="s">
        <v>1593</v>
      </c>
      <c r="F10" s="303">
        <v>39</v>
      </c>
      <c r="G10" s="299"/>
      <c r="H10" s="303"/>
      <c r="I10" s="81">
        <f>'Op Detail'!D1367</f>
        <v>8550</v>
      </c>
      <c r="J10" s="144">
        <v>10500</v>
      </c>
      <c r="K10" s="101">
        <f t="shared" si="0"/>
        <v>-1950</v>
      </c>
      <c r="L10" s="356">
        <v>6688</v>
      </c>
      <c r="M10" s="101">
        <v>0</v>
      </c>
    </row>
    <row r="11" spans="1:13" ht="12.75" customHeight="1" x14ac:dyDescent="0.2">
      <c r="A11" s="499"/>
      <c r="B11" s="354" t="s">
        <v>1185</v>
      </c>
      <c r="C11" s="289"/>
      <c r="D11" s="295">
        <v>4</v>
      </c>
      <c r="E11" s="296" t="s">
        <v>1593</v>
      </c>
      <c r="F11" s="335">
        <v>44</v>
      </c>
      <c r="G11" s="299"/>
      <c r="H11" s="288"/>
      <c r="I11" s="45">
        <f>'Op Detail'!D1457</f>
        <v>5220</v>
      </c>
      <c r="J11" s="144">
        <v>3220</v>
      </c>
      <c r="K11" s="101">
        <f t="shared" si="0"/>
        <v>2000</v>
      </c>
      <c r="L11" s="356">
        <f>12524.13-8762.82</f>
        <v>3761.31</v>
      </c>
      <c r="M11" s="101">
        <v>16560.88</v>
      </c>
    </row>
    <row r="12" spans="1:13" ht="12.75" customHeight="1" x14ac:dyDescent="0.2">
      <c r="A12" s="499"/>
      <c r="B12" s="354" t="s">
        <v>1182</v>
      </c>
      <c r="C12" s="289"/>
      <c r="D12" s="295">
        <v>4</v>
      </c>
      <c r="E12" s="296" t="s">
        <v>1593</v>
      </c>
      <c r="F12" s="301">
        <v>40</v>
      </c>
      <c r="G12" s="299"/>
      <c r="H12" s="288"/>
      <c r="I12" s="45">
        <f>'Op Detail'!D1391</f>
        <v>15150</v>
      </c>
      <c r="J12" s="144">
        <v>30150</v>
      </c>
      <c r="K12" s="101">
        <f t="shared" si="0"/>
        <v>-15000</v>
      </c>
      <c r="L12" s="356">
        <v>29375.56</v>
      </c>
      <c r="M12" s="101">
        <v>7162.14</v>
      </c>
    </row>
    <row r="13" spans="1:13" ht="12.75" customHeight="1" x14ac:dyDescent="0.2">
      <c r="A13" s="499"/>
      <c r="B13" s="354" t="s">
        <v>1318</v>
      </c>
      <c r="C13" s="289"/>
      <c r="D13" s="295">
        <v>4</v>
      </c>
      <c r="E13" s="296" t="s">
        <v>1593</v>
      </c>
      <c r="F13" s="335">
        <v>37</v>
      </c>
      <c r="G13" s="299"/>
      <c r="H13" s="288"/>
      <c r="I13" s="45">
        <f>'Op Detail'!D1343</f>
        <v>25000</v>
      </c>
      <c r="J13" s="144">
        <v>17500</v>
      </c>
      <c r="K13" s="101">
        <f t="shared" si="0"/>
        <v>7500</v>
      </c>
      <c r="L13" s="356">
        <v>22655</v>
      </c>
      <c r="M13" s="101">
        <v>35026</v>
      </c>
    </row>
    <row r="14" spans="1:13" ht="12.75" customHeight="1" x14ac:dyDescent="0.2">
      <c r="A14" s="499"/>
      <c r="B14" s="354" t="s">
        <v>1516</v>
      </c>
      <c r="C14" s="289"/>
      <c r="D14" s="295">
        <v>4</v>
      </c>
      <c r="E14" s="305" t="s">
        <v>1593</v>
      </c>
      <c r="F14" s="301">
        <v>197</v>
      </c>
      <c r="G14" s="299"/>
      <c r="H14" s="288"/>
      <c r="I14" s="81">
        <f>'Op Detail'!D6141+'Op Detail'!E6141+'Op Detail'!F6141</f>
        <v>1020194</v>
      </c>
      <c r="J14" s="144">
        <v>957691.37</v>
      </c>
      <c r="K14" s="101">
        <f t="shared" si="0"/>
        <v>62502.63</v>
      </c>
      <c r="L14" s="356">
        <v>1228469.77</v>
      </c>
      <c r="M14" s="101">
        <v>736403.59</v>
      </c>
    </row>
    <row r="15" spans="1:13" ht="12.75" customHeight="1" x14ac:dyDescent="0.2">
      <c r="A15" s="499"/>
      <c r="B15" s="354" t="s">
        <v>1199</v>
      </c>
      <c r="C15" s="289"/>
      <c r="D15" s="295">
        <v>4</v>
      </c>
      <c r="E15" s="296" t="s">
        <v>1593</v>
      </c>
      <c r="F15" s="335">
        <v>55</v>
      </c>
      <c r="G15" s="299"/>
      <c r="H15" s="288"/>
      <c r="I15" s="81">
        <f>'Op Detail'!D1702</f>
        <v>260000</v>
      </c>
      <c r="J15" s="144">
        <v>260000</v>
      </c>
      <c r="K15" s="101">
        <f t="shared" si="0"/>
        <v>0</v>
      </c>
      <c r="L15" s="356">
        <v>247683.01</v>
      </c>
      <c r="M15" s="101">
        <v>194263.4</v>
      </c>
    </row>
    <row r="16" spans="1:13" ht="12.75" customHeight="1" x14ac:dyDescent="0.2">
      <c r="A16" s="499"/>
      <c r="B16" s="354" t="s">
        <v>1184</v>
      </c>
      <c r="C16" s="289"/>
      <c r="D16" s="295">
        <v>4</v>
      </c>
      <c r="E16" s="296" t="s">
        <v>1593</v>
      </c>
      <c r="F16" s="335">
        <v>43</v>
      </c>
      <c r="G16" s="299"/>
      <c r="H16" s="288"/>
      <c r="I16" s="81">
        <f>'Op Detail'!D1441</f>
        <v>5200</v>
      </c>
      <c r="J16" s="144">
        <v>19000</v>
      </c>
      <c r="K16" s="101">
        <f t="shared" si="0"/>
        <v>-13800</v>
      </c>
      <c r="L16" s="356">
        <v>17563.32</v>
      </c>
      <c r="M16" s="101">
        <v>2045.55</v>
      </c>
    </row>
    <row r="17" spans="1:13" ht="12.75" customHeight="1" x14ac:dyDescent="0.2">
      <c r="A17" s="499"/>
      <c r="B17" s="354" t="s">
        <v>1370</v>
      </c>
      <c r="C17" s="289"/>
      <c r="D17" s="295">
        <v>4</v>
      </c>
      <c r="E17" s="296" t="s">
        <v>1593</v>
      </c>
      <c r="F17" s="301">
        <v>142</v>
      </c>
      <c r="G17" s="299"/>
      <c r="H17" s="288"/>
      <c r="I17" s="85">
        <f>'Op Detail'!D4454</f>
        <v>1654728.59</v>
      </c>
      <c r="J17" s="144">
        <v>882635.46</v>
      </c>
      <c r="K17" s="101">
        <f t="shared" si="0"/>
        <v>772093.13</v>
      </c>
      <c r="L17" s="356">
        <v>882635.46</v>
      </c>
      <c r="M17" s="101">
        <v>882635.46</v>
      </c>
    </row>
    <row r="18" spans="1:13" ht="12.75" customHeight="1" x14ac:dyDescent="0.2">
      <c r="A18" s="499"/>
      <c r="B18" s="354" t="s">
        <v>1186</v>
      </c>
      <c r="C18" s="289"/>
      <c r="D18" s="295">
        <v>4</v>
      </c>
      <c r="E18" s="296" t="s">
        <v>1593</v>
      </c>
      <c r="F18" s="335">
        <v>45</v>
      </c>
      <c r="G18" s="299"/>
      <c r="H18" s="288"/>
      <c r="I18" s="45">
        <f>'Op Detail'!D1475</f>
        <v>21400</v>
      </c>
      <c r="J18" s="144">
        <v>20250</v>
      </c>
      <c r="K18" s="101">
        <f t="shared" si="0"/>
        <v>1150</v>
      </c>
      <c r="L18" s="356">
        <v>25728.1</v>
      </c>
      <c r="M18" s="101">
        <v>19115.919999999998</v>
      </c>
    </row>
    <row r="19" spans="1:13" ht="12.75" customHeight="1" x14ac:dyDescent="0.2">
      <c r="A19" s="499"/>
      <c r="B19" s="354" t="s">
        <v>2912</v>
      </c>
      <c r="C19" s="307"/>
      <c r="D19" s="308">
        <v>4</v>
      </c>
      <c r="E19" s="309" t="s">
        <v>1593</v>
      </c>
      <c r="F19" s="335">
        <v>7</v>
      </c>
      <c r="G19" s="299"/>
      <c r="H19" s="288"/>
      <c r="I19" s="81">
        <f>'Op Detail'!D214</f>
        <v>14540</v>
      </c>
      <c r="J19" s="144">
        <v>19050</v>
      </c>
      <c r="K19" s="101">
        <f t="shared" si="0"/>
        <v>-4510</v>
      </c>
      <c r="L19" s="356">
        <f>104467.95-53810.19-27706</f>
        <v>22951.759999999998</v>
      </c>
      <c r="M19" s="101">
        <f>80441.16-40955.49-20912.04</f>
        <v>18573.63</v>
      </c>
    </row>
    <row r="20" spans="1:13" ht="12.75" customHeight="1" x14ac:dyDescent="0.2">
      <c r="A20" s="499"/>
      <c r="B20" s="354" t="s">
        <v>1306</v>
      </c>
      <c r="C20" s="307"/>
      <c r="D20" s="308">
        <v>4</v>
      </c>
      <c r="E20" s="309" t="s">
        <v>1593</v>
      </c>
      <c r="F20" s="335">
        <v>6</v>
      </c>
      <c r="G20" s="299"/>
      <c r="H20" s="288"/>
      <c r="I20" s="81">
        <f>'Op Detail'!D179</f>
        <v>24984</v>
      </c>
      <c r="J20" s="144">
        <v>31230</v>
      </c>
      <c r="K20" s="101">
        <f t="shared" si="0"/>
        <v>-6246</v>
      </c>
      <c r="L20" s="356">
        <f>96336.74-50252.07-32235.24</f>
        <v>13849.43</v>
      </c>
      <c r="M20" s="101">
        <f>56873.83-45540</f>
        <v>11333.83</v>
      </c>
    </row>
    <row r="21" spans="1:13" ht="12.75" customHeight="1" x14ac:dyDescent="0.2">
      <c r="A21" s="499"/>
      <c r="B21" s="354" t="s">
        <v>1183</v>
      </c>
      <c r="C21" s="289"/>
      <c r="D21" s="295">
        <v>4</v>
      </c>
      <c r="E21" s="296" t="s">
        <v>1593</v>
      </c>
      <c r="F21" s="301">
        <v>42</v>
      </c>
      <c r="G21" s="299"/>
      <c r="H21" s="288"/>
      <c r="I21" s="81">
        <f>'Op Detail'!D1429</f>
        <v>0</v>
      </c>
      <c r="J21" s="144">
        <v>500</v>
      </c>
      <c r="K21" s="101">
        <f t="shared" si="0"/>
        <v>-500</v>
      </c>
      <c r="L21" s="356">
        <v>0</v>
      </c>
      <c r="M21" s="101">
        <v>0</v>
      </c>
    </row>
    <row r="22" spans="1:13" ht="12.75" customHeight="1" x14ac:dyDescent="0.2">
      <c r="A22" s="499"/>
      <c r="B22" s="354" t="s">
        <v>1198</v>
      </c>
      <c r="C22" s="289"/>
      <c r="D22" s="295">
        <v>4</v>
      </c>
      <c r="E22" s="296" t="s">
        <v>1593</v>
      </c>
      <c r="F22" s="335">
        <v>54</v>
      </c>
      <c r="G22" s="299"/>
      <c r="H22" s="288"/>
      <c r="I22" s="81">
        <f>'Op Detail'!D1691</f>
        <v>920000</v>
      </c>
      <c r="J22" s="144">
        <v>638000</v>
      </c>
      <c r="K22" s="101">
        <f t="shared" si="0"/>
        <v>282000</v>
      </c>
      <c r="L22" s="356">
        <f>374424.62+323761</f>
        <v>698185.62</v>
      </c>
      <c r="M22" s="101">
        <v>229939.03</v>
      </c>
    </row>
    <row r="23" spans="1:13" ht="12.75" customHeight="1" x14ac:dyDescent="0.2">
      <c r="A23" s="499"/>
      <c r="B23" s="354" t="s">
        <v>1594</v>
      </c>
      <c r="C23" s="289"/>
      <c r="D23" s="295">
        <v>4</v>
      </c>
      <c r="E23" s="296" t="s">
        <v>1593</v>
      </c>
      <c r="F23" s="301">
        <v>41</v>
      </c>
      <c r="G23" s="299"/>
      <c r="H23" s="288"/>
      <c r="I23" s="81">
        <f>'Op Detail'!D1414</f>
        <v>3000</v>
      </c>
      <c r="J23" s="144">
        <v>5000</v>
      </c>
      <c r="K23" s="101">
        <f t="shared" si="0"/>
        <v>-2000</v>
      </c>
      <c r="L23" s="356">
        <v>0</v>
      </c>
      <c r="M23" s="101">
        <v>9006.23</v>
      </c>
    </row>
    <row r="24" spans="1:13" ht="15" x14ac:dyDescent="0.2">
      <c r="A24" s="499"/>
      <c r="B24" s="354" t="s">
        <v>350</v>
      </c>
      <c r="C24" s="289"/>
      <c r="D24" s="295">
        <v>4</v>
      </c>
      <c r="E24" s="296" t="s">
        <v>1593</v>
      </c>
      <c r="F24" s="335">
        <v>53</v>
      </c>
      <c r="G24" s="299"/>
      <c r="H24" s="288"/>
      <c r="I24" s="81">
        <f>'Op Detail'!D1678</f>
        <v>2309296</v>
      </c>
      <c r="J24" s="144">
        <v>2453961</v>
      </c>
      <c r="K24" s="101">
        <f t="shared" si="0"/>
        <v>-144665</v>
      </c>
      <c r="L24" s="356">
        <v>1391146.88</v>
      </c>
      <c r="M24" s="101">
        <v>1230445.3899999999</v>
      </c>
    </row>
    <row r="25" spans="1:13" ht="12.75" customHeight="1" x14ac:dyDescent="0.2">
      <c r="A25" s="499"/>
      <c r="B25" s="354" t="s">
        <v>1194</v>
      </c>
      <c r="C25" s="289"/>
      <c r="D25" s="295">
        <v>4</v>
      </c>
      <c r="E25" s="296" t="s">
        <v>1593</v>
      </c>
      <c r="F25" s="335">
        <v>46</v>
      </c>
      <c r="G25" s="299"/>
      <c r="H25" s="288"/>
      <c r="I25" s="81">
        <f>'Op Detail'!D1486</f>
        <v>40000</v>
      </c>
      <c r="J25" s="144">
        <v>110000</v>
      </c>
      <c r="K25" s="101">
        <f t="shared" si="0"/>
        <v>-70000</v>
      </c>
      <c r="L25" s="356">
        <v>77126.53</v>
      </c>
      <c r="M25" s="101">
        <v>97983.11</v>
      </c>
    </row>
    <row r="26" spans="1:13" ht="12.75" customHeight="1" x14ac:dyDescent="0.2">
      <c r="A26" s="499"/>
      <c r="B26" s="354" t="s">
        <v>1200</v>
      </c>
      <c r="C26" s="289"/>
      <c r="D26" s="295">
        <v>4</v>
      </c>
      <c r="E26" s="296" t="s">
        <v>1593</v>
      </c>
      <c r="F26" s="335">
        <v>56</v>
      </c>
      <c r="G26" s="299"/>
      <c r="H26" s="288"/>
      <c r="I26" s="45">
        <f>'Op Detail'!D1713</f>
        <v>15000</v>
      </c>
      <c r="J26" s="144">
        <v>15000</v>
      </c>
      <c r="K26" s="101">
        <f t="shared" si="0"/>
        <v>0</v>
      </c>
      <c r="L26" s="356">
        <v>0</v>
      </c>
      <c r="M26" s="101">
        <v>0</v>
      </c>
    </row>
    <row r="27" spans="1:13" ht="12.75" customHeight="1" x14ac:dyDescent="0.2">
      <c r="A27" s="499"/>
      <c r="B27" s="354" t="s">
        <v>2960</v>
      </c>
      <c r="C27" s="289"/>
      <c r="D27" s="295">
        <v>4</v>
      </c>
      <c r="E27" s="296" t="s">
        <v>1593</v>
      </c>
      <c r="F27" s="335">
        <v>3</v>
      </c>
      <c r="G27" s="299"/>
      <c r="H27" s="288"/>
      <c r="I27" s="81">
        <f>'Op Detail'!D76</f>
        <v>3425</v>
      </c>
      <c r="J27" s="144">
        <v>3425</v>
      </c>
      <c r="K27" s="101">
        <f t="shared" si="0"/>
        <v>0</v>
      </c>
      <c r="L27" s="356">
        <f>22663.16-18675.69</f>
        <v>3987.47</v>
      </c>
      <c r="M27" s="101">
        <f>44060.92-28000-13983.39</f>
        <v>2077.5300000000002</v>
      </c>
    </row>
    <row r="28" spans="1:13" ht="12.75" customHeight="1" x14ac:dyDescent="0.2">
      <c r="A28" s="499"/>
      <c r="B28" s="354" t="s">
        <v>1201</v>
      </c>
      <c r="C28" s="289"/>
      <c r="D28" s="295">
        <v>4</v>
      </c>
      <c r="E28" s="296" t="s">
        <v>1593</v>
      </c>
      <c r="F28" s="335">
        <v>57</v>
      </c>
      <c r="G28" s="299"/>
      <c r="H28" s="288"/>
      <c r="I28" s="45">
        <f>'Op Detail'!D1724</f>
        <v>50000</v>
      </c>
      <c r="J28" s="144">
        <v>50000</v>
      </c>
      <c r="K28" s="101">
        <f t="shared" si="0"/>
        <v>0</v>
      </c>
      <c r="L28" s="356">
        <v>15050.4</v>
      </c>
      <c r="M28" s="101">
        <v>41834.53</v>
      </c>
    </row>
    <row r="29" spans="1:13" ht="12.75" customHeight="1" x14ac:dyDescent="0.2">
      <c r="A29" s="499" t="s">
        <v>3125</v>
      </c>
      <c r="B29" s="350" t="s">
        <v>817</v>
      </c>
      <c r="C29" s="289"/>
      <c r="D29" s="295">
        <v>4</v>
      </c>
      <c r="E29" s="296" t="s">
        <v>1593</v>
      </c>
      <c r="F29" s="301">
        <v>113</v>
      </c>
      <c r="G29" s="299"/>
      <c r="H29" s="288"/>
      <c r="I29" s="81">
        <f>'Op Detail'!D3524</f>
        <v>18120</v>
      </c>
      <c r="J29" s="144">
        <v>22500</v>
      </c>
      <c r="K29" s="101">
        <f t="shared" si="0"/>
        <v>-4380</v>
      </c>
      <c r="L29" s="356">
        <f>16105.08-13582.91-416.5</f>
        <v>2105.67</v>
      </c>
      <c r="M29" s="101">
        <f>12298.79-7606.14-3870</f>
        <v>822.65</v>
      </c>
    </row>
    <row r="30" spans="1:13" ht="12.75" customHeight="1" x14ac:dyDescent="0.2">
      <c r="A30" s="499"/>
      <c r="B30" s="350" t="s">
        <v>1703</v>
      </c>
      <c r="C30" s="289" t="s">
        <v>2869</v>
      </c>
      <c r="D30" s="295">
        <v>4</v>
      </c>
      <c r="E30" s="296" t="s">
        <v>1593</v>
      </c>
      <c r="F30" s="302">
        <v>12</v>
      </c>
      <c r="G30" s="299"/>
      <c r="H30" s="302"/>
      <c r="I30" s="81">
        <f>'Op Detail'!D359</f>
        <v>4070</v>
      </c>
      <c r="J30" s="145">
        <v>3475</v>
      </c>
      <c r="K30" s="101">
        <f t="shared" si="0"/>
        <v>595</v>
      </c>
      <c r="L30" s="356">
        <f>25337.81-9073.92-12884.4</f>
        <v>3379.49</v>
      </c>
      <c r="M30" s="101">
        <f>23783.03-6887.07-13713.44</f>
        <v>3182.52</v>
      </c>
    </row>
    <row r="31" spans="1:13" ht="12.75" customHeight="1" x14ac:dyDescent="0.2">
      <c r="A31" s="499"/>
      <c r="B31" s="350" t="s">
        <v>2974</v>
      </c>
      <c r="C31" s="289"/>
      <c r="D31" s="295">
        <v>4</v>
      </c>
      <c r="E31" s="296" t="s">
        <v>1593</v>
      </c>
      <c r="F31" s="335">
        <v>61</v>
      </c>
      <c r="G31" s="299"/>
      <c r="H31" s="288"/>
      <c r="I31" s="81">
        <f>'Op Detail'!D1835+'Op Detail'!E1835+'Op Detail'!F1835+'Op Detail'!H1835</f>
        <v>36635</v>
      </c>
      <c r="J31" s="144">
        <v>32050</v>
      </c>
      <c r="K31" s="101">
        <f t="shared" si="0"/>
        <v>4585</v>
      </c>
      <c r="L31" s="356">
        <v>40467.85</v>
      </c>
      <c r="M31" s="358"/>
    </row>
    <row r="32" spans="1:13" ht="12" customHeight="1" x14ac:dyDescent="0.2">
      <c r="A32" s="499"/>
      <c r="B32" s="350" t="s">
        <v>466</v>
      </c>
      <c r="C32" s="289"/>
      <c r="D32" s="295">
        <v>4</v>
      </c>
      <c r="E32" s="305" t="s">
        <v>1593</v>
      </c>
      <c r="F32" s="301">
        <v>185</v>
      </c>
      <c r="G32" s="299" t="s">
        <v>1772</v>
      </c>
      <c r="H32" s="301">
        <v>187</v>
      </c>
      <c r="I32" s="81">
        <f>'Op Detail'!D5691+'Op Detail'!E5691+'Op Detail'!F5691+'Op Detail'!H5691+'Op Detail'!D5729+'Op Detail'!E5729+'Op Detail'!F5729+'Op Detail'!H5729+'Op Detail'!D5767+'Op Detail'!E5767+'Op Detail'!F5767</f>
        <v>3209.48</v>
      </c>
      <c r="J32" s="144">
        <v>7400</v>
      </c>
      <c r="K32" s="101">
        <f t="shared" si="0"/>
        <v>-4190.5200000000004</v>
      </c>
      <c r="L32" s="356">
        <v>5216.82</v>
      </c>
      <c r="M32" s="358"/>
    </row>
    <row r="33" spans="1:13" ht="12.75" customHeight="1" x14ac:dyDescent="0.2">
      <c r="A33" s="499"/>
      <c r="B33" s="350" t="s">
        <v>550</v>
      </c>
      <c r="C33" s="289"/>
      <c r="D33" s="295">
        <v>4</v>
      </c>
      <c r="E33" s="296" t="s">
        <v>1593</v>
      </c>
      <c r="F33" s="335">
        <v>75</v>
      </c>
      <c r="G33" s="298" t="s">
        <v>2728</v>
      </c>
      <c r="H33" s="310" t="s">
        <v>2934</v>
      </c>
      <c r="I33" s="81">
        <f>+'Op Detail'!D6399+'Op Detail'!D6410</f>
        <v>640</v>
      </c>
      <c r="J33" s="144">
        <v>800</v>
      </c>
      <c r="K33" s="101">
        <f t="shared" si="0"/>
        <v>-160</v>
      </c>
      <c r="L33" s="356">
        <v>0</v>
      </c>
      <c r="M33" s="101">
        <v>0</v>
      </c>
    </row>
    <row r="34" spans="1:13" ht="12.75" customHeight="1" x14ac:dyDescent="0.2">
      <c r="A34" s="499"/>
      <c r="B34" s="350" t="s">
        <v>291</v>
      </c>
      <c r="C34" s="289"/>
      <c r="D34" s="295">
        <v>4</v>
      </c>
      <c r="E34" s="305" t="s">
        <v>1593</v>
      </c>
      <c r="F34" s="301">
        <v>179</v>
      </c>
      <c r="G34" s="299" t="s">
        <v>1772</v>
      </c>
      <c r="H34" s="301">
        <v>180</v>
      </c>
      <c r="I34" s="82">
        <f>'Op Detail'!D5465+'Op Detail'!E5465+'Op Detail'!F5465+'Op Detail'!H5465+'Op Detail'!D5502+'Op Detail'!E5502</f>
        <v>1628.66</v>
      </c>
      <c r="J34" s="144">
        <v>3450</v>
      </c>
      <c r="K34" s="101">
        <f t="shared" si="0"/>
        <v>-1821.34</v>
      </c>
      <c r="L34" s="356">
        <v>47.18</v>
      </c>
      <c r="M34" s="358"/>
    </row>
    <row r="35" spans="1:13" ht="12.75" customHeight="1" x14ac:dyDescent="0.2">
      <c r="A35" s="499"/>
      <c r="B35" s="350" t="s">
        <v>1312</v>
      </c>
      <c r="C35" s="289"/>
      <c r="D35" s="295">
        <v>4</v>
      </c>
      <c r="E35" s="296" t="s">
        <v>1593</v>
      </c>
      <c r="F35" s="302">
        <v>16</v>
      </c>
      <c r="G35" s="299" t="s">
        <v>1772</v>
      </c>
      <c r="H35" s="302">
        <v>30</v>
      </c>
      <c r="I35" s="81">
        <f>'Op Detail'!D522+'Op Detail'!E522+'Op Detail'!F522+'Op Detail'!H522+'Op Detail'!D567+'Op Detail'!E567+'Op Detail'!F567+'Op Detail'!H567+'Op Detail'!D611+'Op Detail'!E611+'Op Detail'!F611+'Op Detail'!H611+'Op Detail'!D654+'Op Detail'!E654+'Op Detail'!F654+'Op Detail'!H654+'Op Detail'!D697+'Op Detail'!E697+'Op Detail'!F697+'Op Detail'!H697+'Op Detail'!D741+'Op Detail'!E741+'Op Detail'!F741+'Op Detail'!H741+'Op Detail'!D786+'Op Detail'!E786+'Op Detail'!F786+'Op Detail'!H786+'Op Detail'!D830+'Op Detail'!E830+'Op Detail'!F830+'Op Detail'!H830+'Op Detail'!D874+'Op Detail'!E874+'Op Detail'!F874+'Op Detail'!H874+'Op Detail'!D918+'Op Detail'!E918+'Op Detail'!F918+'Op Detail'!H918+'Op Detail'!D963+'Op Detail'!E963+'Op Detail'!F963+'Op Detail'!H963+'Op Detail'!D1007+'Op Detail'!E1007+'Op Detail'!F1007+'Op Detail'!H1007+'Op Detail'!D1050+'Op Detail'!E1050+'Op Detail'!F1050+'Op Detail'!H1050+'Op Detail'!D1093+'Op Detail'!E1093+'Op Detail'!F1093+'Op Detail'!H1093+SUM('Op Detail'!D1136:H1136)</f>
        <v>122960</v>
      </c>
      <c r="J35" s="144">
        <v>115645</v>
      </c>
      <c r="K35" s="101">
        <f t="shared" si="0"/>
        <v>7315</v>
      </c>
      <c r="L35" s="357"/>
      <c r="M35" s="358"/>
    </row>
    <row r="36" spans="1:13" ht="12.75" customHeight="1" x14ac:dyDescent="0.2">
      <c r="A36" s="499"/>
      <c r="B36" s="350" t="s">
        <v>541</v>
      </c>
      <c r="C36" s="289"/>
      <c r="D36" s="295">
        <v>4</v>
      </c>
      <c r="E36" s="296" t="s">
        <v>1593</v>
      </c>
      <c r="F36" s="331" t="s">
        <v>3156</v>
      </c>
      <c r="G36" s="299"/>
      <c r="H36" s="302"/>
      <c r="I36" s="45">
        <f>'Op Detail'!D2148+'Op Detail'!E2148+'Op Detail'!F2148+'Op Detail'!H2148+'Op Detail'!D2188+'Op Detail'!E2188+'Op Detail'!F2188+'Op Detail'!H2188+'Op Detail'!D2209+'Op Detail'!D5146+'Op Detail'!D6435+'Op Detail'!E6435+'Op Detail'!F6435+'Op Detail'!H6435+'Op Detail'!D6460+'Op Detail'!E6460+'Op Detail'!F6460+'Op Detail'!H6460</f>
        <v>66500.23</v>
      </c>
      <c r="J36" s="144">
        <f>108350+19921+2500</f>
        <v>130771</v>
      </c>
      <c r="K36" s="101">
        <f t="shared" ref="K36:K67" si="1">I36-J36</f>
        <v>-64270.77</v>
      </c>
      <c r="L36" s="356">
        <v>92236.09</v>
      </c>
      <c r="M36" s="358"/>
    </row>
    <row r="37" spans="1:13" ht="12.75" customHeight="1" x14ac:dyDescent="0.2">
      <c r="A37" s="499"/>
      <c r="B37" s="350" t="s">
        <v>464</v>
      </c>
      <c r="C37" s="289"/>
      <c r="D37" s="295">
        <v>4</v>
      </c>
      <c r="E37" s="305" t="s">
        <v>1593</v>
      </c>
      <c r="F37" s="301">
        <v>183</v>
      </c>
      <c r="G37" s="299" t="s">
        <v>1772</v>
      </c>
      <c r="H37" s="301">
        <v>184</v>
      </c>
      <c r="I37" s="81">
        <f>'Op Detail'!D5615+'Op Detail'!E5615+'Op Detail'!F5615+'Op Detail'!H5615+'Op Detail'!D5653+'Op Detail'!E5653</f>
        <v>0</v>
      </c>
      <c r="J37" s="144">
        <v>0</v>
      </c>
      <c r="K37" s="101">
        <f t="shared" si="1"/>
        <v>0</v>
      </c>
      <c r="L37" s="356">
        <v>0</v>
      </c>
      <c r="M37" s="101">
        <v>0</v>
      </c>
    </row>
    <row r="38" spans="1:13" ht="12.75" customHeight="1" x14ac:dyDescent="0.2">
      <c r="A38" s="499"/>
      <c r="B38" s="350" t="s">
        <v>1704</v>
      </c>
      <c r="C38" s="289"/>
      <c r="D38" s="295">
        <v>4</v>
      </c>
      <c r="E38" s="296" t="s">
        <v>1593</v>
      </c>
      <c r="F38" s="302">
        <v>10</v>
      </c>
      <c r="G38" s="299"/>
      <c r="H38" s="302"/>
      <c r="I38" s="81">
        <f>'Op Detail'!D303</f>
        <v>2120</v>
      </c>
      <c r="J38" s="144">
        <v>3000</v>
      </c>
      <c r="K38" s="101">
        <f t="shared" si="1"/>
        <v>-880</v>
      </c>
      <c r="L38" s="356">
        <f>8305.42-1290-1580</f>
        <v>5435.42</v>
      </c>
      <c r="M38" s="101">
        <f>22795.06-12190-3160.28-3159.66-3159.98</f>
        <v>1125.1400000000001</v>
      </c>
    </row>
    <row r="39" spans="1:13" ht="12.75" customHeight="1" x14ac:dyDescent="0.2">
      <c r="A39" s="499"/>
      <c r="B39" s="350" t="s">
        <v>1308</v>
      </c>
      <c r="C39" s="289"/>
      <c r="D39" s="295">
        <v>4</v>
      </c>
      <c r="E39" s="296" t="s">
        <v>1593</v>
      </c>
      <c r="F39" s="302">
        <v>11</v>
      </c>
      <c r="G39" s="299"/>
      <c r="H39" s="302"/>
      <c r="I39" s="81">
        <f>'Op Detail'!D330</f>
        <v>3000</v>
      </c>
      <c r="J39" s="144">
        <v>4050</v>
      </c>
      <c r="K39" s="101">
        <f t="shared" si="1"/>
        <v>-1050</v>
      </c>
      <c r="L39" s="356">
        <f>312206.79-49077.04-69603.96-181529.84</f>
        <v>11995.95</v>
      </c>
      <c r="M39" s="101">
        <f>242306.92-143022.96-52557.75-37950</f>
        <v>8776.2099999999991</v>
      </c>
    </row>
    <row r="40" spans="1:13" ht="12.75" customHeight="1" x14ac:dyDescent="0.2">
      <c r="A40" s="499"/>
      <c r="B40" s="350" t="s">
        <v>1310</v>
      </c>
      <c r="C40" s="289" t="s">
        <v>2870</v>
      </c>
      <c r="D40" s="295">
        <v>4</v>
      </c>
      <c r="E40" s="296" t="s">
        <v>1593</v>
      </c>
      <c r="F40" s="302">
        <v>14</v>
      </c>
      <c r="G40" s="299"/>
      <c r="H40" s="302"/>
      <c r="I40" s="85">
        <f>'Op Detail'!D435</f>
        <v>0</v>
      </c>
      <c r="J40" s="144">
        <v>4215</v>
      </c>
      <c r="K40" s="101">
        <f t="shared" si="1"/>
        <v>-4215</v>
      </c>
      <c r="L40" s="356">
        <f>47594.4-45459.36</f>
        <v>2135.04</v>
      </c>
      <c r="M40" s="101">
        <f>19149.68-17713.42</f>
        <v>1436.26</v>
      </c>
    </row>
    <row r="41" spans="1:13" ht="12.75" customHeight="1" x14ac:dyDescent="0.2">
      <c r="A41" s="499"/>
      <c r="B41" s="350" t="s">
        <v>376</v>
      </c>
      <c r="C41" s="289"/>
      <c r="D41" s="295">
        <v>4</v>
      </c>
      <c r="E41" s="305" t="s">
        <v>1593</v>
      </c>
      <c r="F41" s="301">
        <v>190</v>
      </c>
      <c r="G41" s="298" t="s">
        <v>2728</v>
      </c>
      <c r="H41" s="301">
        <v>207</v>
      </c>
      <c r="I41" s="81">
        <f>'Op Detail'!D5880+'Op Detail'!E5880+'Op Detail'!F5880+'Op Detail'!D6499+'Op Detail'!E6499+'Op Detail'!F6499</f>
        <v>10885.83</v>
      </c>
      <c r="J41" s="144">
        <f>61750+1200</f>
        <v>62950</v>
      </c>
      <c r="K41" s="101">
        <f t="shared" si="1"/>
        <v>-52064.17</v>
      </c>
      <c r="L41" s="356">
        <v>27256.22</v>
      </c>
      <c r="M41" s="358"/>
    </row>
    <row r="42" spans="1:13" ht="12.75" customHeight="1" x14ac:dyDescent="0.2">
      <c r="A42" s="499"/>
      <c r="B42" s="350" t="s">
        <v>1368</v>
      </c>
      <c r="C42" s="289"/>
      <c r="D42" s="295">
        <v>4</v>
      </c>
      <c r="E42" s="296" t="s">
        <v>1593</v>
      </c>
      <c r="F42" s="301">
        <v>135</v>
      </c>
      <c r="G42" s="299"/>
      <c r="H42" s="288"/>
      <c r="I42" s="81">
        <f>'Op Detail'!D4280</f>
        <v>5600</v>
      </c>
      <c r="J42" s="144">
        <v>16000</v>
      </c>
      <c r="K42" s="101">
        <f t="shared" si="1"/>
        <v>-10400</v>
      </c>
      <c r="L42" s="356">
        <f>46272.96-35641.08</f>
        <v>10631.88</v>
      </c>
      <c r="M42" s="101">
        <f>32917-27532.8</f>
        <v>5384.2</v>
      </c>
    </row>
    <row r="43" spans="1:13" ht="12.75" customHeight="1" x14ac:dyDescent="0.2">
      <c r="A43" s="499"/>
      <c r="B43" s="350" t="s">
        <v>351</v>
      </c>
      <c r="C43" s="289"/>
      <c r="D43" s="295">
        <v>4</v>
      </c>
      <c r="E43" s="296" t="s">
        <v>1593</v>
      </c>
      <c r="F43" s="301">
        <v>134</v>
      </c>
      <c r="G43" s="299"/>
      <c r="H43" s="288"/>
      <c r="I43" s="81">
        <f>'Op Detail'!H4252</f>
        <v>112116</v>
      </c>
      <c r="J43" s="144">
        <v>128405</v>
      </c>
      <c r="K43" s="101">
        <f t="shared" si="1"/>
        <v>-16289</v>
      </c>
      <c r="L43" s="356">
        <f>571890.69-420449.95</f>
        <v>151440.74</v>
      </c>
      <c r="M43" s="101">
        <f>401029.48-135774.76-81513-43798.38-38181.96-2050-4752.38</f>
        <v>94959</v>
      </c>
    </row>
    <row r="44" spans="1:13" ht="12.75" customHeight="1" x14ac:dyDescent="0.2">
      <c r="A44" s="499"/>
      <c r="B44" s="350" t="s">
        <v>463</v>
      </c>
      <c r="C44" s="289"/>
      <c r="D44" s="295">
        <v>4</v>
      </c>
      <c r="E44" s="305" t="s">
        <v>1593</v>
      </c>
      <c r="F44" s="301">
        <v>181</v>
      </c>
      <c r="G44" s="299" t="s">
        <v>1772</v>
      </c>
      <c r="H44" s="301">
        <v>182</v>
      </c>
      <c r="I44" s="332">
        <f>'Op Detail'!E5576+'Op Detail'!D5540+'Op Detail'!E5540+'Op Detail'!F5540+'Op Detail'!H5540</f>
        <v>4690</v>
      </c>
      <c r="J44" s="144">
        <v>6300</v>
      </c>
      <c r="K44" s="101">
        <f t="shared" si="1"/>
        <v>-1610</v>
      </c>
      <c r="L44" s="356">
        <v>2792.73</v>
      </c>
      <c r="M44" s="101"/>
    </row>
    <row r="45" spans="1:13" ht="12" customHeight="1" x14ac:dyDescent="0.2">
      <c r="A45" s="499"/>
      <c r="B45" s="350" t="s">
        <v>1307</v>
      </c>
      <c r="C45" s="289" t="s">
        <v>2871</v>
      </c>
      <c r="D45" s="295">
        <v>4</v>
      </c>
      <c r="E45" s="296" t="s">
        <v>1593</v>
      </c>
      <c r="F45" s="302">
        <v>8</v>
      </c>
      <c r="G45" s="299"/>
      <c r="H45" s="302"/>
      <c r="I45" s="81">
        <f>'Op Detail'!D250</f>
        <v>41240</v>
      </c>
      <c r="J45" s="144">
        <v>57800</v>
      </c>
      <c r="K45" s="101">
        <f t="shared" si="1"/>
        <v>-16560</v>
      </c>
      <c r="L45" s="356">
        <f>323459.66-31421.04-84761.73-140977.21</f>
        <v>66299.679999999993</v>
      </c>
      <c r="M45" s="101">
        <f>231787.47-13448.59-101510.03-78059.28</f>
        <v>38769.57</v>
      </c>
    </row>
    <row r="46" spans="1:13" ht="12" customHeight="1" x14ac:dyDescent="0.2">
      <c r="A46" s="499"/>
      <c r="B46" s="350" t="s">
        <v>1311</v>
      </c>
      <c r="C46" s="289"/>
      <c r="D46" s="295">
        <v>4</v>
      </c>
      <c r="E46" s="296" t="s">
        <v>1593</v>
      </c>
      <c r="F46" s="302">
        <v>15</v>
      </c>
      <c r="G46" s="299"/>
      <c r="H46" s="302"/>
      <c r="I46" s="81">
        <f>'Op Detail'!D477</f>
        <v>16640</v>
      </c>
      <c r="J46" s="144">
        <v>12800</v>
      </c>
      <c r="K46" s="101">
        <f t="shared" si="1"/>
        <v>3840</v>
      </c>
      <c r="L46" s="356">
        <f>144868.76-46908-40461.96-42998.22</f>
        <v>14500.58</v>
      </c>
      <c r="M46" s="101">
        <f>110119.8-35603.46-30710.61-32682.78</f>
        <v>11122.95</v>
      </c>
    </row>
    <row r="47" spans="1:13" ht="12" customHeight="1" x14ac:dyDescent="0.2">
      <c r="A47" s="499"/>
      <c r="B47" s="350" t="s">
        <v>1309</v>
      </c>
      <c r="C47" s="289"/>
      <c r="D47" s="295">
        <v>4</v>
      </c>
      <c r="E47" s="296" t="s">
        <v>1593</v>
      </c>
      <c r="F47" s="302">
        <v>13</v>
      </c>
      <c r="G47" s="299"/>
      <c r="H47" s="302"/>
      <c r="I47" s="81">
        <f>'Op Detail'!D400</f>
        <v>32000</v>
      </c>
      <c r="J47" s="144">
        <v>35000</v>
      </c>
      <c r="K47" s="101">
        <f t="shared" si="1"/>
        <v>-3000</v>
      </c>
      <c r="L47" s="356">
        <f>475759.29-156904.1-153010.18-42898.75-63572.68-3676.5</f>
        <v>55697.08</v>
      </c>
      <c r="M47" s="101">
        <f>301191.81-181961.67-34805.97-14126.1-20188.36-580.13-18567</f>
        <v>30962.58</v>
      </c>
    </row>
    <row r="48" spans="1:13" ht="12" customHeight="1" x14ac:dyDescent="0.2">
      <c r="A48" s="499"/>
      <c r="B48" s="350" t="s">
        <v>3187</v>
      </c>
      <c r="C48" s="289"/>
      <c r="D48" s="295">
        <v>4</v>
      </c>
      <c r="E48" s="296" t="s">
        <v>1593</v>
      </c>
      <c r="F48" s="302">
        <v>32</v>
      </c>
      <c r="G48" s="299"/>
      <c r="H48" s="302"/>
      <c r="I48" s="81">
        <f>'Op Detail'!D1202</f>
        <v>2360</v>
      </c>
      <c r="J48" s="144">
        <v>3000</v>
      </c>
      <c r="K48" s="101">
        <f t="shared" si="1"/>
        <v>-640</v>
      </c>
      <c r="L48" s="356">
        <v>3567.74</v>
      </c>
      <c r="M48" s="101">
        <v>1517.31</v>
      </c>
    </row>
    <row r="49" spans="1:13" ht="12" customHeight="1" x14ac:dyDescent="0.2">
      <c r="A49" s="499"/>
      <c r="B49" s="350" t="s">
        <v>1313</v>
      </c>
      <c r="C49" s="289"/>
      <c r="D49" s="295">
        <v>4</v>
      </c>
      <c r="E49" s="296" t="s">
        <v>1593</v>
      </c>
      <c r="F49" s="302">
        <v>31</v>
      </c>
      <c r="G49" s="299"/>
      <c r="H49" s="302"/>
      <c r="I49" s="81">
        <f>'Op Detail'!D1173</f>
        <v>51165</v>
      </c>
      <c r="J49" s="144">
        <v>43250</v>
      </c>
      <c r="K49" s="101">
        <f t="shared" si="1"/>
        <v>7915</v>
      </c>
      <c r="L49" s="356">
        <f>108384.35-44836.92-17137.91</f>
        <v>46409.52</v>
      </c>
      <c r="M49" s="101">
        <f>85828.17-30710.7-13721.19</f>
        <v>41396.28</v>
      </c>
    </row>
    <row r="50" spans="1:13" ht="12.75" customHeight="1" x14ac:dyDescent="0.2">
      <c r="A50" s="499"/>
      <c r="B50" s="350" t="s">
        <v>2756</v>
      </c>
      <c r="C50" s="289"/>
      <c r="D50" s="295">
        <v>4</v>
      </c>
      <c r="E50" s="296" t="s">
        <v>1593</v>
      </c>
      <c r="F50" s="301">
        <v>111</v>
      </c>
      <c r="G50" s="299"/>
      <c r="H50" s="288"/>
      <c r="I50" s="45">
        <f>'Op Detail'!D3470+'Op Detail'!E3470+'Op Detail'!F3470+'Op Detail'!H3470</f>
        <v>51680</v>
      </c>
      <c r="J50" s="144">
        <v>59015</v>
      </c>
      <c r="K50" s="101">
        <f t="shared" si="1"/>
        <v>-7335</v>
      </c>
      <c r="L50" s="356">
        <v>100026.54</v>
      </c>
      <c r="M50" s="358"/>
    </row>
    <row r="51" spans="1:13" ht="12.75" customHeight="1" x14ac:dyDescent="0.2">
      <c r="A51" s="499"/>
      <c r="B51" s="350" t="s">
        <v>1369</v>
      </c>
      <c r="C51" s="289"/>
      <c r="D51" s="295">
        <v>4</v>
      </c>
      <c r="E51" s="296" t="s">
        <v>1593</v>
      </c>
      <c r="F51" s="302">
        <v>137</v>
      </c>
      <c r="G51" s="299"/>
      <c r="H51" s="302"/>
      <c r="I51" s="85">
        <f>'Op Detail'!D4333</f>
        <v>5200</v>
      </c>
      <c r="J51" s="144">
        <v>9000</v>
      </c>
      <c r="K51" s="101">
        <f t="shared" si="1"/>
        <v>-3800</v>
      </c>
      <c r="L51" s="356">
        <f>25536.45-14638.59-4827.6-3555</f>
        <v>2515.2600000000002</v>
      </c>
      <c r="M51" s="101">
        <f>850+6.5+587.38</f>
        <v>1443.88</v>
      </c>
    </row>
    <row r="52" spans="1:13" ht="12.75" customHeight="1" x14ac:dyDescent="0.2">
      <c r="A52" s="499"/>
      <c r="B52" s="350" t="s">
        <v>1701</v>
      </c>
      <c r="C52" s="289"/>
      <c r="D52" s="295">
        <v>4</v>
      </c>
      <c r="E52" s="296" t="s">
        <v>1593</v>
      </c>
      <c r="F52" s="302">
        <v>35</v>
      </c>
      <c r="G52" s="299"/>
      <c r="H52" s="302"/>
      <c r="I52" s="81">
        <f>'Op Detail'!D1298</f>
        <v>46823</v>
      </c>
      <c r="J52" s="144">
        <v>56375</v>
      </c>
      <c r="K52" s="101">
        <f t="shared" si="1"/>
        <v>-9552</v>
      </c>
      <c r="L52" s="356">
        <f>246557.24-42399.96-41350.68-2356.14-80104.11-1613</f>
        <v>78733.350000000006</v>
      </c>
      <c r="M52" s="101">
        <f>175074.63-32181.57-31270.23-630-3424.8-57921.19-540</f>
        <v>49106.84</v>
      </c>
    </row>
    <row r="53" spans="1:13" ht="12.75" customHeight="1" x14ac:dyDescent="0.2">
      <c r="A53" s="499"/>
      <c r="B53" s="350" t="s">
        <v>465</v>
      </c>
      <c r="C53" s="289"/>
      <c r="D53" s="295">
        <v>4</v>
      </c>
      <c r="E53" s="305" t="s">
        <v>1593</v>
      </c>
      <c r="F53" s="301">
        <v>188</v>
      </c>
      <c r="G53" s="299" t="s">
        <v>1772</v>
      </c>
      <c r="H53" s="301" t="s">
        <v>3133</v>
      </c>
      <c r="I53" s="332">
        <f>'Op Detail'!D5805+'Op Detail'!E5805+'Op Detail'!F5805+'Op Detail'!H5805+'Op Detail'!D5843+'Op Detail'!E5843+'Op Detail'!F5843+'Op Detail'!H5843</f>
        <v>0</v>
      </c>
      <c r="J53" s="144">
        <v>0</v>
      </c>
      <c r="K53" s="101">
        <f t="shared" si="1"/>
        <v>0</v>
      </c>
      <c r="L53" s="356">
        <v>0</v>
      </c>
      <c r="M53" s="101">
        <v>0</v>
      </c>
    </row>
    <row r="54" spans="1:13" ht="12.75" customHeight="1" x14ac:dyDescent="0.2">
      <c r="A54" s="499"/>
      <c r="B54" s="350" t="s">
        <v>946</v>
      </c>
      <c r="C54" s="289"/>
      <c r="D54" s="295">
        <v>4</v>
      </c>
      <c r="E54" s="305" t="s">
        <v>1593</v>
      </c>
      <c r="F54" s="302">
        <v>200</v>
      </c>
      <c r="G54" s="299"/>
      <c r="H54" s="302"/>
      <c r="I54" s="81">
        <f>'Op Detail'!D6306</f>
        <v>3600</v>
      </c>
      <c r="J54" s="144">
        <v>4500</v>
      </c>
      <c r="K54" s="101">
        <f t="shared" si="1"/>
        <v>-900</v>
      </c>
      <c r="L54" s="356">
        <v>0</v>
      </c>
      <c r="M54" s="101">
        <v>1522.2</v>
      </c>
    </row>
    <row r="55" spans="1:13" ht="12.75" customHeight="1" x14ac:dyDescent="0.2">
      <c r="A55" s="499"/>
      <c r="B55" s="350" t="s">
        <v>3125</v>
      </c>
      <c r="C55" s="289"/>
      <c r="D55" s="295">
        <v>4</v>
      </c>
      <c r="E55" s="296" t="s">
        <v>1593</v>
      </c>
      <c r="F55" s="302">
        <v>9</v>
      </c>
      <c r="G55" s="299"/>
      <c r="H55" s="302"/>
      <c r="I55" s="81">
        <f>'Op Detail'!D272</f>
        <v>2120</v>
      </c>
      <c r="J55" s="144">
        <v>3900</v>
      </c>
      <c r="K55" s="101">
        <f t="shared" si="1"/>
        <v>-1780</v>
      </c>
      <c r="L55" s="356">
        <f>56329.3-52212.72</f>
        <v>4116.58</v>
      </c>
      <c r="M55" s="101">
        <f>49386.79-48499.72</f>
        <v>887.07</v>
      </c>
    </row>
    <row r="56" spans="1:13" ht="12.75" customHeight="1" x14ac:dyDescent="0.2">
      <c r="A56" s="499" t="s">
        <v>3130</v>
      </c>
      <c r="B56" s="352" t="s">
        <v>1065</v>
      </c>
      <c r="C56" s="289"/>
      <c r="D56" s="295">
        <v>4</v>
      </c>
      <c r="E56" s="296" t="s">
        <v>1593</v>
      </c>
      <c r="F56" s="301">
        <v>83</v>
      </c>
      <c r="G56" s="299" t="s">
        <v>1772</v>
      </c>
      <c r="H56" s="302">
        <v>88</v>
      </c>
      <c r="I56" s="81">
        <f>'Op Detail'!D2491+'Op Detail'!E2491+'Op Detail'!F2491+'Op Detail'!G2491+'Op Detail'!H2491+'Op Detail'!D2533+'Op Detail'!E2533+'Op Detail'!F2533+'Op Detail'!H2533+'Op Detail'!D2573+'Op Detail'!E2573+'Op Detail'!F2573+'Op Detail'!H2573+'Op Detail'!D2614+'Op Detail'!E2614+'Op Detail'!F2614+'Op Detail'!H2614+'Op Detail'!D2656+'Op Detail'!E2656+'Op Detail'!F2656+'Op Detail'!H2656+'Op Detail'!D2702+'Op Detail'!E2702+'Op Detail'!F2702+'Op Detail'!H2702</f>
        <v>87749.68</v>
      </c>
      <c r="J56" s="144">
        <f>109273+3515</f>
        <v>112788</v>
      </c>
      <c r="K56" s="101">
        <f t="shared" si="1"/>
        <v>-25038.32</v>
      </c>
      <c r="L56" s="357"/>
      <c r="M56" s="358"/>
    </row>
    <row r="57" spans="1:13" ht="12.75" customHeight="1" x14ac:dyDescent="0.2">
      <c r="A57" s="499"/>
      <c r="B57" s="352" t="s">
        <v>1225</v>
      </c>
      <c r="C57" s="289"/>
      <c r="D57" s="295">
        <v>4</v>
      </c>
      <c r="E57" s="296" t="s">
        <v>1593</v>
      </c>
      <c r="F57" s="301">
        <v>109</v>
      </c>
      <c r="G57" s="299"/>
      <c r="H57" s="288"/>
      <c r="I57" s="81">
        <f>'Op Detail'!D3390</f>
        <v>18132</v>
      </c>
      <c r="J57" s="144">
        <v>25238</v>
      </c>
      <c r="K57" s="101">
        <f t="shared" si="1"/>
        <v>-7106</v>
      </c>
      <c r="L57" s="356">
        <v>44164.25</v>
      </c>
      <c r="M57" s="358"/>
    </row>
    <row r="58" spans="1:13" ht="12.75" customHeight="1" x14ac:dyDescent="0.2">
      <c r="A58" s="499" t="s">
        <v>3131</v>
      </c>
      <c r="B58" s="353" t="s">
        <v>1211</v>
      </c>
      <c r="C58" s="289"/>
      <c r="D58" s="295">
        <v>4</v>
      </c>
      <c r="E58" s="296" t="s">
        <v>1593</v>
      </c>
      <c r="F58" s="301">
        <v>89</v>
      </c>
      <c r="G58" s="299" t="s">
        <v>1772</v>
      </c>
      <c r="H58" s="302">
        <v>94</v>
      </c>
      <c r="I58" s="45">
        <f>'Op Detail'!D2748+'Op Detail'!E2748+'Op Detail'!F2748+'Op Detail'!H2748+'Op Detail'!D2790+'Op Detail'!E2790+'Op Detail'!F2790+'Op Detail'!H2790+'Op Detail'!D2831+'Op Detail'!E2831+'Op Detail'!F2831+'Op Detail'!H2831+'Op Detail'!D2879+'Op Detail'!E2879+'Op Detail'!F2879+'Op Detail'!H2879+'Op Detail'!D2921+'Op Detail'!E2921+'Op Detail'!F2921+'Op Detail'!H2921+'Op Detail'!D2962+'Op Detail'!E2962+'Op Detail'!F2962+'Op Detail'!H2962</f>
        <v>111404.97</v>
      </c>
      <c r="J58" s="144">
        <f>102541+21200+5500</f>
        <v>129241</v>
      </c>
      <c r="K58" s="101">
        <f t="shared" si="1"/>
        <v>-17836.03</v>
      </c>
      <c r="L58" s="357"/>
      <c r="M58" s="358"/>
    </row>
    <row r="59" spans="1:13" ht="12.75" customHeight="1" x14ac:dyDescent="0.2">
      <c r="A59" s="499"/>
      <c r="B59" s="353" t="s">
        <v>1226</v>
      </c>
      <c r="C59" s="289"/>
      <c r="D59" s="295">
        <v>4</v>
      </c>
      <c r="E59" s="296" t="s">
        <v>1593</v>
      </c>
      <c r="F59" s="301">
        <v>110</v>
      </c>
      <c r="G59" s="299"/>
      <c r="H59" s="288"/>
      <c r="I59" s="81">
        <f>'Op Detail'!D3435</f>
        <v>21870</v>
      </c>
      <c r="J59" s="144">
        <v>22590</v>
      </c>
      <c r="K59" s="101">
        <f t="shared" si="1"/>
        <v>-720</v>
      </c>
      <c r="L59" s="356">
        <v>31294.82</v>
      </c>
      <c r="M59" s="358"/>
    </row>
    <row r="60" spans="1:13" ht="12.75" customHeight="1" x14ac:dyDescent="0.2">
      <c r="A60" s="499" t="s">
        <v>2962</v>
      </c>
      <c r="B60" s="348" t="s">
        <v>1383</v>
      </c>
      <c r="C60" s="289"/>
      <c r="D60" s="295">
        <v>4</v>
      </c>
      <c r="E60" s="296" t="s">
        <v>1593</v>
      </c>
      <c r="F60" s="301">
        <v>166</v>
      </c>
      <c r="G60" s="299"/>
      <c r="H60" s="288"/>
      <c r="I60" s="81">
        <f>'Op Detail'!D5111</f>
        <v>0</v>
      </c>
      <c r="J60" s="144">
        <v>0</v>
      </c>
      <c r="K60" s="101">
        <f t="shared" si="1"/>
        <v>0</v>
      </c>
      <c r="L60" s="356">
        <v>0</v>
      </c>
      <c r="M60" s="101">
        <v>0</v>
      </c>
    </row>
    <row r="61" spans="1:13" ht="12.75" customHeight="1" x14ac:dyDescent="0.2">
      <c r="A61" s="499"/>
      <c r="B61" s="348" t="s">
        <v>1373</v>
      </c>
      <c r="C61" s="289"/>
      <c r="D61" s="295">
        <v>4</v>
      </c>
      <c r="E61" s="296" t="s">
        <v>1593</v>
      </c>
      <c r="F61" s="301">
        <v>147</v>
      </c>
      <c r="G61" s="299" t="s">
        <v>1772</v>
      </c>
      <c r="H61" s="302">
        <v>150</v>
      </c>
      <c r="I61" s="81">
        <f>'Op Detail'!D4590+'Op Detail'!D4619+'Op Detail'!D4648+'Op Detail'!D4662+'Op Detail'!E4662+'Op Detail'!F4662</f>
        <v>361145</v>
      </c>
      <c r="J61" s="144">
        <v>366075</v>
      </c>
      <c r="K61" s="101">
        <f t="shared" si="1"/>
        <v>-4930</v>
      </c>
      <c r="L61" s="356"/>
      <c r="M61" s="101">
        <f>493129.09-70473.57-21121.91-93717.8-27000</f>
        <v>280815.81</v>
      </c>
    </row>
    <row r="62" spans="1:13" ht="12.75" customHeight="1" x14ac:dyDescent="0.2">
      <c r="A62" s="499"/>
      <c r="B62" s="348" t="s">
        <v>1372</v>
      </c>
      <c r="C62" s="289" t="s">
        <v>2868</v>
      </c>
      <c r="D62" s="295">
        <v>4</v>
      </c>
      <c r="E62" s="296" t="s">
        <v>1593</v>
      </c>
      <c r="F62" s="302">
        <v>146</v>
      </c>
      <c r="G62" s="299"/>
      <c r="H62" s="302"/>
      <c r="I62" s="85">
        <f>'Op Detail'!D4548</f>
        <v>8480</v>
      </c>
      <c r="J62" s="144">
        <v>10800</v>
      </c>
      <c r="K62" s="101">
        <f t="shared" si="1"/>
        <v>-2320</v>
      </c>
      <c r="L62" s="356">
        <f>178095.05-146125.91-12239.55-11356</f>
        <v>8373.59</v>
      </c>
      <c r="M62" s="101">
        <f>136618.63-117099.07-8991.01-8228</f>
        <v>2300.5500000000002</v>
      </c>
    </row>
    <row r="63" spans="1:13" ht="12.75" customHeight="1" x14ac:dyDescent="0.2">
      <c r="A63" s="499"/>
      <c r="B63" s="348" t="s">
        <v>1197</v>
      </c>
      <c r="C63" s="289"/>
      <c r="D63" s="295">
        <v>4</v>
      </c>
      <c r="E63" s="296" t="s">
        <v>1593</v>
      </c>
      <c r="F63" s="335">
        <v>51</v>
      </c>
      <c r="G63" s="299"/>
      <c r="H63" s="288"/>
      <c r="I63" s="81">
        <f>'Op Detail'!D1631</f>
        <v>150050</v>
      </c>
      <c r="J63" s="144">
        <v>197120</v>
      </c>
      <c r="K63" s="101">
        <f t="shared" si="1"/>
        <v>-47070</v>
      </c>
      <c r="L63" s="356">
        <f>231694.55-38161.01</f>
        <v>193533.54</v>
      </c>
      <c r="M63" s="101">
        <f>207491.41-27969.19</f>
        <v>179522.22</v>
      </c>
    </row>
    <row r="64" spans="1:13" ht="12.75" customHeight="1" x14ac:dyDescent="0.2">
      <c r="A64" s="499"/>
      <c r="B64" s="348" t="s">
        <v>1515</v>
      </c>
      <c r="C64" s="289"/>
      <c r="D64" s="295">
        <v>4</v>
      </c>
      <c r="E64" s="296" t="s">
        <v>1593</v>
      </c>
      <c r="F64" s="301">
        <v>151</v>
      </c>
      <c r="G64" s="299"/>
      <c r="H64" s="288"/>
      <c r="I64" s="45">
        <f>'Op Detail'!D4690+'Op Detail'!E4690+'Op Detail'!F4690</f>
        <v>83300</v>
      </c>
      <c r="J64" s="144">
        <v>153750</v>
      </c>
      <c r="K64" s="101">
        <f t="shared" si="1"/>
        <v>-70450</v>
      </c>
      <c r="L64" s="356">
        <f>608402.82-236706.29-105016.57-104969.59</f>
        <v>161710.37</v>
      </c>
      <c r="M64" s="101">
        <f>454603.85-179362.43-74529.21-74250.63</f>
        <v>126461.58</v>
      </c>
    </row>
    <row r="65" spans="1:13" ht="12.75" customHeight="1" x14ac:dyDescent="0.2">
      <c r="A65" s="499"/>
      <c r="B65" s="348" t="s">
        <v>1375</v>
      </c>
      <c r="C65" s="289"/>
      <c r="D65" s="295">
        <v>4</v>
      </c>
      <c r="E65" s="296" t="s">
        <v>1593</v>
      </c>
      <c r="F65" s="302">
        <v>154</v>
      </c>
      <c r="G65" s="299"/>
      <c r="H65" s="302"/>
      <c r="I65" s="81">
        <f>+'Op Detail'!D4757+'Op Detail'!E4757</f>
        <v>149000</v>
      </c>
      <c r="J65" s="144">
        <v>174000</v>
      </c>
      <c r="K65" s="101">
        <f t="shared" si="1"/>
        <v>-25000</v>
      </c>
      <c r="L65" s="356">
        <f>156294.04-6208.97+85049.92-17498.52</f>
        <v>217636.47</v>
      </c>
      <c r="M65" s="101">
        <f>90397.3-4753.8+68715.15-13281.48</f>
        <v>141077.17000000001</v>
      </c>
    </row>
    <row r="66" spans="1:13" ht="12.75" customHeight="1" x14ac:dyDescent="0.2">
      <c r="A66" s="499"/>
      <c r="B66" s="348" t="s">
        <v>1382</v>
      </c>
      <c r="C66" s="307"/>
      <c r="D66" s="308">
        <v>4</v>
      </c>
      <c r="E66" s="309" t="s">
        <v>1593</v>
      </c>
      <c r="F66" s="302">
        <v>165</v>
      </c>
      <c r="G66" s="299"/>
      <c r="H66" s="302"/>
      <c r="I66" s="45">
        <f>'Op Detail'!D5075</f>
        <v>251835</v>
      </c>
      <c r="J66" s="144">
        <v>302735</v>
      </c>
      <c r="K66" s="101">
        <f t="shared" si="1"/>
        <v>-50900</v>
      </c>
      <c r="L66" s="356">
        <f>455476.49-35261.04-110106.69</f>
        <v>310108.76</v>
      </c>
      <c r="M66" s="101">
        <f>377623.93-26763.12-81842.51</f>
        <v>269018.3</v>
      </c>
    </row>
    <row r="67" spans="1:13" ht="12.75" customHeight="1" x14ac:dyDescent="0.2">
      <c r="A67" s="499"/>
      <c r="B67" s="348" t="s">
        <v>3189</v>
      </c>
      <c r="C67" s="289"/>
      <c r="D67" s="295">
        <v>4</v>
      </c>
      <c r="E67" s="296" t="s">
        <v>1593</v>
      </c>
      <c r="F67" s="301">
        <v>144</v>
      </c>
      <c r="G67" s="299"/>
      <c r="H67" s="288"/>
      <c r="I67" s="81">
        <f>'Op Detail'!D4494</f>
        <v>125649</v>
      </c>
      <c r="J67" s="144">
        <v>141000</v>
      </c>
      <c r="K67" s="101">
        <f t="shared" si="1"/>
        <v>-15351</v>
      </c>
      <c r="L67" s="356">
        <f>181847.5-55790.8</f>
        <v>126056.7</v>
      </c>
      <c r="M67" s="101">
        <f>145347.85-43308.54</f>
        <v>102039.31</v>
      </c>
    </row>
    <row r="68" spans="1:13" ht="12.75" customHeight="1" x14ac:dyDescent="0.2">
      <c r="A68" s="499"/>
      <c r="B68" s="348" t="s">
        <v>1513</v>
      </c>
      <c r="C68" s="289"/>
      <c r="D68" s="295">
        <v>4</v>
      </c>
      <c r="E68" s="296" t="s">
        <v>1593</v>
      </c>
      <c r="F68" s="301">
        <v>152</v>
      </c>
      <c r="G68" s="299"/>
      <c r="H68" s="288"/>
      <c r="I68" s="81">
        <f>'Op Detail'!D4718+'Op Detail'!E4718+'Op Detail'!F4718</f>
        <v>36350</v>
      </c>
      <c r="J68" s="144">
        <v>88150</v>
      </c>
      <c r="K68" s="101">
        <f t="shared" ref="K68:K99" si="2">I68-J68</f>
        <v>-51800</v>
      </c>
      <c r="L68" s="356">
        <f>146815.35-79580.37</f>
        <v>67234.98</v>
      </c>
      <c r="M68" s="101">
        <f>87285.61-57731.59</f>
        <v>29554.02</v>
      </c>
    </row>
    <row r="69" spans="1:13" ht="12.75" customHeight="1" x14ac:dyDescent="0.2">
      <c r="A69" s="499"/>
      <c r="B69" s="348" t="s">
        <v>911</v>
      </c>
      <c r="C69" s="289"/>
      <c r="D69" s="295">
        <v>4</v>
      </c>
      <c r="E69" s="296" t="s">
        <v>1593</v>
      </c>
      <c r="F69" s="301">
        <v>112</v>
      </c>
      <c r="G69" s="299"/>
      <c r="H69" s="288"/>
      <c r="I69" s="81">
        <f>'Op Detail'!D3499+'Op Detail'!E3499+'Op Detail'!F3499</f>
        <v>99760</v>
      </c>
      <c r="J69" s="144">
        <v>124000</v>
      </c>
      <c r="K69" s="101">
        <f t="shared" si="2"/>
        <v>-24240</v>
      </c>
      <c r="L69" s="356">
        <f>275900.73-52959.76-61316.22-41073.79-3014.19</f>
        <v>117536.77</v>
      </c>
      <c r="M69" s="101">
        <f>202482.94-14216-53659.11-30520.08-5876-53985.85</f>
        <v>44225.9</v>
      </c>
    </row>
    <row r="70" spans="1:13" ht="12.75" customHeight="1" x14ac:dyDescent="0.2">
      <c r="A70" s="499"/>
      <c r="B70" s="348" t="s">
        <v>1227</v>
      </c>
      <c r="C70" s="289"/>
      <c r="D70" s="295">
        <v>4</v>
      </c>
      <c r="E70" s="296" t="s">
        <v>1593</v>
      </c>
      <c r="F70" s="301">
        <v>114</v>
      </c>
      <c r="G70" s="299" t="s">
        <v>1772</v>
      </c>
      <c r="H70" s="302">
        <v>115</v>
      </c>
      <c r="I70" s="105">
        <f>'Op Detail'!H3600</f>
        <v>127710</v>
      </c>
      <c r="J70" s="144">
        <v>188225</v>
      </c>
      <c r="K70" s="101">
        <f t="shared" si="2"/>
        <v>-60515</v>
      </c>
      <c r="L70" s="356">
        <f>431501.58-55405.56-75795.52-45557.55-53857.23-21913.55-8815.92-8967.28-779.42</f>
        <v>160409.54999999999</v>
      </c>
      <c r="M70" s="101">
        <f>60664.49+22082.99+29403.5</f>
        <v>112150.98</v>
      </c>
    </row>
    <row r="71" spans="1:13" ht="12.75" customHeight="1" x14ac:dyDescent="0.2">
      <c r="A71" s="499"/>
      <c r="B71" s="348" t="s">
        <v>3183</v>
      </c>
      <c r="C71" s="289"/>
      <c r="D71" s="295">
        <v>4</v>
      </c>
      <c r="E71" s="296" t="s">
        <v>1593</v>
      </c>
      <c r="F71" s="335">
        <v>49</v>
      </c>
      <c r="G71" s="299"/>
      <c r="H71" s="288"/>
      <c r="I71" s="81">
        <f>'Op Detail'!D1572</f>
        <v>360522.4</v>
      </c>
      <c r="J71" s="144">
        <v>425300</v>
      </c>
      <c r="K71" s="101">
        <f t="shared" si="2"/>
        <v>-64777.599999999999</v>
      </c>
      <c r="L71" s="356">
        <f>474126.77-63343.2-124637.58</f>
        <v>286145.99</v>
      </c>
      <c r="M71" s="101">
        <f>472786.37-49805.28-100361.65</f>
        <v>322619.44</v>
      </c>
    </row>
    <row r="72" spans="1:13" ht="12.75" customHeight="1" x14ac:dyDescent="0.2">
      <c r="A72" s="499"/>
      <c r="B72" s="348" t="s">
        <v>1377</v>
      </c>
      <c r="C72" s="289"/>
      <c r="D72" s="295">
        <v>4</v>
      </c>
      <c r="E72" s="296" t="s">
        <v>1593</v>
      </c>
      <c r="F72" s="301">
        <v>156</v>
      </c>
      <c r="G72" s="299"/>
      <c r="H72" s="288"/>
      <c r="I72" s="81">
        <f>'Op Detail'!D4799</f>
        <v>37500</v>
      </c>
      <c r="J72" s="144">
        <v>37500</v>
      </c>
      <c r="K72" s="101">
        <f t="shared" si="2"/>
        <v>0</v>
      </c>
      <c r="L72" s="356">
        <v>49700.56</v>
      </c>
      <c r="M72" s="101">
        <v>19869.34</v>
      </c>
    </row>
    <row r="73" spans="1:13" ht="12.75" customHeight="1" x14ac:dyDescent="0.2">
      <c r="A73" s="499"/>
      <c r="B73" s="348" t="s">
        <v>1381</v>
      </c>
      <c r="C73" s="289"/>
      <c r="D73" s="295">
        <v>4</v>
      </c>
      <c r="E73" s="296" t="s">
        <v>1593</v>
      </c>
      <c r="F73" s="301">
        <v>164</v>
      </c>
      <c r="G73" s="299"/>
      <c r="H73" s="288"/>
      <c r="I73" s="81">
        <f>'Op Detail'!D5045</f>
        <v>263878.71000000002</v>
      </c>
      <c r="J73" s="144">
        <v>263551.5</v>
      </c>
      <c r="K73" s="101">
        <f t="shared" si="2"/>
        <v>327.20999999999998</v>
      </c>
      <c r="L73" s="356">
        <f>444709.52-51969.36-127381.76</f>
        <v>265358.40000000002</v>
      </c>
      <c r="M73" s="101">
        <f>349876.93-41400.72-97722.41</f>
        <v>210753.8</v>
      </c>
    </row>
    <row r="74" spans="1:13" ht="12.75" customHeight="1" x14ac:dyDescent="0.2">
      <c r="A74" s="499"/>
      <c r="B74" s="348" t="s">
        <v>1195</v>
      </c>
      <c r="C74" s="289"/>
      <c r="D74" s="295">
        <v>4</v>
      </c>
      <c r="E74" s="296" t="s">
        <v>1593</v>
      </c>
      <c r="F74" s="302">
        <v>47</v>
      </c>
      <c r="G74" s="299"/>
      <c r="H74" s="302"/>
      <c r="I74" s="81">
        <f>'Op Detail'!D1517</f>
        <v>86342.04</v>
      </c>
      <c r="J74" s="144">
        <v>56392.04</v>
      </c>
      <c r="K74" s="101">
        <f t="shared" si="2"/>
        <v>29950</v>
      </c>
      <c r="L74" s="356">
        <f>156516.75-68775.96</f>
        <v>87740.79</v>
      </c>
      <c r="M74" s="101">
        <f>126515.55-52810.46</f>
        <v>73705.09</v>
      </c>
    </row>
    <row r="75" spans="1:13" ht="12.75" customHeight="1" x14ac:dyDescent="0.2">
      <c r="A75" s="499"/>
      <c r="B75" s="348" t="s">
        <v>1315</v>
      </c>
      <c r="C75" s="289"/>
      <c r="D75" s="295">
        <v>4</v>
      </c>
      <c r="E75" s="296" t="s">
        <v>1593</v>
      </c>
      <c r="F75" s="335">
        <v>33</v>
      </c>
      <c r="G75" s="299"/>
      <c r="H75" s="288"/>
      <c r="I75" s="81">
        <f>'Op Detail'!D1234</f>
        <v>17200</v>
      </c>
      <c r="J75" s="144">
        <v>42400</v>
      </c>
      <c r="K75" s="101">
        <f t="shared" si="2"/>
        <v>-25200</v>
      </c>
      <c r="L75" s="356">
        <f>158559.89-50682.96-56523</f>
        <v>51353.93</v>
      </c>
      <c r="M75" s="101">
        <f>113379.87-43007.22-400</f>
        <v>69972.649999999994</v>
      </c>
    </row>
    <row r="76" spans="1:13" ht="12.75" customHeight="1" x14ac:dyDescent="0.2">
      <c r="A76" s="499"/>
      <c r="B76" s="348" t="s">
        <v>1376</v>
      </c>
      <c r="C76" s="289"/>
      <c r="D76" s="295">
        <v>4</v>
      </c>
      <c r="E76" s="296" t="s">
        <v>1593</v>
      </c>
      <c r="F76" s="301">
        <v>155</v>
      </c>
      <c r="G76" s="299"/>
      <c r="H76" s="288"/>
      <c r="I76" s="81">
        <f>'Op Detail'!D4780</f>
        <v>170000</v>
      </c>
      <c r="J76" s="144">
        <v>170000</v>
      </c>
      <c r="K76" s="101">
        <f t="shared" si="2"/>
        <v>0</v>
      </c>
      <c r="L76" s="356">
        <v>177893.38</v>
      </c>
      <c r="M76" s="101">
        <v>221019.84</v>
      </c>
    </row>
    <row r="77" spans="1:13" ht="12.75" customHeight="1" x14ac:dyDescent="0.2">
      <c r="A77" s="499"/>
      <c r="B77" s="348" t="s">
        <v>311</v>
      </c>
      <c r="C77" s="289"/>
      <c r="D77" s="295">
        <v>4</v>
      </c>
      <c r="E77" s="296" t="s">
        <v>1593</v>
      </c>
      <c r="F77" s="301">
        <v>176</v>
      </c>
      <c r="G77" s="299"/>
      <c r="H77" s="288"/>
      <c r="I77" s="81">
        <f>'Op Detail'!D5363</f>
        <v>100000</v>
      </c>
      <c r="J77" s="144">
        <v>100000</v>
      </c>
      <c r="K77" s="101">
        <f t="shared" si="2"/>
        <v>0</v>
      </c>
      <c r="L77" s="356">
        <v>82360.350000000006</v>
      </c>
      <c r="M77" s="101">
        <v>70650.649999999994</v>
      </c>
    </row>
    <row r="78" spans="1:13" ht="12.75" customHeight="1" x14ac:dyDescent="0.2">
      <c r="A78" s="499"/>
      <c r="B78" s="348" t="s">
        <v>1384</v>
      </c>
      <c r="C78" s="289" t="s">
        <v>2867</v>
      </c>
      <c r="D78" s="295">
        <v>4</v>
      </c>
      <c r="E78" s="296" t="s">
        <v>1593</v>
      </c>
      <c r="F78" s="302">
        <v>167</v>
      </c>
      <c r="G78" s="299"/>
      <c r="H78" s="302"/>
      <c r="I78" s="81">
        <f>'Op Detail'!D5131</f>
        <v>49228</v>
      </c>
      <c r="J78" s="144">
        <v>49228</v>
      </c>
      <c r="K78" s="101">
        <f t="shared" si="2"/>
        <v>0</v>
      </c>
      <c r="L78" s="356">
        <v>50599.08</v>
      </c>
      <c r="M78" s="101">
        <v>37276.730000000003</v>
      </c>
    </row>
    <row r="79" spans="1:13" ht="12.75" customHeight="1" x14ac:dyDescent="0.2">
      <c r="A79" s="499"/>
      <c r="B79" s="348" t="s">
        <v>225</v>
      </c>
      <c r="C79" s="289"/>
      <c r="D79" s="295">
        <v>4</v>
      </c>
      <c r="E79" s="296" t="s">
        <v>1593</v>
      </c>
      <c r="F79" s="301">
        <v>158</v>
      </c>
      <c r="G79" s="299"/>
      <c r="H79" s="288"/>
      <c r="I79" s="45">
        <f>'Op Detail'!D4866</f>
        <v>0</v>
      </c>
      <c r="J79" s="144">
        <v>0</v>
      </c>
      <c r="K79" s="101">
        <f t="shared" si="2"/>
        <v>0</v>
      </c>
      <c r="L79" s="356">
        <v>383.69</v>
      </c>
      <c r="M79" s="101">
        <v>0</v>
      </c>
    </row>
    <row r="80" spans="1:13" ht="12.75" customHeight="1" x14ac:dyDescent="0.2">
      <c r="A80" s="499"/>
      <c r="B80" s="348" t="s">
        <v>2877</v>
      </c>
      <c r="C80" s="289"/>
      <c r="D80" s="295">
        <v>4</v>
      </c>
      <c r="E80" s="296" t="s">
        <v>1593</v>
      </c>
      <c r="F80" s="301">
        <v>213</v>
      </c>
      <c r="G80" s="299"/>
      <c r="H80" s="288"/>
      <c r="I80" s="45">
        <f>+'Op Detail'!D6668</f>
        <v>218000</v>
      </c>
      <c r="J80" s="144">
        <v>156000</v>
      </c>
      <c r="K80" s="101">
        <f t="shared" si="2"/>
        <v>62000</v>
      </c>
      <c r="L80" s="356">
        <v>0</v>
      </c>
      <c r="M80" s="101">
        <v>43815.18</v>
      </c>
    </row>
    <row r="81" spans="1:13" ht="12.75" customHeight="1" x14ac:dyDescent="0.2">
      <c r="A81" s="499"/>
      <c r="B81" s="348" t="s">
        <v>180</v>
      </c>
      <c r="C81" s="289"/>
      <c r="D81" s="295">
        <v>4</v>
      </c>
      <c r="E81" s="296" t="s">
        <v>1593</v>
      </c>
      <c r="F81" s="302">
        <v>145</v>
      </c>
      <c r="G81" s="299"/>
      <c r="H81" s="302"/>
      <c r="I81" s="144">
        <f>'Op Detail'!D4519</f>
        <v>130000</v>
      </c>
      <c r="J81" s="144">
        <v>-29200</v>
      </c>
      <c r="K81" s="101">
        <f t="shared" si="2"/>
        <v>159200</v>
      </c>
      <c r="L81" s="356">
        <f>222764.24-5140.25</f>
        <v>217623.99</v>
      </c>
      <c r="M81" s="101">
        <f>295894.82-1314.07</f>
        <v>294580.75</v>
      </c>
    </row>
    <row r="82" spans="1:13" ht="12.75" customHeight="1" x14ac:dyDescent="0.2">
      <c r="A82" s="499"/>
      <c r="B82" s="348" t="s">
        <v>1518</v>
      </c>
      <c r="C82" s="289"/>
      <c r="D82" s="295">
        <v>4</v>
      </c>
      <c r="E82" s="296" t="s">
        <v>1593</v>
      </c>
      <c r="F82" s="301">
        <v>153</v>
      </c>
      <c r="G82" s="299"/>
      <c r="H82" s="288"/>
      <c r="I82" s="45">
        <f>'Op Detail'!D4734+'Op Detail'!E4734+'Op Detail'!F4734</f>
        <v>650500</v>
      </c>
      <c r="J82" s="144">
        <v>844500</v>
      </c>
      <c r="K82" s="101">
        <f t="shared" si="2"/>
        <v>-194000</v>
      </c>
      <c r="L82" s="356">
        <f>758144.56-19914.96-1194.53</f>
        <v>737035.07</v>
      </c>
      <c r="M82" s="101">
        <v>494653.96</v>
      </c>
    </row>
    <row r="83" spans="1:13" ht="12.75" customHeight="1" x14ac:dyDescent="0.2">
      <c r="A83" s="499"/>
      <c r="B83" s="348" t="s">
        <v>2962</v>
      </c>
      <c r="C83" s="289"/>
      <c r="D83" s="295">
        <v>4</v>
      </c>
      <c r="E83" s="296" t="s">
        <v>1593</v>
      </c>
      <c r="F83" s="335">
        <v>4</v>
      </c>
      <c r="G83" s="299"/>
      <c r="H83" s="288"/>
      <c r="I83" s="82">
        <f>'Op Detail'!D106</f>
        <v>4280</v>
      </c>
      <c r="J83" s="144">
        <v>9200</v>
      </c>
      <c r="K83" s="101">
        <f t="shared" si="2"/>
        <v>-4920</v>
      </c>
      <c r="L83" s="356">
        <f>106656.66-73562.04-24236.64</f>
        <v>8857.98</v>
      </c>
      <c r="M83" s="101">
        <f>75783.95-62349.33-7701.04-2289.68</f>
        <v>3443.9</v>
      </c>
    </row>
    <row r="84" spans="1:13" ht="12.75" customHeight="1" x14ac:dyDescent="0.2">
      <c r="A84" s="499"/>
      <c r="B84" s="348" t="s">
        <v>2852</v>
      </c>
      <c r="C84" s="289"/>
      <c r="D84" s="295">
        <v>4</v>
      </c>
      <c r="E84" s="305" t="s">
        <v>1593</v>
      </c>
      <c r="F84" s="301">
        <v>209</v>
      </c>
      <c r="G84" s="299"/>
      <c r="H84" s="288"/>
      <c r="I84" s="45">
        <f>'Op Detail'!D6579</f>
        <v>3000</v>
      </c>
      <c r="J84" s="144">
        <v>8600</v>
      </c>
      <c r="K84" s="101">
        <f t="shared" si="2"/>
        <v>-5600</v>
      </c>
      <c r="L84" s="356">
        <v>0</v>
      </c>
      <c r="M84" s="101">
        <f>25123.45-23515.24</f>
        <v>1608.21</v>
      </c>
    </row>
    <row r="85" spans="1:13" ht="12.75" customHeight="1" x14ac:dyDescent="0.2">
      <c r="A85" s="499"/>
      <c r="B85" s="348" t="s">
        <v>1196</v>
      </c>
      <c r="C85" s="289"/>
      <c r="D85" s="295">
        <v>4</v>
      </c>
      <c r="E85" s="296" t="s">
        <v>1593</v>
      </c>
      <c r="F85" s="335">
        <v>48</v>
      </c>
      <c r="G85" s="299"/>
      <c r="H85" s="288"/>
      <c r="I85" s="45">
        <f>'Op Detail'!D1538</f>
        <v>0</v>
      </c>
      <c r="J85" s="144">
        <v>0</v>
      </c>
      <c r="K85" s="101">
        <f t="shared" si="2"/>
        <v>0</v>
      </c>
      <c r="L85" s="356">
        <v>0</v>
      </c>
      <c r="M85" s="101">
        <v>0</v>
      </c>
    </row>
    <row r="86" spans="1:13" ht="12.75" customHeight="1" x14ac:dyDescent="0.2">
      <c r="A86" s="499" t="s">
        <v>2978</v>
      </c>
      <c r="B86" s="349" t="s">
        <v>2849</v>
      </c>
      <c r="C86" s="289"/>
      <c r="D86" s="295">
        <v>4</v>
      </c>
      <c r="E86" s="305" t="s">
        <v>1593</v>
      </c>
      <c r="F86" s="301">
        <v>191</v>
      </c>
      <c r="G86" s="299"/>
      <c r="H86" s="288"/>
      <c r="I86" s="81">
        <f>'Op Detail'!D5923</f>
        <v>49025.2</v>
      </c>
      <c r="J86" s="144">
        <v>48536</v>
      </c>
      <c r="K86" s="101">
        <f t="shared" si="2"/>
        <v>489.2</v>
      </c>
      <c r="L86" s="357"/>
      <c r="M86" s="358"/>
    </row>
    <row r="87" spans="1:13" ht="12.75" customHeight="1" x14ac:dyDescent="0.2">
      <c r="A87" s="499"/>
      <c r="B87" s="349" t="s">
        <v>1860</v>
      </c>
      <c r="C87" s="289"/>
      <c r="D87" s="295">
        <v>4</v>
      </c>
      <c r="E87" s="296" t="s">
        <v>1593</v>
      </c>
      <c r="F87" s="301">
        <v>121</v>
      </c>
      <c r="G87" s="299"/>
      <c r="H87" s="288"/>
      <c r="I87" s="45">
        <f>'Op Detail'!F3791</f>
        <v>1820</v>
      </c>
      <c r="J87" s="144">
        <v>5300</v>
      </c>
      <c r="K87" s="101">
        <f t="shared" si="2"/>
        <v>-3480</v>
      </c>
      <c r="L87" s="357"/>
      <c r="M87" s="358"/>
    </row>
    <row r="88" spans="1:13" ht="12.75" customHeight="1" x14ac:dyDescent="0.2">
      <c r="A88" s="499"/>
      <c r="B88" s="349" t="s">
        <v>1363</v>
      </c>
      <c r="C88" s="289"/>
      <c r="D88" s="295">
        <v>4</v>
      </c>
      <c r="E88" s="296" t="s">
        <v>1593</v>
      </c>
      <c r="F88" s="301">
        <v>128</v>
      </c>
      <c r="G88" s="299"/>
      <c r="H88" s="288"/>
      <c r="I88" s="81">
        <f>'Op Detail'!D4025</f>
        <v>0</v>
      </c>
      <c r="J88" s="144">
        <v>0</v>
      </c>
      <c r="K88" s="101">
        <f t="shared" si="2"/>
        <v>0</v>
      </c>
      <c r="L88" s="357"/>
      <c r="M88" s="358"/>
    </row>
    <row r="89" spans="1:13" ht="12.75" customHeight="1" x14ac:dyDescent="0.2">
      <c r="A89" s="499"/>
      <c r="B89" s="349" t="s">
        <v>1053</v>
      </c>
      <c r="C89" s="289"/>
      <c r="D89" s="295">
        <v>4</v>
      </c>
      <c r="E89" s="296" t="s">
        <v>1593</v>
      </c>
      <c r="F89" s="301" t="s">
        <v>1595</v>
      </c>
      <c r="G89" s="299"/>
      <c r="H89" s="288"/>
      <c r="I89" s="81">
        <f>'Op Detail'!D1932</f>
        <v>0</v>
      </c>
      <c r="J89" s="144">
        <v>0</v>
      </c>
      <c r="K89" s="101">
        <f t="shared" si="2"/>
        <v>0</v>
      </c>
      <c r="L89" s="357"/>
      <c r="M89" s="358"/>
    </row>
    <row r="90" spans="1:13" ht="12.75" customHeight="1" x14ac:dyDescent="0.2">
      <c r="A90" s="499"/>
      <c r="B90" s="349" t="s">
        <v>1361</v>
      </c>
      <c r="C90" s="289"/>
      <c r="D90" s="295">
        <v>4</v>
      </c>
      <c r="E90" s="296" t="s">
        <v>1593</v>
      </c>
      <c r="F90" s="301">
        <v>124</v>
      </c>
      <c r="G90" s="299"/>
      <c r="H90" s="288"/>
      <c r="I90" s="81">
        <f>'Op Detail'!E3885+'Op Detail'!D3885</f>
        <v>20205</v>
      </c>
      <c r="J90" s="144">
        <v>22510</v>
      </c>
      <c r="K90" s="101">
        <f t="shared" si="2"/>
        <v>-2305</v>
      </c>
      <c r="L90" s="357"/>
      <c r="M90" s="358"/>
    </row>
    <row r="91" spans="1:13" ht="12.75" customHeight="1" x14ac:dyDescent="0.2">
      <c r="A91" s="499"/>
      <c r="B91" s="349" t="s">
        <v>1060</v>
      </c>
      <c r="C91" s="289"/>
      <c r="D91" s="295">
        <v>4</v>
      </c>
      <c r="E91" s="296" t="s">
        <v>1593</v>
      </c>
      <c r="F91" s="301">
        <v>77</v>
      </c>
      <c r="G91" s="299"/>
      <c r="H91" s="288"/>
      <c r="I91" s="81">
        <f>'Op Detail'!D2283</f>
        <v>1065.5899999999999</v>
      </c>
      <c r="J91" s="144">
        <v>6760</v>
      </c>
      <c r="K91" s="101">
        <f t="shared" si="2"/>
        <v>-5694.41</v>
      </c>
      <c r="L91" s="357"/>
      <c r="M91" s="358"/>
    </row>
    <row r="92" spans="1:13" ht="12.75" customHeight="1" x14ac:dyDescent="0.2">
      <c r="A92" s="499"/>
      <c r="B92" s="349" t="s">
        <v>1115</v>
      </c>
      <c r="C92" s="289"/>
      <c r="D92" s="295">
        <v>4</v>
      </c>
      <c r="E92" s="296" t="s">
        <v>1593</v>
      </c>
      <c r="F92" s="335">
        <v>63</v>
      </c>
      <c r="G92" s="299"/>
      <c r="H92" s="288"/>
      <c r="I92" s="81">
        <f>'Op Detail'!D1899</f>
        <v>29480</v>
      </c>
      <c r="J92" s="144">
        <v>36850</v>
      </c>
      <c r="K92" s="101">
        <f t="shared" si="2"/>
        <v>-7370</v>
      </c>
      <c r="L92" s="357"/>
      <c r="M92" s="358"/>
    </row>
    <row r="93" spans="1:13" ht="12.75" customHeight="1" x14ac:dyDescent="0.2">
      <c r="A93" s="499"/>
      <c r="B93" s="349" t="s">
        <v>1362</v>
      </c>
      <c r="C93" s="289"/>
      <c r="D93" s="295">
        <v>4</v>
      </c>
      <c r="E93" s="296" t="s">
        <v>1593</v>
      </c>
      <c r="F93" s="301">
        <v>126</v>
      </c>
      <c r="G93" s="299"/>
      <c r="H93" s="288"/>
      <c r="I93" s="81">
        <f>'Op Detail'!D3956</f>
        <v>14880</v>
      </c>
      <c r="J93" s="144">
        <v>17675</v>
      </c>
      <c r="K93" s="101">
        <f t="shared" si="2"/>
        <v>-2795</v>
      </c>
      <c r="L93" s="357"/>
      <c r="M93" s="358"/>
    </row>
    <row r="94" spans="1:13" ht="12.75" customHeight="1" x14ac:dyDescent="0.2">
      <c r="A94" s="499"/>
      <c r="B94" s="349" t="s">
        <v>242</v>
      </c>
      <c r="C94" s="289"/>
      <c r="D94" s="295">
        <v>4</v>
      </c>
      <c r="E94" s="296" t="s">
        <v>1593</v>
      </c>
      <c r="F94" s="301">
        <v>127</v>
      </c>
      <c r="G94" s="299"/>
      <c r="H94" s="288"/>
      <c r="I94" s="81">
        <f>'Op Detail'!D3993</f>
        <v>23976</v>
      </c>
      <c r="J94" s="144">
        <v>22470</v>
      </c>
      <c r="K94" s="101">
        <f t="shared" si="2"/>
        <v>1506</v>
      </c>
      <c r="L94" s="357"/>
      <c r="M94" s="358"/>
    </row>
    <row r="95" spans="1:13" ht="12.75" customHeight="1" x14ac:dyDescent="0.2">
      <c r="A95" s="499"/>
      <c r="B95" s="349" t="s">
        <v>1216</v>
      </c>
      <c r="C95" s="289"/>
      <c r="D95" s="295">
        <v>4</v>
      </c>
      <c r="E95" s="296" t="s">
        <v>1593</v>
      </c>
      <c r="F95" s="301">
        <v>100</v>
      </c>
      <c r="G95" s="299"/>
      <c r="H95" s="288"/>
      <c r="I95" s="81">
        <f>'Op Detail'!D3131</f>
        <v>29229.599999999999</v>
      </c>
      <c r="J95" s="144">
        <v>38595</v>
      </c>
      <c r="K95" s="101">
        <f t="shared" si="2"/>
        <v>-9365.4</v>
      </c>
      <c r="L95" s="357"/>
      <c r="M95" s="358"/>
    </row>
    <row r="96" spans="1:13" ht="12.75" customHeight="1" x14ac:dyDescent="0.2">
      <c r="A96" s="499"/>
      <c r="B96" s="349" t="s">
        <v>1055</v>
      </c>
      <c r="C96" s="289"/>
      <c r="D96" s="295">
        <v>4</v>
      </c>
      <c r="E96" s="296" t="s">
        <v>1593</v>
      </c>
      <c r="F96" s="335">
        <v>67</v>
      </c>
      <c r="G96" s="299"/>
      <c r="H96" s="288"/>
      <c r="I96" s="81">
        <f>'Op Detail'!D2021</f>
        <v>4868</v>
      </c>
      <c r="J96" s="144">
        <v>11555</v>
      </c>
      <c r="K96" s="101">
        <f t="shared" si="2"/>
        <v>-6687</v>
      </c>
      <c r="L96" s="357"/>
      <c r="M96" s="358"/>
    </row>
    <row r="97" spans="1:13" ht="12.75" customHeight="1" x14ac:dyDescent="0.2">
      <c r="A97" s="499"/>
      <c r="B97" s="349" t="s">
        <v>1069</v>
      </c>
      <c r="C97" s="289"/>
      <c r="D97" s="295">
        <v>4</v>
      </c>
      <c r="E97" s="296" t="s">
        <v>1593</v>
      </c>
      <c r="F97" s="301">
        <v>125</v>
      </c>
      <c r="G97" s="299"/>
      <c r="H97" s="288"/>
      <c r="I97" s="81">
        <f>'Op Detail'!D3922</f>
        <v>4752</v>
      </c>
      <c r="J97" s="144">
        <v>5940</v>
      </c>
      <c r="K97" s="101">
        <f t="shared" si="2"/>
        <v>-1188</v>
      </c>
      <c r="L97" s="357"/>
      <c r="M97" s="358"/>
    </row>
    <row r="98" spans="1:13" ht="12.75" customHeight="1" x14ac:dyDescent="0.2">
      <c r="A98" s="499"/>
      <c r="B98" s="349" t="s">
        <v>1218</v>
      </c>
      <c r="C98" s="289"/>
      <c r="D98" s="295">
        <v>4</v>
      </c>
      <c r="E98" s="296" t="s">
        <v>1593</v>
      </c>
      <c r="F98" s="301">
        <v>102</v>
      </c>
      <c r="G98" s="299"/>
      <c r="H98" s="288"/>
      <c r="I98" s="81">
        <f>'Op Detail'!D3185</f>
        <v>1996</v>
      </c>
      <c r="J98" s="144">
        <v>5005</v>
      </c>
      <c r="K98" s="101">
        <f t="shared" si="2"/>
        <v>-3009</v>
      </c>
      <c r="L98" s="357"/>
      <c r="M98" s="358"/>
    </row>
    <row r="99" spans="1:13" ht="12.75" customHeight="1" x14ac:dyDescent="0.2">
      <c r="A99" s="499"/>
      <c r="B99" s="349" t="s">
        <v>1360</v>
      </c>
      <c r="C99" s="289"/>
      <c r="D99" s="295">
        <v>4</v>
      </c>
      <c r="E99" s="296" t="s">
        <v>1593</v>
      </c>
      <c r="F99" s="301">
        <v>122</v>
      </c>
      <c r="G99" s="299"/>
      <c r="H99" s="288"/>
      <c r="I99" s="81">
        <f>'Op Detail'!D3819</f>
        <v>2680</v>
      </c>
      <c r="J99" s="144">
        <v>4600</v>
      </c>
      <c r="K99" s="101">
        <f t="shared" si="2"/>
        <v>-1920</v>
      </c>
      <c r="L99" s="357"/>
      <c r="M99" s="358"/>
    </row>
    <row r="100" spans="1:13" ht="12.75" customHeight="1" x14ac:dyDescent="0.2">
      <c r="A100" s="499"/>
      <c r="B100" s="349" t="s">
        <v>1844</v>
      </c>
      <c r="C100" s="289"/>
      <c r="D100" s="295">
        <v>4</v>
      </c>
      <c r="E100" s="305" t="s">
        <v>1593</v>
      </c>
      <c r="F100" s="301">
        <v>194</v>
      </c>
      <c r="G100" s="299"/>
      <c r="H100" s="288"/>
      <c r="I100" s="81">
        <f>'Op Detail'!D6048</f>
        <v>3240</v>
      </c>
      <c r="J100" s="144">
        <v>4100</v>
      </c>
      <c r="K100" s="101">
        <f t="shared" ref="K100:K131" si="3">I100-J100</f>
        <v>-860</v>
      </c>
      <c r="L100" s="357"/>
      <c r="M100" s="358"/>
    </row>
    <row r="101" spans="1:13" ht="12.75" customHeight="1" x14ac:dyDescent="0.2">
      <c r="A101" s="499"/>
      <c r="B101" s="349" t="s">
        <v>934</v>
      </c>
      <c r="C101" s="289"/>
      <c r="D101" s="295">
        <v>4</v>
      </c>
      <c r="E101" s="305" t="s">
        <v>1593</v>
      </c>
      <c r="F101" s="301">
        <v>199</v>
      </c>
      <c r="G101" s="299"/>
      <c r="H101" s="288"/>
      <c r="I101" s="81">
        <f>'Op Detail'!D6263</f>
        <v>36880</v>
      </c>
      <c r="J101" s="144">
        <v>53600</v>
      </c>
      <c r="K101" s="101">
        <f t="shared" si="3"/>
        <v>-16720</v>
      </c>
      <c r="L101" s="357"/>
      <c r="M101" s="358"/>
    </row>
    <row r="102" spans="1:13" ht="12.75" customHeight="1" x14ac:dyDescent="0.2">
      <c r="A102" s="499"/>
      <c r="B102" s="349" t="s">
        <v>1230</v>
      </c>
      <c r="C102" s="289"/>
      <c r="D102" s="295">
        <v>4</v>
      </c>
      <c r="E102" s="296" t="s">
        <v>1593</v>
      </c>
      <c r="F102" s="301">
        <v>119</v>
      </c>
      <c r="G102" s="299"/>
      <c r="H102" s="288"/>
      <c r="I102" s="81">
        <f>'Op Detail'!F3722</f>
        <v>0</v>
      </c>
      <c r="J102" s="144">
        <v>0</v>
      </c>
      <c r="K102" s="101">
        <f t="shared" si="3"/>
        <v>0</v>
      </c>
      <c r="L102" s="357"/>
      <c r="M102" s="358"/>
    </row>
    <row r="103" spans="1:13" ht="12.75" customHeight="1" x14ac:dyDescent="0.2">
      <c r="A103" s="499"/>
      <c r="B103" s="349" t="s">
        <v>1054</v>
      </c>
      <c r="C103" s="289"/>
      <c r="D103" s="295">
        <v>4</v>
      </c>
      <c r="E103" s="296" t="s">
        <v>1593</v>
      </c>
      <c r="F103" s="335">
        <v>66</v>
      </c>
      <c r="G103" s="299"/>
      <c r="H103" s="288"/>
      <c r="I103" s="81">
        <f>'Op Detail'!D1980</f>
        <v>596</v>
      </c>
      <c r="J103" s="144">
        <v>1000</v>
      </c>
      <c r="K103" s="101">
        <f t="shared" si="3"/>
        <v>-404</v>
      </c>
      <c r="L103" s="357"/>
      <c r="M103" s="358"/>
    </row>
    <row r="104" spans="1:13" ht="12.75" customHeight="1" x14ac:dyDescent="0.2">
      <c r="A104" s="499"/>
      <c r="B104" s="349" t="s">
        <v>1066</v>
      </c>
      <c r="C104" s="289"/>
      <c r="D104" s="295">
        <v>4</v>
      </c>
      <c r="E104" s="296" t="s">
        <v>1593</v>
      </c>
      <c r="F104" s="301">
        <v>161</v>
      </c>
      <c r="G104" s="299"/>
      <c r="H104" s="288"/>
      <c r="I104" s="81">
        <f>'Op Detail'!D4951</f>
        <v>6480</v>
      </c>
      <c r="J104" s="144">
        <v>14300</v>
      </c>
      <c r="K104" s="101">
        <f t="shared" si="3"/>
        <v>-7820</v>
      </c>
      <c r="L104" s="357"/>
      <c r="M104" s="358"/>
    </row>
    <row r="105" spans="1:13" ht="12.75" customHeight="1" x14ac:dyDescent="0.2">
      <c r="A105" s="499"/>
      <c r="B105" s="349" t="s">
        <v>932</v>
      </c>
      <c r="C105" s="289"/>
      <c r="D105" s="295">
        <v>4</v>
      </c>
      <c r="E105" s="305" t="s">
        <v>1593</v>
      </c>
      <c r="F105" s="301">
        <v>198</v>
      </c>
      <c r="G105" s="299"/>
      <c r="H105" s="288"/>
      <c r="I105" s="81">
        <f>'Op Detail'!D6219</f>
        <v>0</v>
      </c>
      <c r="J105" s="144">
        <v>0</v>
      </c>
      <c r="K105" s="101">
        <f t="shared" si="3"/>
        <v>0</v>
      </c>
      <c r="L105" s="357"/>
      <c r="M105" s="358"/>
    </row>
    <row r="106" spans="1:13" ht="12.75" customHeight="1" x14ac:dyDescent="0.2">
      <c r="A106" s="499"/>
      <c r="B106" s="349" t="s">
        <v>1367</v>
      </c>
      <c r="C106" s="289"/>
      <c r="D106" s="295">
        <v>4</v>
      </c>
      <c r="E106" s="296" t="s">
        <v>1593</v>
      </c>
      <c r="F106" s="301">
        <v>132</v>
      </c>
      <c r="G106" s="299"/>
      <c r="H106" s="288"/>
      <c r="I106" s="81">
        <f>'Op Detail'!D4167</f>
        <v>30783</v>
      </c>
      <c r="J106" s="144">
        <v>25696</v>
      </c>
      <c r="K106" s="101">
        <f t="shared" si="3"/>
        <v>5087</v>
      </c>
      <c r="L106" s="357"/>
      <c r="M106" s="358"/>
    </row>
    <row r="107" spans="1:13" ht="12.75" customHeight="1" x14ac:dyDescent="0.2">
      <c r="A107" s="499"/>
      <c r="B107" s="349" t="s">
        <v>707</v>
      </c>
      <c r="C107" s="289"/>
      <c r="D107" s="295">
        <v>4</v>
      </c>
      <c r="E107" s="305" t="s">
        <v>1593</v>
      </c>
      <c r="F107" s="301">
        <v>193</v>
      </c>
      <c r="G107" s="299"/>
      <c r="H107" s="288"/>
      <c r="I107" s="81">
        <f>'Op Detail'!D6007</f>
        <v>-2076.6</v>
      </c>
      <c r="J107" s="144">
        <v>4250</v>
      </c>
      <c r="K107" s="101">
        <f t="shared" si="3"/>
        <v>-6326.6</v>
      </c>
      <c r="L107" s="357"/>
      <c r="M107" s="358"/>
    </row>
    <row r="108" spans="1:13" ht="12.75" customHeight="1" x14ac:dyDescent="0.2">
      <c r="A108" s="499"/>
      <c r="B108" s="349" t="s">
        <v>1388</v>
      </c>
      <c r="C108" s="289"/>
      <c r="D108" s="295">
        <v>4</v>
      </c>
      <c r="E108" s="296" t="s">
        <v>1593</v>
      </c>
      <c r="F108" s="301">
        <v>174</v>
      </c>
      <c r="G108" s="299"/>
      <c r="H108" s="288"/>
      <c r="I108" s="81">
        <f>'Op Detail'!D5310</f>
        <v>60</v>
      </c>
      <c r="J108" s="144">
        <v>1325</v>
      </c>
      <c r="K108" s="101">
        <f t="shared" si="3"/>
        <v>-1265</v>
      </c>
      <c r="L108" s="357"/>
      <c r="M108" s="358"/>
    </row>
    <row r="109" spans="1:13" ht="12.75" customHeight="1" x14ac:dyDescent="0.2">
      <c r="A109" s="499"/>
      <c r="B109" s="349" t="s">
        <v>1389</v>
      </c>
      <c r="C109" s="289"/>
      <c r="D109" s="295">
        <v>4</v>
      </c>
      <c r="E109" s="296" t="s">
        <v>1593</v>
      </c>
      <c r="F109" s="301">
        <v>175</v>
      </c>
      <c r="G109" s="299"/>
      <c r="H109" s="288"/>
      <c r="I109" s="81">
        <f>'Op Detail'!D5341</f>
        <v>0</v>
      </c>
      <c r="J109" s="144">
        <v>0</v>
      </c>
      <c r="K109" s="101">
        <f t="shared" si="3"/>
        <v>0</v>
      </c>
      <c r="L109" s="357"/>
      <c r="M109" s="358"/>
    </row>
    <row r="110" spans="1:13" ht="12.75" customHeight="1" x14ac:dyDescent="0.2">
      <c r="A110" s="499"/>
      <c r="B110" s="349" t="s">
        <v>1378</v>
      </c>
      <c r="C110" s="289"/>
      <c r="D110" s="295">
        <v>4</v>
      </c>
      <c r="E110" s="296" t="s">
        <v>1593</v>
      </c>
      <c r="F110" s="301">
        <v>157</v>
      </c>
      <c r="G110" s="299"/>
      <c r="H110" s="288"/>
      <c r="I110" s="81">
        <f>'Op Detail'!D4838</f>
        <v>94735</v>
      </c>
      <c r="J110" s="144">
        <v>99560</v>
      </c>
      <c r="K110" s="101">
        <f t="shared" si="3"/>
        <v>-4825</v>
      </c>
      <c r="L110" s="357"/>
      <c r="M110" s="358"/>
    </row>
    <row r="111" spans="1:13" ht="12.75" customHeight="1" x14ac:dyDescent="0.2">
      <c r="A111" s="499"/>
      <c r="B111" s="349" t="s">
        <v>2966</v>
      </c>
      <c r="C111" s="289"/>
      <c r="D111" s="295">
        <v>4</v>
      </c>
      <c r="E111" s="305" t="s">
        <v>1593</v>
      </c>
      <c r="F111" s="301">
        <v>116</v>
      </c>
      <c r="G111" s="299"/>
      <c r="H111" s="288"/>
      <c r="I111" s="45">
        <f>'Op Detail'!E3640</f>
        <v>4880</v>
      </c>
      <c r="J111" s="144">
        <v>7000</v>
      </c>
      <c r="K111" s="101">
        <f t="shared" si="3"/>
        <v>-2120</v>
      </c>
      <c r="L111" s="357"/>
      <c r="M111" s="358"/>
    </row>
    <row r="112" spans="1:13" ht="12.75" customHeight="1" x14ac:dyDescent="0.2">
      <c r="A112" s="499"/>
      <c r="B112" s="349" t="s">
        <v>2969</v>
      </c>
      <c r="C112" s="289"/>
      <c r="D112" s="295">
        <v>4</v>
      </c>
      <c r="E112" s="296" t="s">
        <v>1593</v>
      </c>
      <c r="F112" s="335">
        <v>62</v>
      </c>
      <c r="G112" s="299"/>
      <c r="H112" s="288"/>
      <c r="I112" s="81">
        <f>'Op Detail'!D1863+'Op Detail'!E1863</f>
        <v>22330</v>
      </c>
      <c r="J112" s="144">
        <f>5250+17550</f>
        <v>22800</v>
      </c>
      <c r="K112" s="101">
        <f t="shared" si="3"/>
        <v>-470</v>
      </c>
      <c r="L112" s="357"/>
      <c r="M112" s="358"/>
    </row>
    <row r="113" spans="1:13" ht="12.75" customHeight="1" x14ac:dyDescent="0.2">
      <c r="A113" s="499"/>
      <c r="B113" s="349" t="s">
        <v>1059</v>
      </c>
      <c r="C113" s="289"/>
      <c r="D113" s="295">
        <v>4</v>
      </c>
      <c r="E113" s="296"/>
      <c r="F113" s="301">
        <v>211</v>
      </c>
      <c r="G113" s="299"/>
      <c r="H113" s="288"/>
      <c r="I113" s="81">
        <f>+'Op Detail'!D6642</f>
        <v>2194.44</v>
      </c>
      <c r="J113" s="144">
        <v>2300</v>
      </c>
      <c r="K113" s="101">
        <f t="shared" si="3"/>
        <v>-105.56</v>
      </c>
      <c r="L113" s="357"/>
      <c r="M113" s="358"/>
    </row>
    <row r="114" spans="1:13" ht="12.75" customHeight="1" x14ac:dyDescent="0.2">
      <c r="A114" s="499"/>
      <c r="B114" s="349" t="s">
        <v>1930</v>
      </c>
      <c r="C114" s="289"/>
      <c r="D114" s="295">
        <v>4</v>
      </c>
      <c r="E114" s="296" t="s">
        <v>1593</v>
      </c>
      <c r="F114" s="301">
        <v>170</v>
      </c>
      <c r="G114" s="299"/>
      <c r="H114" s="288"/>
      <c r="I114" s="85">
        <f>'Op Detail'!D5195</f>
        <v>2697.6</v>
      </c>
      <c r="J114" s="144">
        <v>3372</v>
      </c>
      <c r="K114" s="101">
        <f t="shared" si="3"/>
        <v>-674.4</v>
      </c>
      <c r="L114" s="357"/>
      <c r="M114" s="358"/>
    </row>
    <row r="115" spans="1:13" ht="12.75" customHeight="1" x14ac:dyDescent="0.2">
      <c r="A115" s="499"/>
      <c r="B115" s="349" t="s">
        <v>1390</v>
      </c>
      <c r="C115" s="289"/>
      <c r="D115" s="295">
        <v>4</v>
      </c>
      <c r="E115" s="296" t="s">
        <v>1593</v>
      </c>
      <c r="F115" s="301">
        <v>177</v>
      </c>
      <c r="G115" s="299"/>
      <c r="H115" s="288"/>
      <c r="I115" s="81">
        <f>'Op Detail'!D5396</f>
        <v>18220</v>
      </c>
      <c r="J115" s="144">
        <v>17340</v>
      </c>
      <c r="K115" s="101">
        <f t="shared" si="3"/>
        <v>880</v>
      </c>
      <c r="L115" s="357"/>
      <c r="M115" s="358"/>
    </row>
    <row r="116" spans="1:13" ht="12.75" customHeight="1" x14ac:dyDescent="0.2">
      <c r="A116" s="499"/>
      <c r="B116" s="349" t="s">
        <v>1223</v>
      </c>
      <c r="C116" s="289"/>
      <c r="D116" s="295">
        <v>4</v>
      </c>
      <c r="E116" s="296" t="s">
        <v>1593</v>
      </c>
      <c r="F116" s="301">
        <v>107</v>
      </c>
      <c r="G116" s="299"/>
      <c r="H116" s="288"/>
      <c r="I116" s="81">
        <f>'Op Detail'!D3320</f>
        <v>2560</v>
      </c>
      <c r="J116" s="144">
        <v>3275</v>
      </c>
      <c r="K116" s="101">
        <f t="shared" si="3"/>
        <v>-715</v>
      </c>
      <c r="L116" s="357"/>
      <c r="M116" s="358"/>
    </row>
    <row r="117" spans="1:13" ht="12.75" customHeight="1" x14ac:dyDescent="0.2">
      <c r="A117" s="499"/>
      <c r="B117" s="349" t="s">
        <v>309</v>
      </c>
      <c r="C117" s="289"/>
      <c r="D117" s="295">
        <v>4</v>
      </c>
      <c r="E117" s="296" t="s">
        <v>1593</v>
      </c>
      <c r="F117" s="301">
        <v>169</v>
      </c>
      <c r="G117" s="299"/>
      <c r="H117" s="288"/>
      <c r="I117" s="81">
        <f>'Op Detail'!D5173</f>
        <v>540</v>
      </c>
      <c r="J117" s="144">
        <v>1140</v>
      </c>
      <c r="K117" s="101">
        <f t="shared" si="3"/>
        <v>-600</v>
      </c>
      <c r="L117" s="357"/>
      <c r="M117" s="358"/>
    </row>
    <row r="118" spans="1:13" ht="12.75" customHeight="1" x14ac:dyDescent="0.2">
      <c r="A118" s="499"/>
      <c r="B118" s="349" t="s">
        <v>1853</v>
      </c>
      <c r="C118" s="289"/>
      <c r="D118" s="295">
        <v>4</v>
      </c>
      <c r="E118" s="296" t="s">
        <v>1593</v>
      </c>
      <c r="F118" s="301">
        <v>196</v>
      </c>
      <c r="G118" s="299"/>
      <c r="H118" s="288"/>
      <c r="I118" s="81">
        <f>'Op Detail'!D6130</f>
        <v>22080</v>
      </c>
      <c r="J118" s="144">
        <v>27600</v>
      </c>
      <c r="K118" s="101">
        <f t="shared" si="3"/>
        <v>-5520</v>
      </c>
      <c r="L118" s="357"/>
      <c r="M118" s="358"/>
    </row>
    <row r="119" spans="1:13" ht="12.75" customHeight="1" x14ac:dyDescent="0.2">
      <c r="A119" s="499"/>
      <c r="B119" s="349" t="s">
        <v>1064</v>
      </c>
      <c r="C119" s="289"/>
      <c r="D119" s="295">
        <v>4</v>
      </c>
      <c r="E119" s="296" t="s">
        <v>1593</v>
      </c>
      <c r="F119" s="301">
        <v>81</v>
      </c>
      <c r="G119" s="299" t="s">
        <v>1772</v>
      </c>
      <c r="H119" s="302">
        <v>82</v>
      </c>
      <c r="I119" s="81">
        <f>'Op Detail'!D2407+'Op Detail'!E2407+'Op Detail'!F2407+'Op Detail'!H2407+'Op Detail'!D2443+'Op Detail'!E2443+'Op Detail'!F2443+'Op Detail'!H2443</f>
        <v>6469.71</v>
      </c>
      <c r="J119" s="144">
        <v>8140</v>
      </c>
      <c r="K119" s="101">
        <f t="shared" si="3"/>
        <v>-1670.29</v>
      </c>
      <c r="L119" s="357"/>
      <c r="M119" s="358"/>
    </row>
    <row r="120" spans="1:13" ht="12.75" customHeight="1" x14ac:dyDescent="0.2">
      <c r="A120" s="499"/>
      <c r="B120" s="349" t="s">
        <v>2722</v>
      </c>
      <c r="C120" s="289"/>
      <c r="D120" s="295">
        <v>4</v>
      </c>
      <c r="E120" s="296" t="s">
        <v>1593</v>
      </c>
      <c r="F120" s="301">
        <v>202</v>
      </c>
      <c r="G120" s="299"/>
      <c r="H120" s="302"/>
      <c r="I120" s="81">
        <f>'Op Detail'!D6387</f>
        <v>1000</v>
      </c>
      <c r="J120" s="144">
        <v>2000</v>
      </c>
      <c r="K120" s="101">
        <f t="shared" si="3"/>
        <v>-1000</v>
      </c>
      <c r="L120" s="357"/>
      <c r="M120" s="358"/>
    </row>
    <row r="121" spans="1:13" ht="12.75" customHeight="1" x14ac:dyDescent="0.2">
      <c r="A121" s="499"/>
      <c r="B121" s="349" t="s">
        <v>1220</v>
      </c>
      <c r="C121" s="289"/>
      <c r="D121" s="295">
        <v>4</v>
      </c>
      <c r="E121" s="296" t="s">
        <v>1593</v>
      </c>
      <c r="F121" s="301">
        <v>104</v>
      </c>
      <c r="G121" s="299"/>
      <c r="H121" s="288"/>
      <c r="I121" s="81">
        <f>'Op Detail'!D3241</f>
        <v>2840</v>
      </c>
      <c r="J121" s="144">
        <v>3575</v>
      </c>
      <c r="K121" s="101">
        <f t="shared" si="3"/>
        <v>-735</v>
      </c>
      <c r="L121" s="357"/>
      <c r="M121" s="358"/>
    </row>
    <row r="122" spans="1:13" ht="12.75" customHeight="1" x14ac:dyDescent="0.2">
      <c r="A122" s="499"/>
      <c r="B122" s="349" t="s">
        <v>1221</v>
      </c>
      <c r="C122" s="289"/>
      <c r="D122" s="295">
        <v>4</v>
      </c>
      <c r="E122" s="296" t="s">
        <v>1593</v>
      </c>
      <c r="F122" s="301">
        <v>105</v>
      </c>
      <c r="G122" s="299"/>
      <c r="H122" s="288"/>
      <c r="I122" s="81">
        <f>'Op Detail'!D3266</f>
        <v>2980</v>
      </c>
      <c r="J122" s="144">
        <v>3900</v>
      </c>
      <c r="K122" s="101">
        <f t="shared" si="3"/>
        <v>-920</v>
      </c>
      <c r="L122" s="357"/>
      <c r="M122" s="358"/>
    </row>
    <row r="123" spans="1:13" ht="12.75" customHeight="1" x14ac:dyDescent="0.2">
      <c r="A123" s="499"/>
      <c r="B123" s="349" t="s">
        <v>1387</v>
      </c>
      <c r="C123" s="289"/>
      <c r="D123" s="295">
        <v>4</v>
      </c>
      <c r="E123" s="296" t="s">
        <v>1593</v>
      </c>
      <c r="F123" s="301">
        <v>173</v>
      </c>
      <c r="G123" s="299"/>
      <c r="H123" s="288"/>
      <c r="I123" s="81">
        <f>'Op Detail'!D5283</f>
        <v>0</v>
      </c>
      <c r="J123" s="144">
        <v>0</v>
      </c>
      <c r="K123" s="101">
        <f t="shared" si="3"/>
        <v>0</v>
      </c>
      <c r="L123" s="357"/>
      <c r="M123" s="358"/>
    </row>
    <row r="124" spans="1:13" ht="12.75" customHeight="1" x14ac:dyDescent="0.2">
      <c r="A124" s="499"/>
      <c r="B124" s="349" t="s">
        <v>1056</v>
      </c>
      <c r="C124" s="289"/>
      <c r="D124" s="295">
        <v>4</v>
      </c>
      <c r="E124" s="296" t="s">
        <v>1593</v>
      </c>
      <c r="F124" s="335">
        <v>68</v>
      </c>
      <c r="G124" s="299"/>
      <c r="H124" s="288"/>
      <c r="I124" s="81">
        <f>'Op Detail'!D2054</f>
        <v>1865</v>
      </c>
      <c r="J124" s="144">
        <v>1815</v>
      </c>
      <c r="K124" s="101">
        <f t="shared" si="3"/>
        <v>50</v>
      </c>
      <c r="L124" s="357"/>
      <c r="M124" s="358"/>
    </row>
    <row r="125" spans="1:13" ht="12.75" customHeight="1" x14ac:dyDescent="0.2">
      <c r="A125" s="499"/>
      <c r="B125" s="349" t="s">
        <v>1057</v>
      </c>
      <c r="C125" s="289"/>
      <c r="D125" s="295">
        <v>4</v>
      </c>
      <c r="E125" s="296" t="s">
        <v>1593</v>
      </c>
      <c r="F125" s="335">
        <v>69</v>
      </c>
      <c r="G125" s="299"/>
      <c r="H125" s="288"/>
      <c r="I125" s="81">
        <f>'Op Detail'!D2079</f>
        <v>1976</v>
      </c>
      <c r="J125" s="144">
        <v>3700</v>
      </c>
      <c r="K125" s="101">
        <f t="shared" si="3"/>
        <v>-1724</v>
      </c>
      <c r="L125" s="357"/>
      <c r="M125" s="358"/>
    </row>
    <row r="126" spans="1:13" ht="12.75" customHeight="1" x14ac:dyDescent="0.2">
      <c r="A126" s="499"/>
      <c r="B126" s="349" t="s">
        <v>763</v>
      </c>
      <c r="C126" s="289"/>
      <c r="D126" s="295">
        <v>4</v>
      </c>
      <c r="E126" s="296" t="s">
        <v>1593</v>
      </c>
      <c r="F126" s="301">
        <v>123</v>
      </c>
      <c r="G126" s="299"/>
      <c r="H126" s="288"/>
      <c r="I126" s="81">
        <f>'Op Detail'!D3850</f>
        <v>5000</v>
      </c>
      <c r="J126" s="144">
        <v>2561.9499999999998</v>
      </c>
      <c r="K126" s="101">
        <f t="shared" si="3"/>
        <v>2438.0500000000002</v>
      </c>
      <c r="L126" s="357"/>
      <c r="M126" s="358"/>
    </row>
    <row r="127" spans="1:13" ht="12.75" customHeight="1" x14ac:dyDescent="0.2">
      <c r="A127" s="499"/>
      <c r="B127" s="349" t="s">
        <v>1366</v>
      </c>
      <c r="C127" s="289"/>
      <c r="D127" s="295">
        <v>4</v>
      </c>
      <c r="E127" s="296" t="s">
        <v>1593</v>
      </c>
      <c r="F127" s="301">
        <v>131</v>
      </c>
      <c r="G127" s="299"/>
      <c r="H127" s="288"/>
      <c r="I127" s="81">
        <f>'Op Detail'!D4129+'Op Detail'!E4129</f>
        <v>81950</v>
      </c>
      <c r="J127" s="144">
        <v>86257.4</v>
      </c>
      <c r="K127" s="101">
        <f t="shared" si="3"/>
        <v>-4307.3999999999996</v>
      </c>
      <c r="L127" s="357"/>
      <c r="M127" s="358"/>
    </row>
    <row r="128" spans="1:13" ht="12.75" customHeight="1" x14ac:dyDescent="0.2">
      <c r="A128" s="499"/>
      <c r="B128" s="349" t="s">
        <v>1213</v>
      </c>
      <c r="C128" s="289"/>
      <c r="D128" s="295">
        <v>4</v>
      </c>
      <c r="E128" s="296" t="s">
        <v>1593</v>
      </c>
      <c r="F128" s="301">
        <v>96</v>
      </c>
      <c r="G128" s="299"/>
      <c r="H128" s="288"/>
      <c r="I128" s="81">
        <f>'Op Detail'!D3009</f>
        <v>1460</v>
      </c>
      <c r="J128" s="144">
        <v>1710</v>
      </c>
      <c r="K128" s="101">
        <f t="shared" si="3"/>
        <v>-250</v>
      </c>
      <c r="L128" s="357"/>
      <c r="M128" s="358"/>
    </row>
    <row r="129" spans="1:13" ht="12.75" customHeight="1" x14ac:dyDescent="0.2">
      <c r="A129" s="499"/>
      <c r="B129" s="349" t="s">
        <v>2039</v>
      </c>
      <c r="C129" s="289"/>
      <c r="D129" s="295">
        <v>4</v>
      </c>
      <c r="E129" s="296" t="s">
        <v>1593</v>
      </c>
      <c r="F129" s="301">
        <v>201</v>
      </c>
      <c r="G129" s="299"/>
      <c r="H129" s="288"/>
      <c r="I129" s="81">
        <f>+'Op Detail'!D6357</f>
        <v>44800</v>
      </c>
      <c r="J129" s="144">
        <v>108500</v>
      </c>
      <c r="K129" s="101">
        <f t="shared" si="3"/>
        <v>-63700</v>
      </c>
      <c r="L129" s="357"/>
      <c r="M129" s="358"/>
    </row>
    <row r="130" spans="1:13" ht="12.75" customHeight="1" x14ac:dyDescent="0.2">
      <c r="A130" s="499"/>
      <c r="B130" s="349" t="s">
        <v>1217</v>
      </c>
      <c r="C130" s="289"/>
      <c r="D130" s="295">
        <v>4</v>
      </c>
      <c r="E130" s="296" t="s">
        <v>1593</v>
      </c>
      <c r="F130" s="301">
        <v>101</v>
      </c>
      <c r="G130" s="299"/>
      <c r="H130" s="288"/>
      <c r="I130" s="81">
        <f>'Op Detail'!D3158</f>
        <v>4520</v>
      </c>
      <c r="J130" s="144">
        <v>6800</v>
      </c>
      <c r="K130" s="101">
        <f t="shared" si="3"/>
        <v>-2280</v>
      </c>
      <c r="L130" s="357"/>
      <c r="M130" s="358"/>
    </row>
    <row r="131" spans="1:13" ht="12.75" customHeight="1" x14ac:dyDescent="0.2">
      <c r="A131" s="499"/>
      <c r="B131" s="349" t="s">
        <v>1229</v>
      </c>
      <c r="C131" s="289"/>
      <c r="D131" s="295">
        <v>4</v>
      </c>
      <c r="E131" s="296" t="s">
        <v>1593</v>
      </c>
      <c r="F131" s="301">
        <v>120</v>
      </c>
      <c r="G131" s="299"/>
      <c r="H131" s="288"/>
      <c r="I131" s="45">
        <f>'Op Detail'!F3753</f>
        <v>6432</v>
      </c>
      <c r="J131" s="144">
        <v>8010</v>
      </c>
      <c r="K131" s="101">
        <f t="shared" si="3"/>
        <v>-1578</v>
      </c>
      <c r="L131" s="357"/>
      <c r="M131" s="358"/>
    </row>
    <row r="132" spans="1:13" ht="12.75" customHeight="1" x14ac:dyDescent="0.2">
      <c r="A132" s="499"/>
      <c r="B132" s="349" t="s">
        <v>1062</v>
      </c>
      <c r="C132" s="289"/>
      <c r="D132" s="295">
        <v>4</v>
      </c>
      <c r="E132" s="296" t="s">
        <v>1593</v>
      </c>
      <c r="F132" s="301">
        <v>79</v>
      </c>
      <c r="G132" s="299"/>
      <c r="H132" s="288"/>
      <c r="I132" s="45">
        <f>'Op Detail'!D2348</f>
        <v>1729</v>
      </c>
      <c r="J132" s="144">
        <v>7370</v>
      </c>
      <c r="K132" s="101">
        <f t="shared" ref="K132:K161" si="4">I132-J132</f>
        <v>-5641</v>
      </c>
      <c r="L132" s="357"/>
      <c r="M132" s="358"/>
    </row>
    <row r="133" spans="1:13" ht="12.75" customHeight="1" x14ac:dyDescent="0.2">
      <c r="A133" s="499"/>
      <c r="B133" s="349" t="s">
        <v>1379</v>
      </c>
      <c r="C133" s="289"/>
      <c r="D133" s="295">
        <v>4</v>
      </c>
      <c r="E133" s="296" t="s">
        <v>1593</v>
      </c>
      <c r="F133" s="301">
        <v>160</v>
      </c>
      <c r="G133" s="299"/>
      <c r="H133" s="288"/>
      <c r="I133" s="81">
        <f>'Op Detail'!D4920</f>
        <v>279675</v>
      </c>
      <c r="J133" s="144">
        <v>51061.5</v>
      </c>
      <c r="K133" s="101">
        <f t="shared" si="4"/>
        <v>228613.5</v>
      </c>
      <c r="L133" s="357"/>
      <c r="M133" s="358"/>
    </row>
    <row r="134" spans="1:13" ht="12.75" customHeight="1" x14ac:dyDescent="0.2">
      <c r="A134" s="499"/>
      <c r="B134" s="349" t="s">
        <v>1380</v>
      </c>
      <c r="C134" s="289"/>
      <c r="D134" s="295">
        <v>4</v>
      </c>
      <c r="E134" s="296" t="s">
        <v>1593</v>
      </c>
      <c r="F134" s="301">
        <v>163</v>
      </c>
      <c r="G134" s="299"/>
      <c r="H134" s="288"/>
      <c r="I134" s="81">
        <f>'Op Detail'!D5007</f>
        <v>50920</v>
      </c>
      <c r="J134" s="144">
        <v>58350</v>
      </c>
      <c r="K134" s="101">
        <f t="shared" si="4"/>
        <v>-7430</v>
      </c>
      <c r="L134" s="357"/>
      <c r="M134" s="358"/>
    </row>
    <row r="135" spans="1:13" ht="12.75" customHeight="1" x14ac:dyDescent="0.2">
      <c r="A135" s="499"/>
      <c r="B135" s="349" t="s">
        <v>1212</v>
      </c>
      <c r="C135" s="289"/>
      <c r="D135" s="295">
        <v>4</v>
      </c>
      <c r="E135" s="296" t="s">
        <v>1593</v>
      </c>
      <c r="F135" s="301">
        <v>95</v>
      </c>
      <c r="G135" s="299"/>
      <c r="H135" s="288"/>
      <c r="I135" s="81">
        <f>'Op Detail'!D2982</f>
        <v>1000.59</v>
      </c>
      <c r="J135" s="144">
        <v>1080</v>
      </c>
      <c r="K135" s="101">
        <f t="shared" si="4"/>
        <v>-79.41</v>
      </c>
      <c r="L135" s="357"/>
      <c r="M135" s="358"/>
    </row>
    <row r="136" spans="1:13" ht="12.75" customHeight="1" x14ac:dyDescent="0.2">
      <c r="A136" s="499"/>
      <c r="B136" s="349" t="s">
        <v>1215</v>
      </c>
      <c r="C136" s="289"/>
      <c r="D136" s="295">
        <v>4</v>
      </c>
      <c r="E136" s="296" t="s">
        <v>1593</v>
      </c>
      <c r="F136" s="301">
        <v>98</v>
      </c>
      <c r="G136" s="299"/>
      <c r="H136" s="288"/>
      <c r="I136" s="81">
        <f>'Op Detail'!D3076</f>
        <v>28680</v>
      </c>
      <c r="J136" s="144">
        <v>34050</v>
      </c>
      <c r="K136" s="101">
        <f t="shared" si="4"/>
        <v>-5370</v>
      </c>
      <c r="L136" s="357"/>
      <c r="M136" s="358"/>
    </row>
    <row r="137" spans="1:13" ht="12.75" customHeight="1" x14ac:dyDescent="0.2">
      <c r="A137" s="499"/>
      <c r="B137" s="349" t="s">
        <v>1219</v>
      </c>
      <c r="C137" s="289"/>
      <c r="D137" s="295">
        <v>4</v>
      </c>
      <c r="E137" s="296" t="s">
        <v>1593</v>
      </c>
      <c r="F137" s="301">
        <v>103</v>
      </c>
      <c r="G137" s="299"/>
      <c r="H137" s="288"/>
      <c r="I137" s="81">
        <f>'Op Detail'!D3215</f>
        <v>0</v>
      </c>
      <c r="J137" s="144">
        <v>0</v>
      </c>
      <c r="K137" s="101">
        <f t="shared" si="4"/>
        <v>0</v>
      </c>
      <c r="L137" s="357"/>
      <c r="M137" s="358"/>
    </row>
    <row r="138" spans="1:13" ht="12.75" customHeight="1" x14ac:dyDescent="0.2">
      <c r="A138" s="499"/>
      <c r="B138" s="349" t="s">
        <v>1224</v>
      </c>
      <c r="C138" s="289"/>
      <c r="D138" s="295">
        <v>4</v>
      </c>
      <c r="E138" s="296" t="s">
        <v>1593</v>
      </c>
      <c r="F138" s="301">
        <v>108</v>
      </c>
      <c r="G138" s="299"/>
      <c r="H138" s="288"/>
      <c r="I138" s="81">
        <f>'Op Detail'!D3343</f>
        <v>2040</v>
      </c>
      <c r="J138" s="144">
        <v>2630</v>
      </c>
      <c r="K138" s="101">
        <f t="shared" si="4"/>
        <v>-590</v>
      </c>
      <c r="L138" s="357"/>
      <c r="M138" s="358"/>
    </row>
    <row r="139" spans="1:13" ht="12.75" customHeight="1" x14ac:dyDescent="0.2">
      <c r="A139" s="499"/>
      <c r="B139" s="349" t="s">
        <v>705</v>
      </c>
      <c r="C139" s="289"/>
      <c r="D139" s="295">
        <v>4</v>
      </c>
      <c r="E139" s="305" t="s">
        <v>1593</v>
      </c>
      <c r="F139" s="301">
        <v>192</v>
      </c>
      <c r="G139" s="299"/>
      <c r="H139" s="288"/>
      <c r="I139" s="81">
        <f>'Op Detail'!D5965</f>
        <v>12690</v>
      </c>
      <c r="J139" s="144">
        <v>10450</v>
      </c>
      <c r="K139" s="101">
        <f t="shared" si="4"/>
        <v>2240</v>
      </c>
      <c r="L139" s="357"/>
      <c r="M139" s="358"/>
    </row>
    <row r="140" spans="1:13" ht="12.75" customHeight="1" x14ac:dyDescent="0.2">
      <c r="A140" s="499"/>
      <c r="B140" s="349" t="s">
        <v>1058</v>
      </c>
      <c r="C140" s="289"/>
      <c r="D140" s="295">
        <v>4</v>
      </c>
      <c r="E140" s="296" t="s">
        <v>1593</v>
      </c>
      <c r="F140" s="335">
        <v>71</v>
      </c>
      <c r="G140" s="299"/>
      <c r="H140" s="288"/>
      <c r="I140" s="81">
        <f>'Op Detail'!D2122</f>
        <v>2202.23</v>
      </c>
      <c r="J140" s="144">
        <v>1975</v>
      </c>
      <c r="K140" s="101">
        <f t="shared" si="4"/>
        <v>227.23</v>
      </c>
      <c r="L140" s="357"/>
      <c r="M140" s="358"/>
    </row>
    <row r="141" spans="1:13" ht="12.75" customHeight="1" x14ac:dyDescent="0.2">
      <c r="A141" s="499"/>
      <c r="B141" s="349" t="s">
        <v>1848</v>
      </c>
      <c r="C141" s="289"/>
      <c r="D141" s="295">
        <v>4</v>
      </c>
      <c r="E141" s="296" t="s">
        <v>1593</v>
      </c>
      <c r="F141" s="301">
        <v>195</v>
      </c>
      <c r="G141" s="299"/>
      <c r="H141" s="288"/>
      <c r="I141" s="45">
        <f>'Op Detail'!D6089</f>
        <v>9320</v>
      </c>
      <c r="J141" s="144">
        <v>11650</v>
      </c>
      <c r="K141" s="101">
        <f t="shared" si="4"/>
        <v>-2330</v>
      </c>
      <c r="L141" s="357"/>
      <c r="M141" s="358"/>
    </row>
    <row r="142" spans="1:13" ht="12" customHeight="1" x14ac:dyDescent="0.2">
      <c r="A142" s="499"/>
      <c r="B142" s="349" t="s">
        <v>1222</v>
      </c>
      <c r="C142" s="289"/>
      <c r="D142" s="295">
        <v>4</v>
      </c>
      <c r="E142" s="296" t="s">
        <v>1593</v>
      </c>
      <c r="F142" s="301">
        <v>106</v>
      </c>
      <c r="G142" s="299"/>
      <c r="H142" s="288"/>
      <c r="I142" s="81">
        <f>'Op Detail'!D3291</f>
        <v>1400</v>
      </c>
      <c r="J142" s="144">
        <v>1800</v>
      </c>
      <c r="K142" s="101">
        <f t="shared" si="4"/>
        <v>-400</v>
      </c>
      <c r="L142" s="357"/>
      <c r="M142" s="358"/>
    </row>
    <row r="143" spans="1:13" ht="12" customHeight="1" x14ac:dyDescent="0.2">
      <c r="A143" s="499"/>
      <c r="B143" s="349" t="s">
        <v>1063</v>
      </c>
      <c r="C143" s="289"/>
      <c r="D143" s="295">
        <v>4</v>
      </c>
      <c r="E143" s="296" t="s">
        <v>1593</v>
      </c>
      <c r="F143" s="301">
        <v>80</v>
      </c>
      <c r="G143" s="299"/>
      <c r="H143" s="288"/>
      <c r="I143" s="81">
        <f>'Op Detail'!D2369</f>
        <v>760</v>
      </c>
      <c r="J143" s="144">
        <v>1030</v>
      </c>
      <c r="K143" s="101">
        <f t="shared" si="4"/>
        <v>-270</v>
      </c>
      <c r="L143" s="357"/>
      <c r="M143" s="358"/>
    </row>
    <row r="144" spans="1:13" ht="12" customHeight="1" x14ac:dyDescent="0.2">
      <c r="A144" s="499"/>
      <c r="B144" s="349" t="s">
        <v>1214</v>
      </c>
      <c r="C144" s="289"/>
      <c r="D144" s="295">
        <v>4</v>
      </c>
      <c r="E144" s="296" t="s">
        <v>1593</v>
      </c>
      <c r="F144" s="301">
        <v>97</v>
      </c>
      <c r="G144" s="299"/>
      <c r="H144" s="288"/>
      <c r="I144" s="81">
        <f>'Op Detail'!D3039</f>
        <v>1940</v>
      </c>
      <c r="J144" s="144">
        <v>2000</v>
      </c>
      <c r="K144" s="101">
        <f t="shared" si="4"/>
        <v>-60</v>
      </c>
      <c r="L144" s="357"/>
      <c r="M144" s="358"/>
    </row>
    <row r="145" spans="1:13" ht="12" customHeight="1" x14ac:dyDescent="0.2">
      <c r="A145" s="499"/>
      <c r="B145" s="349" t="s">
        <v>1386</v>
      </c>
      <c r="C145" s="289"/>
      <c r="D145" s="295">
        <v>4</v>
      </c>
      <c r="E145" s="296" t="s">
        <v>1593</v>
      </c>
      <c r="F145" s="301">
        <v>172</v>
      </c>
      <c r="G145" s="299"/>
      <c r="H145" s="288"/>
      <c r="I145" s="81">
        <f>'Op Detail'!D5256</f>
        <v>544</v>
      </c>
      <c r="J145" s="144">
        <v>780</v>
      </c>
      <c r="K145" s="101">
        <f t="shared" si="4"/>
        <v>-236</v>
      </c>
      <c r="L145" s="357"/>
      <c r="M145" s="358"/>
    </row>
    <row r="146" spans="1:13" ht="12" customHeight="1" x14ac:dyDescent="0.2">
      <c r="A146" s="499"/>
      <c r="B146" s="349" t="s">
        <v>1385</v>
      </c>
      <c r="C146" s="289"/>
      <c r="D146" s="295">
        <v>4</v>
      </c>
      <c r="E146" s="296" t="s">
        <v>1593</v>
      </c>
      <c r="F146" s="301">
        <v>171</v>
      </c>
      <c r="G146" s="299"/>
      <c r="H146" s="288"/>
      <c r="I146" s="81">
        <f>'Op Detail'!D5226</f>
        <v>1050</v>
      </c>
      <c r="J146" s="144">
        <v>2425</v>
      </c>
      <c r="K146" s="101">
        <f t="shared" si="4"/>
        <v>-1375</v>
      </c>
      <c r="L146" s="357"/>
      <c r="M146" s="358"/>
    </row>
    <row r="147" spans="1:13" ht="12" customHeight="1" x14ac:dyDescent="0.2">
      <c r="A147" s="499"/>
      <c r="B147" s="349" t="s">
        <v>1228</v>
      </c>
      <c r="C147" s="289"/>
      <c r="D147" s="295">
        <v>4</v>
      </c>
      <c r="E147" s="296" t="s">
        <v>1593</v>
      </c>
      <c r="F147" s="301">
        <v>116</v>
      </c>
      <c r="G147" s="299"/>
      <c r="H147" s="288"/>
      <c r="I147" s="81">
        <f>'Op Detail'!D3640</f>
        <v>1280</v>
      </c>
      <c r="J147" s="144">
        <v>3475</v>
      </c>
      <c r="K147" s="101">
        <f t="shared" si="4"/>
        <v>-2195</v>
      </c>
      <c r="L147" s="357"/>
      <c r="M147" s="358"/>
    </row>
    <row r="148" spans="1:13" ht="12" customHeight="1" x14ac:dyDescent="0.2">
      <c r="A148" s="499"/>
      <c r="B148" s="349" t="s">
        <v>1061</v>
      </c>
      <c r="C148" s="289"/>
      <c r="D148" s="295">
        <v>4</v>
      </c>
      <c r="E148" s="296" t="s">
        <v>1593</v>
      </c>
      <c r="F148" s="301">
        <v>78</v>
      </c>
      <c r="G148" s="299"/>
      <c r="H148" s="288"/>
      <c r="I148" s="45">
        <f>'Op Detail'!D2310</f>
        <v>0</v>
      </c>
      <c r="J148" s="144">
        <v>0</v>
      </c>
      <c r="K148" s="101">
        <f t="shared" si="4"/>
        <v>0</v>
      </c>
      <c r="L148" s="357"/>
      <c r="M148" s="358"/>
    </row>
    <row r="149" spans="1:13" ht="12" customHeight="1" x14ac:dyDescent="0.2">
      <c r="A149" s="499"/>
      <c r="B149" s="349" t="s">
        <v>724</v>
      </c>
      <c r="C149" s="289"/>
      <c r="D149" s="295">
        <v>4</v>
      </c>
      <c r="E149" s="296" t="s">
        <v>1593</v>
      </c>
      <c r="F149" s="301">
        <v>133</v>
      </c>
      <c r="G149" s="299"/>
      <c r="H149" s="288"/>
      <c r="I149" s="45">
        <f>'Op Detail'!D4210</f>
        <v>207540</v>
      </c>
      <c r="J149" s="144">
        <v>234962.4</v>
      </c>
      <c r="K149" s="101">
        <f t="shared" si="4"/>
        <v>-27422.400000000001</v>
      </c>
      <c r="L149" s="357"/>
      <c r="M149" s="358"/>
    </row>
    <row r="150" spans="1:13" ht="12" customHeight="1" x14ac:dyDescent="0.2">
      <c r="A150" s="499"/>
      <c r="B150" s="349" t="s">
        <v>1365</v>
      </c>
      <c r="C150" s="289"/>
      <c r="D150" s="295">
        <v>4</v>
      </c>
      <c r="E150" s="296" t="s">
        <v>1593</v>
      </c>
      <c r="F150" s="301">
        <v>130</v>
      </c>
      <c r="G150" s="299"/>
      <c r="H150" s="288"/>
      <c r="I150" s="45">
        <f>'Op Detail'!D4092+'Op Detail'!E4092</f>
        <v>27859.85</v>
      </c>
      <c r="J150" s="144">
        <v>31620</v>
      </c>
      <c r="K150" s="101">
        <f t="shared" si="4"/>
        <v>-3760.15</v>
      </c>
      <c r="L150" s="357"/>
      <c r="M150" s="358"/>
    </row>
    <row r="151" spans="1:13" ht="12" customHeight="1" x14ac:dyDescent="0.2">
      <c r="A151" s="499"/>
      <c r="B151" s="349" t="s">
        <v>2978</v>
      </c>
      <c r="C151" s="289"/>
      <c r="D151" s="295">
        <v>4</v>
      </c>
      <c r="E151" s="296" t="s">
        <v>1593</v>
      </c>
      <c r="F151" s="335">
        <v>60</v>
      </c>
      <c r="G151" s="299"/>
      <c r="H151" s="288"/>
      <c r="I151" s="81">
        <f>'Op Detail'!D1791</f>
        <v>5480</v>
      </c>
      <c r="J151" s="144">
        <v>7075</v>
      </c>
      <c r="K151" s="101">
        <f t="shared" si="4"/>
        <v>-1595</v>
      </c>
      <c r="L151" s="357"/>
      <c r="M151" s="358"/>
    </row>
    <row r="152" spans="1:13" ht="12" customHeight="1" x14ac:dyDescent="0.2">
      <c r="A152" s="499"/>
      <c r="B152" s="349" t="s">
        <v>1364</v>
      </c>
      <c r="C152" s="289"/>
      <c r="D152" s="295">
        <v>4</v>
      </c>
      <c r="E152" s="296" t="s">
        <v>1593</v>
      </c>
      <c r="F152" s="301">
        <v>129</v>
      </c>
      <c r="G152" s="299"/>
      <c r="H152" s="288"/>
      <c r="I152" s="45">
        <f>'Op Detail'!D4059</f>
        <v>49550</v>
      </c>
      <c r="J152" s="144">
        <v>23620</v>
      </c>
      <c r="K152" s="101">
        <f t="shared" si="4"/>
        <v>25930</v>
      </c>
      <c r="L152" s="357"/>
      <c r="M152" s="358"/>
    </row>
    <row r="153" spans="1:13" ht="12" customHeight="1" x14ac:dyDescent="0.2">
      <c r="A153" s="499"/>
      <c r="B153" s="349" t="s">
        <v>1391</v>
      </c>
      <c r="C153" s="289"/>
      <c r="D153" s="295">
        <v>4</v>
      </c>
      <c r="E153" s="296" t="s">
        <v>1593</v>
      </c>
      <c r="F153" s="301">
        <v>178</v>
      </c>
      <c r="G153" s="299"/>
      <c r="H153" s="288"/>
      <c r="I153" s="45">
        <f>'Op Detail'!D5427</f>
        <v>9520</v>
      </c>
      <c r="J153" s="144">
        <v>12100</v>
      </c>
      <c r="K153" s="101">
        <f t="shared" si="4"/>
        <v>-2580</v>
      </c>
      <c r="L153" s="357"/>
      <c r="M153" s="358"/>
    </row>
    <row r="154" spans="1:13" ht="12" customHeight="1" x14ac:dyDescent="0.2">
      <c r="A154" s="499"/>
      <c r="B154" s="349" t="s">
        <v>1858</v>
      </c>
      <c r="C154" s="289"/>
      <c r="D154" s="295">
        <v>4</v>
      </c>
      <c r="E154" s="296" t="s">
        <v>1593</v>
      </c>
      <c r="F154" s="301">
        <v>116</v>
      </c>
      <c r="G154" s="299"/>
      <c r="H154" s="288"/>
      <c r="I154" s="81">
        <f>'Op Detail'!F3640</f>
        <v>25320</v>
      </c>
      <c r="J154" s="144">
        <v>46017.35</v>
      </c>
      <c r="K154" s="101">
        <f t="shared" si="4"/>
        <v>-20697.349999999999</v>
      </c>
      <c r="L154" s="357"/>
      <c r="M154" s="358"/>
    </row>
    <row r="155" spans="1:13" ht="12" customHeight="1" x14ac:dyDescent="0.2">
      <c r="A155" s="499"/>
      <c r="B155" s="349" t="s">
        <v>2848</v>
      </c>
      <c r="C155" s="289"/>
      <c r="D155" s="295">
        <v>4</v>
      </c>
      <c r="E155" s="296" t="s">
        <v>1593</v>
      </c>
      <c r="F155" s="301">
        <v>76</v>
      </c>
      <c r="G155" s="299"/>
      <c r="H155" s="288"/>
      <c r="I155" s="81">
        <f>'Op Detail'!D2252</f>
        <v>16714.78</v>
      </c>
      <c r="J155" s="144">
        <v>16450</v>
      </c>
      <c r="K155" s="101">
        <f t="shared" si="4"/>
        <v>264.77999999999997</v>
      </c>
      <c r="L155" s="357"/>
      <c r="M155" s="358"/>
    </row>
    <row r="156" spans="1:13" ht="12" customHeight="1" x14ac:dyDescent="0.2">
      <c r="A156" s="504" t="s">
        <v>3132</v>
      </c>
      <c r="B156" s="351" t="s">
        <v>2955</v>
      </c>
      <c r="C156" s="289"/>
      <c r="D156" s="295">
        <v>4</v>
      </c>
      <c r="E156" s="296" t="s">
        <v>1593</v>
      </c>
      <c r="F156" s="301">
        <v>210</v>
      </c>
      <c r="G156" s="299"/>
      <c r="H156" s="288"/>
      <c r="I156" s="81">
        <f>+'Op Detail'!D6602</f>
        <v>5000</v>
      </c>
      <c r="J156" s="144">
        <v>0</v>
      </c>
      <c r="K156" s="101">
        <f t="shared" si="4"/>
        <v>5000</v>
      </c>
      <c r="L156" s="356">
        <v>0</v>
      </c>
      <c r="M156" s="101">
        <f>27818.42-25029.68-2289.6</f>
        <v>499.14</v>
      </c>
    </row>
    <row r="157" spans="1:13" ht="12" customHeight="1" x14ac:dyDescent="0.2">
      <c r="A157" s="504"/>
      <c r="B157" s="351" t="s">
        <v>3178</v>
      </c>
      <c r="C157" s="289"/>
      <c r="D157" s="295">
        <v>4</v>
      </c>
      <c r="E157" s="296" t="s">
        <v>1593</v>
      </c>
      <c r="F157" s="335">
        <v>34</v>
      </c>
      <c r="G157" s="299"/>
      <c r="H157" s="288"/>
      <c r="I157" s="45">
        <f>'Op Detail'!D1265</f>
        <v>5200</v>
      </c>
      <c r="J157" s="144">
        <v>8200</v>
      </c>
      <c r="K157" s="101">
        <f t="shared" si="4"/>
        <v>-3000</v>
      </c>
      <c r="L157" s="356">
        <f>63075.46-46033.92-12974.52</f>
        <v>4067.02</v>
      </c>
      <c r="M157" s="101">
        <f>40953.75-34818.3-5450.35-509-76-79.05</f>
        <v>21.05</v>
      </c>
    </row>
    <row r="158" spans="1:13" ht="12" customHeight="1" x14ac:dyDescent="0.2">
      <c r="A158" s="504"/>
      <c r="B158" s="351" t="s">
        <v>785</v>
      </c>
      <c r="C158" s="289"/>
      <c r="D158" s="295">
        <v>4</v>
      </c>
      <c r="E158" s="305" t="s">
        <v>1593</v>
      </c>
      <c r="F158" s="301">
        <v>197</v>
      </c>
      <c r="G158" s="299"/>
      <c r="H158" s="288"/>
      <c r="I158" s="81">
        <f>'Op Detail'!E6177</f>
        <v>0</v>
      </c>
      <c r="J158" s="144">
        <v>25000</v>
      </c>
      <c r="K158" s="101">
        <f t="shared" si="4"/>
        <v>-25000</v>
      </c>
      <c r="L158" s="356">
        <f>62384.57-62096.64</f>
        <v>287.93</v>
      </c>
      <c r="M158" s="101">
        <f>47268.88-47131.38</f>
        <v>137.5</v>
      </c>
    </row>
    <row r="159" spans="1:13" ht="12" customHeight="1" x14ac:dyDescent="0.2">
      <c r="A159" s="504"/>
      <c r="B159" s="351" t="s">
        <v>45</v>
      </c>
      <c r="C159" s="289"/>
      <c r="D159" s="295">
        <v>4</v>
      </c>
      <c r="E159" s="296" t="s">
        <v>1593</v>
      </c>
      <c r="F159" s="335">
        <v>36</v>
      </c>
      <c r="G159" s="299"/>
      <c r="H159" s="288"/>
      <c r="I159" s="81">
        <f>'Op Detail'!D1331</f>
        <v>21750</v>
      </c>
      <c r="J159" s="144">
        <v>8900</v>
      </c>
      <c r="K159" s="101">
        <f t="shared" si="4"/>
        <v>12850</v>
      </c>
      <c r="L159" s="356">
        <f>70383.07-58286.04</f>
        <v>12097.03</v>
      </c>
      <c r="M159" s="101">
        <f>51960.66-44239.05</f>
        <v>7721.61</v>
      </c>
    </row>
    <row r="160" spans="1:13" ht="12" customHeight="1" x14ac:dyDescent="0.2">
      <c r="A160" s="504"/>
      <c r="B160" s="351" t="s">
        <v>1081</v>
      </c>
      <c r="C160" s="289"/>
      <c r="D160" s="295">
        <v>4</v>
      </c>
      <c r="E160" s="296" t="s">
        <v>1593</v>
      </c>
      <c r="F160" s="335">
        <v>52</v>
      </c>
      <c r="G160" s="299"/>
      <c r="H160" s="288"/>
      <c r="I160" s="81">
        <f>'Op Detail'!D1665</f>
        <v>18800</v>
      </c>
      <c r="J160" s="144">
        <v>38500</v>
      </c>
      <c r="K160" s="101">
        <f t="shared" si="4"/>
        <v>-19700</v>
      </c>
      <c r="L160" s="356">
        <f>63153.45-40066.96</f>
        <v>23086.49</v>
      </c>
      <c r="M160" s="101">
        <v>12414.76</v>
      </c>
    </row>
    <row r="161" spans="1:13" ht="12" customHeight="1" x14ac:dyDescent="0.2">
      <c r="A161" s="504"/>
      <c r="B161" s="351" t="s">
        <v>1592</v>
      </c>
      <c r="C161" s="289"/>
      <c r="D161" s="295">
        <v>4</v>
      </c>
      <c r="E161" s="296" t="s">
        <v>1593</v>
      </c>
      <c r="F161" s="335">
        <v>58</v>
      </c>
      <c r="G161" s="299"/>
      <c r="H161" s="288"/>
      <c r="I161" s="85">
        <f>'Op Detail'!D1748</f>
        <v>15000</v>
      </c>
      <c r="J161" s="144">
        <v>13050</v>
      </c>
      <c r="K161" s="101">
        <f t="shared" si="4"/>
        <v>1950</v>
      </c>
      <c r="L161" s="356">
        <v>8164.12</v>
      </c>
      <c r="M161" s="356">
        <v>5275.47</v>
      </c>
    </row>
    <row r="162" spans="1:13" ht="15.75" thickBot="1" x14ac:dyDescent="0.25">
      <c r="B162" s="288"/>
      <c r="C162" s="288"/>
      <c r="D162" s="288"/>
      <c r="E162" s="288"/>
      <c r="F162" s="288"/>
      <c r="G162" s="288"/>
      <c r="H162" s="288"/>
      <c r="I162" s="90">
        <f>SUM(I4:I161)</f>
        <v>12387924.58</v>
      </c>
      <c r="J162" s="90">
        <f>SUM(J4:J161)</f>
        <v>12200791.970000001</v>
      </c>
      <c r="L162" s="356"/>
      <c r="M162" s="356"/>
    </row>
    <row r="163" spans="1:13" ht="13.5" thickTop="1" x14ac:dyDescent="0.2">
      <c r="L163" s="359"/>
      <c r="M163" s="359"/>
    </row>
    <row r="164" spans="1:13" x14ac:dyDescent="0.2">
      <c r="I164" s="101">
        <f>+I162-'Op Detail'!J1</f>
        <v>0</v>
      </c>
    </row>
  </sheetData>
  <sortState ref="B3:L160">
    <sortCondition ref="B155"/>
  </sortState>
  <mergeCells count="9">
    <mergeCell ref="A60:A85"/>
    <mergeCell ref="A86:A155"/>
    <mergeCell ref="A156:A161"/>
    <mergeCell ref="D1:H1"/>
    <mergeCell ref="A4:A6"/>
    <mergeCell ref="A7:A28"/>
    <mergeCell ref="A29:A55"/>
    <mergeCell ref="A56:A57"/>
    <mergeCell ref="A58:A59"/>
  </mergeCells>
  <hyperlinks>
    <hyperlink ref="I7" location="'Op%20Detail'!D1317" display="'Op%20Detail'!D1317"/>
    <hyperlink ref="I19" location="'Op%20Detail'!A196" display="'Op%20Detail'!A196"/>
    <hyperlink ref="I10" location="'Op%20Detail'!D1328" display="'Op%20Detail'!D1328"/>
    <hyperlink ref="I156" location="'Op%20Detail'!D3635" display="'Op%20Detail'!D3635"/>
    <hyperlink ref="I129" location="'Op%20Detail'!D4872" display="'Op%20Detail'!D4872"/>
    <hyperlink ref="I54" location="'Op%20Detail'!A6144" display="'Op%20Detail'!A6144"/>
    <hyperlink ref="I101" location="'Op%20Detail'!A6078" display="'Op%20Detail'!A6078"/>
    <hyperlink ref="I105" location="'Op%20Detail'!A6033" display="'Op%20Detail'!A6033"/>
    <hyperlink ref="I111" location="'Op%20Detail'!E3527" display="'Op%20Detail'!E3527"/>
    <hyperlink ref="I154" location="'Op%20Detail'!F3523" display="'Op%20Detail'!F3523"/>
    <hyperlink ref="I158" location="'Op%20Detail'!E6015" display="'Op%20Detail'!E6015"/>
    <hyperlink ref="I35" location="'Op%20Detail'!A496" display="'Op%20Detail'!A496"/>
    <hyperlink ref="I14" location="'Op%20Detail'!A5983" display="'Op%20Detail'!A5983"/>
    <hyperlink ref="I118" location="'Op%20Detail'!A5943" display="'Op%20Detail'!A5943"/>
    <hyperlink ref="I141" location="'Op%20Detail'!A5902" display="'Op%20Detail'!A5902"/>
    <hyperlink ref="I100" location="'Op%20Detail'!A5868" display="'Op%20Detail'!A5868"/>
    <hyperlink ref="I107" location="'Op%20Detail'!A5801" display="'Op%20Detail'!A5801"/>
    <hyperlink ref="I139" location="'Op%20Detail'!A5761" display="'Op%20Detail'!A5761"/>
    <hyperlink ref="I86" location="'Op%20Detail'!A5759" display="'Op%20Detail'!A5759"/>
    <hyperlink ref="I33" location="'Op%20Detail'!A2119" display="'Op%20Detail'!A2119"/>
    <hyperlink ref="I36" location="'Op%20Detail'!A2081" display="'Op%20Detail'!A2081"/>
    <hyperlink ref="I41" location="'Op%20Detail'!A5704" display="'Op%20Detail'!A5704"/>
    <hyperlink ref="I53" location="'Op%20Detail'!A5629" display="'Op%20Detail'!A5629"/>
    <hyperlink ref="I32" location="'Op%20Detail'!A5515" display="'Op%20Detail'!A5515"/>
    <hyperlink ref="I37" location="'Op%20Detail'!A5340" display="'Op%20Detail'!A5340"/>
    <hyperlink ref="I44" location="'Op%20Detail'!A5401" display="'Op%20Detail'!A5401"/>
    <hyperlink ref="I34" location="'Op%20Detail'!A5289" display="'Op%20Detail'!A5289"/>
    <hyperlink ref="I28" location="'Op%20Detail'!D1675" display="'Op%20Detail'!D1675"/>
    <hyperlink ref="I18" location="'Op%20Detail'!D1432" display="'Op%20Detail'!D1432"/>
    <hyperlink ref="I25" location="'Op%20Detail'!D1443" display="'Op%20Detail'!D1443"/>
    <hyperlink ref="I161" location="'Op%20Detail'!D1698" display="'Op%20Detail'!D1698"/>
    <hyperlink ref="I51" location="'Op%20Detail'!D4226" display="'Op%20Detail'!D4226"/>
    <hyperlink ref="I92" location="'Op%20Detail'!D1834" display="'Op%20Detail'!D1834"/>
    <hyperlink ref="I8" location="'Op%20Detail'!D4355" display="'Op%20Detail'!D4355"/>
    <hyperlink ref="I97" location="'Op%20Detail'!D3602" display="'Op%20Detail'!D3602"/>
    <hyperlink ref="I104" location="'Op%20Detail'!D4785" display="'Op%20Detail'!D4785"/>
    <hyperlink ref="I69" location="'Op%20Detail'!D3420" display="'Op%20Detail'!D3420"/>
    <hyperlink ref="I126" location="'Op%20Detail'!D3724" display="'Op%20Detail'!D3724"/>
    <hyperlink ref="I112" location="'Op%20Detail'!D1799" display="'Op%20Detail'!D1799"/>
    <hyperlink ref="I151" location="'Op%20Detail'!A1741" display="'Op%20Detail'!A1741"/>
    <hyperlink ref="I26" location="'Op%20Detail'!D1576" display="'Op%20Detail'!D1576"/>
    <hyperlink ref="I15" location="'Op%20Detail'!D1653" display="'Op%20Detail'!D1653"/>
    <hyperlink ref="I22" location="'Op%20Detail'!D1642" display="'Op%20Detail'!D1642"/>
    <hyperlink ref="I24" location="'Op%20Detail'!D1631" display="'Op%20Detail'!D1631"/>
    <hyperlink ref="I160" location="'Op%20Detail'!D1618" display="'Op%20Detail'!D1618"/>
    <hyperlink ref="I6" location="'Op%20Detail'!D45" display="'Op%20Detail'!D45"/>
    <hyperlink ref="I4" location="'Op%20Detail'!D15" display="'Op%20Detail'!D15"/>
    <hyperlink ref="I16" location="'Op%20Detail'!D1400" display="'Op%20Detail'!D1400"/>
    <hyperlink ref="I21" location="'Op%20Detail'!D1389" display="'Op%20Detail'!D1389"/>
    <hyperlink ref="I13" location="'Op%20Detail'!D1306" display="'Op%20Detail'!D1306"/>
    <hyperlink ref="I27" location="'Op%20Detail'!D69" display="'Op%20Detail'!D69"/>
    <hyperlink ref="I20" location="'Op%20Detail'!D166" display="'Op%20Detail'!D166"/>
    <hyperlink ref="I23" location="'Op%20Detail'!D1374" display="'Op%20Detail'!D1374"/>
    <hyperlink ref="I9" location="'Op%20Detail'!D134" display="'Op%20Detail'!D134"/>
    <hyperlink ref="I11" location="'Op%20Detail'!D1416" display="'Op%20Detail'!D1416"/>
    <hyperlink ref="I17" location="'Op%20Detail'!D4105" display="'Op%20Detail'!D4105"/>
    <hyperlink ref="I29" location="'Op%20Detail'!D3460" display="'Op%20Detail'!D3460"/>
    <hyperlink ref="I67" location="'Op%20Detail'!D4383" display="'Op%20Detail'!D4383"/>
    <hyperlink ref="I64" location="'Op%20Detail'!D4535" display="'Op%20Detail'!D4535"/>
    <hyperlink ref="I68" location="'Op%20Detail'!D4557" display="'Op%20Detail'!D4557"/>
    <hyperlink ref="I82" location="'Op%20Detail'!D4574" display="'Op%20Detail'!D4574"/>
    <hyperlink ref="I110" location="'Op%20Detail'!D4697" display="'Op%20Detail'!D4697"/>
    <hyperlink ref="I77" location="'Op%20Detail'!D5204" display="'Op%20Detail'!D5204"/>
    <hyperlink ref="I85" location="'Op%20Detail'!D1492" display="'Op%20Detail'!D1492"/>
    <hyperlink ref="I136" location="'Op%20Detail'!D2837" display="'Op%20Detail'!D2837"/>
    <hyperlink ref="I142" location="'Op%20Detail'!D3042" display="'Op%20Detail'!D3042"/>
    <hyperlink ref="I122" location="'Op%20Detail'!D3017" display="'Op%20Detail'!D3017"/>
    <hyperlink ref="I121" location="'Op%20Detail'!F2995" display="'Op%20Detail'!F2995"/>
    <hyperlink ref="I138" location="'Op%20Detail'!D3094" display="'Op%20Detail'!D3094"/>
    <hyperlink ref="I137" location="'Op%20Detail'!D3159" display="'Op%20Detail'!D3159"/>
    <hyperlink ref="I98" location="'Op%20Detail'!D3132" display="'Op%20Detail'!D3132"/>
    <hyperlink ref="I130" location="'Op%20Detail'!D3105" display="'Op%20Detail'!D3105"/>
    <hyperlink ref="I95" location="'Op%20Detail'!D3079" display="'Op%20Detail'!D3079"/>
    <hyperlink ref="I108" location="'Op%20Detail'!D4899" display="'Op%20Detail'!D4899"/>
    <hyperlink ref="I123" location="'Op%20Detail'!D5126" display="'Op%20Detail'!D5126"/>
    <hyperlink ref="I132" location="'Op%20Detail'!D2253" display="'Op%20Detail'!D2253"/>
    <hyperlink ref="I91" location="'Op%20Detail'!D2188" display="'Op%20Detail'!D2188"/>
    <hyperlink ref="I148" location="'Op%20Detail'!D2215" display="'Op%20Detail'!D2215"/>
    <hyperlink ref="I128" location="'Op%20Detail'!D2926" display="'Op%20Detail'!D2926"/>
    <hyperlink ref="I119" location="'Op%20Detail'!D2312" display="'Op%20Detail'!D2312"/>
    <hyperlink ref="I125" location="'Op%20Detail'!D2002" display="'Op%20Detail'!D2002"/>
    <hyperlink ref="I109" location="'Op%20Detail'!D5168" display="'Op%20Detail'!D5168"/>
    <hyperlink ref="I143" location="'Op%20Detail'!D2274" display="'Op%20Detail'!D2274"/>
    <hyperlink ref="I135" location="'Op%20Detail'!D2899" display="'Op%20Detail'!D2899"/>
    <hyperlink ref="I144" location="'Op%20Detail'!F2955" display="'Op%20Detail'!F2955"/>
    <hyperlink ref="I124" location="'Op%20Detail'!D1976" display="'Op%20Detail'!D1976"/>
    <hyperlink ref="I150" location="'Op%20Detail'!D3966" display="'Op%20Detail'!D3966"/>
    <hyperlink ref="I106" location="'Op%20Detail'!D4036" display="'Op%20Detail'!D4036"/>
    <hyperlink ref="I99" location="'Op%20Detail'!D3492" display="'Op%20Detail'!D3492"/>
    <hyperlink ref="I145" location="'Op%20Detail'!D5084" display="'Op%20Detail'!D5084"/>
    <hyperlink ref="I146" location="'Op%20Detail'!D5054" display="'Op%20Detail'!D5054"/>
    <hyperlink ref="I114" location="'Op%20Detail'!D5038" display="'Op%20Detail'!D5038"/>
    <hyperlink ref="I140" location="'Op%20Detail'!D2044" display="'Op%20Detail'!D2044"/>
    <hyperlink ref="I117" location="'Op%20Detail'!D5002" display="'Op%20Detail'!D5002"/>
    <hyperlink ref="I155" location="'Op%20Detail'!D2157" display="'Op%20Detail'!D2157"/>
    <hyperlink ref="I50" location="'Op%20Detail'!D3411" display="'Op%20Detail'!D3411"/>
    <hyperlink ref="I57" location="'Op%20Detail'!D3333" display="'Op%20Detail'!D3333"/>
    <hyperlink ref="I59" location="'Op%20Detail'!D3362" display="'Op%20Detail'!D3362"/>
    <hyperlink ref="I58" location="'Op%20Detail'!D2648" display="'Op%20Detail'!D2648"/>
    <hyperlink ref="I43" location="'Op%20Detail'!G4131" display="'Op%20Detail'!G4131"/>
    <hyperlink ref="I56" location="'Op%20Detail'!D2409" display="'Op%20Detail'!D2409"/>
    <hyperlink ref="I61" location="'Op%20Detail'!D4444" display="'Op%20Detail'!D4444"/>
    <hyperlink ref="I31" location="'Op%20Detail'!A1779" display="'Op%20Detail'!A1779"/>
    <hyperlink ref="I116" location="'Op%20Detail'!F3052" display="'Op%20Detail'!F3052"/>
    <hyperlink ref="I103" location="'Op%20Detail'!F1903" display="'Op%20Detail'!F1903"/>
    <hyperlink ref="I131" location="'Op%20Detail'!F3632" display="'Op%20Detail'!F3632"/>
    <hyperlink ref="I102" location="'Op%20Detail'!F3602" display="'Op%20Detail'!F3602"/>
    <hyperlink ref="I87" location="'Op%20Detail'!F3667" display="'Op%20Detail'!F3667"/>
    <hyperlink ref="I96" location="'Op%20Detail'!G1941" display="'Op%20Detail'!G1941"/>
    <hyperlink ref="I72" location="'Op%20Detail'!D4660" display="'Op%20Detail'!D4660"/>
    <hyperlink ref="I76" location="'Op%20Detail'!D4616" display="'Op%20Detail'!D4616"/>
    <hyperlink ref="I152" location="'Op%20Detail'!D3698" display="'Op%20Detail'!D3698"/>
    <hyperlink ref="I94" location="'Op%20Detail'!D3635" display="'Op%20Detail'!D3635"/>
    <hyperlink ref="I89" location="'Op%20Detail'!D1730" display="'Op%20Detail'!D1730"/>
    <hyperlink ref="I93" location="'Op%20Detail'!D3601" display="'Op%20Detail'!D3601"/>
    <hyperlink ref="I88" location="'Op%20Detail'!D3667" display="'Op%20Detail'!D3667"/>
    <hyperlink ref="I90" location="'Op%20Detail'!D3755" display="'Op%20Detail'!D3755"/>
    <hyperlink ref="I115" location="'Op%20Detail'!D5190" display="'Op%20Detail'!D5190"/>
    <hyperlink ref="I153" location="'Op%20Detail'!D5219" display="'Op%20Detail'!D5219"/>
    <hyperlink ref="I12" location="'Op%20Detail'!D1351" display="'Op%20Detail'!D1351"/>
    <hyperlink ref="I52" location="'Op%20Detail'!D1262" display="'Op%20Detail'!D1262"/>
    <hyperlink ref="I30" location="'Op%20Detail'!D334" display="'Op%20Detail'!D334"/>
    <hyperlink ref="I40" location="'Op%20Detail'!D409" display="'Op%20Detail'!D409"/>
    <hyperlink ref="I48" location="'Op%20Detail'!D1168" display="'Op%20Detail'!D1168"/>
    <hyperlink ref="I49" location="'Op%20Detail'!D1140" display="'Op%20Detail'!D1140"/>
    <hyperlink ref="I62" location="'Op%20Detail'!D4434" display="'Op%20Detail'!D4434"/>
    <hyperlink ref="I55" location="'Op%20Detail'!D250" display="'Op%20Detail'!D250"/>
    <hyperlink ref="I38" location="'Op%20Detail'!D281" display="'Op%20Detail'!D281"/>
    <hyperlink ref="I39" location="'Op%20Detail'!D306" display="'Op%20Detail'!D306"/>
    <hyperlink ref="I78" location="'Op%20Detail'!D4974" display="'Op%20Detail'!D4974"/>
    <hyperlink ref="I81" location="'Op%20Detail'!D4407" display="'Op%20Detail'!D4407"/>
    <hyperlink ref="I66" location="'Op%20Detail'!D4927" display="'Op%20Detail'!D4927"/>
    <hyperlink ref="I65" location="'Op%20Detail'!F4620" display="'Op%20Detail'!F4620"/>
    <hyperlink ref="I47" location="'Op%20Detail'!D374" display="'Op%20Detail'!D374"/>
    <hyperlink ref="I45" location="'Op%20Detail'!D228" display="'Op%20Detail'!D228"/>
    <hyperlink ref="I46" location="'Op%20Detail'!D433" display="'Op%20Detail'!D433"/>
    <hyperlink ref="I149" location="'Op%20Detail'!D4084" display="'Op%20Detail'!D4084"/>
    <hyperlink ref="I134" location="'Op%20Detail'!D4839" display="'Op%20Detail'!D4839"/>
    <hyperlink ref="I133" location="'Op%20Detail'!D4755" display="'Op%20Detail'!D4755"/>
    <hyperlink ref="I127" location="'Op%20Detail'!D4003" display="'Op%20Detail'!D4003"/>
    <hyperlink ref="I147" location="'Op%20Detail'!G3540" display="'Op%20Detail'!G3540"/>
    <hyperlink ref="I63" location="'Op%20Detail'!D1573" display="'Op%20Detail'!D1573"/>
    <hyperlink ref="I74" location="'Op%20Detail'!D1462" display="'Op%20Detail'!D1462"/>
    <hyperlink ref="I42" location="'Op%20Detail'!D4151" display="'Op%20Detail'!D4151"/>
    <hyperlink ref="I70" location="'Op%20Detail'!G3478" display="'Op%20Detail'!G3478"/>
    <hyperlink ref="I79" location="'Op%20Detail'!D4703" display="'Op%20Detail'!D4703"/>
    <hyperlink ref="I73" location="'Op%20Detail'!D4872" display="'Op%20Detail'!D4872"/>
    <hyperlink ref="I71" location="'Op%20Detail'!D1517" display="'Op%20Detail'!D1517"/>
    <hyperlink ref="I159" location="'Op%20Detail'!D1295" display="'Op%20Detail'!D1295"/>
    <hyperlink ref="I157" location="'Op%20Detail'!D1220" display="'Op%20Detail'!D1220"/>
    <hyperlink ref="I75" location="'Op%20Detail'!D1190" display="'Op%20Detail'!D1190"/>
    <hyperlink ref="I83" location="'Op%20Detail'!A90" display="'Op%20Detail'!A90"/>
    <hyperlink ref="I60" location="'Op%20Detail'!D4958" display="'Op%20Detail'!D4958"/>
  </hyperlinks>
  <printOptions horizontalCentered="1"/>
  <pageMargins left="0.7" right="0.7" top="0.5" bottom="0.5" header="0.3" footer="0.3"/>
  <pageSetup scale="75" fitToHeight="4" orientation="portrait" r:id="rId1"/>
  <headerFooter alignWithMargins="0">
    <oddHeader>&amp;C&amp;"Arial,Bold"&amp;10SOUTHWEST TEXAS JUNIOR COLLEGEFY 2009 OPERATING BUDGET DETAILTABLE OF CONTENTS</oddHeader>
  </headerFooter>
  <rowBreaks count="1" manualBreakCount="1">
    <brk id="8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8">
    <tabColor indexed="22"/>
  </sheetPr>
  <dimension ref="A1:Q6707"/>
  <sheetViews>
    <sheetView view="pageBreakPreview" zoomScale="80" zoomScaleSheetLayoutView="80" workbookViewId="0"/>
  </sheetViews>
  <sheetFormatPr defaultRowHeight="15" x14ac:dyDescent="0.2"/>
  <cols>
    <col min="1" max="1" width="12.44140625" style="13" customWidth="1"/>
    <col min="2" max="2" width="1.6640625" style="13" hidden="1" customWidth="1"/>
    <col min="3" max="3" width="26" style="13" customWidth="1"/>
    <col min="4" max="4" width="12.21875" style="13" customWidth="1"/>
    <col min="5" max="5" width="13.5546875" style="13" customWidth="1"/>
    <col min="6" max="6" width="12.5546875" style="330" customWidth="1"/>
    <col min="7" max="7" width="11.6640625" style="13" customWidth="1"/>
    <col min="8" max="8" width="12.6640625" style="13" customWidth="1"/>
    <col min="9" max="9" width="12.6640625" style="173" bestFit="1" customWidth="1"/>
    <col min="10" max="10" width="14.33203125" style="15" customWidth="1"/>
    <col min="11" max="11" width="10.88671875" style="15" customWidth="1"/>
    <col min="12" max="12" width="12.88671875" style="13" customWidth="1"/>
    <col min="13" max="13" width="9.44140625" style="13" bestFit="1" customWidth="1"/>
    <col min="14" max="14" width="11.44140625" style="13" customWidth="1"/>
    <col min="15" max="15" width="8.88671875" style="13"/>
    <col min="16" max="16" width="14.44140625" style="13" customWidth="1"/>
    <col min="17" max="16384" width="8.88671875" style="13"/>
  </cols>
  <sheetData>
    <row r="1" spans="1:17" x14ac:dyDescent="0.2">
      <c r="A1" s="334"/>
      <c r="B1" s="380"/>
      <c r="C1" s="334"/>
      <c r="D1" s="380"/>
      <c r="E1" s="380"/>
      <c r="F1" s="378"/>
      <c r="G1" s="380"/>
      <c r="H1" s="380"/>
      <c r="I1" s="381"/>
      <c r="J1" s="382">
        <f>+D22+D50+D76+D106+D144+D179+D214+D250+D272+D303+D330+D359+D400+D435+D477+D522+E522+F522+H522+D567+E567+F567+H567+D611+E611+F611+H611+D654+E654+F654+H654+D697+E697+F697+H697+D741+E741+F741+H741+D786+E786+F786+H786+D830+E830+F830+H830+D874+E874+F874+H874+D918+E918+F918+H918+D963+E963+F963+H963+D1007+E1007+F1007+H1007+D1050+E1050+F1050+H1050+D1093+E1093+F1093+H1093+D1136+E1136+F1136+H1136+D1173+D1202+D1234+D1265+D1298+D1331+D1343+D1355+D1367+D1391+D1414+D1429+D1441+D1457+D1475+D1486+D1517+D1538+D1572+D1604+E1604+D1631+D1665+D1678+D1691+D1702+D1713+D1724+D1748+D1758+D1791+D1835+D1863+E1863+D1899+D1932+D1953+D1980+D2021+D2054+D2079+D2095+D2122+D2148+E2148+F2148+H2148+D2188+E2188+F2188+H2188+D2209+D2220+D2252+D2283+D2310+D2348+D2369+D2407+E2407+F2407+H2407+D2443+E2443+F2443+H2443+D2491+E2491+F2491+G2491+H2491+D2533+E2533+F2533+H2533+D2573+E2573+F2573+H2573+D2614+E2614+F2614+H2614+D2656+E2656+F2656+H2656+D2702+E2702+F2702+H2702+D2748+E2748+F2748+H2748+D2790+E2790+F2790+H2790+D2831+E2831+F2831+H2831+D2879+E2879+F2879+H2879+D2921+E2921+F2921+H2921+D2962+E2962+F2962+H2962+D2982+D3009+D3039+D3076+D3096+E3096+D3131+D3158+D3185+D3215+D3241+D3266+D3291+D3320+D3343+D3390+D3435+D3470+E3470+F3470+H3470+D3499+E3499+F3499+D3524+D3562+E3562+D3600+E3600+F3600+G3600+D3640+E3640+F3640+D3668+D3685+D3722+E3722+D3753+E3753+D3791+E3791+D3819+D3850+D3885+E3885+D3922+D3956+D3993+D4025+D4059+D4092+E4092+D4129+E4129+D4167+D4210+D4252+E4252+F4252+D4280+D4307+D4333+D4359+D4385+D4411+D4437+D4454+D4465+D4494+D4519+D4548+D4590+D4619+D4648+D4662+E4662+D4690+E4690+F4690+D4718+E4718+F4718+D4734+E4734+F4734+D4757+E4757+F4757+D4780+D4799+D4838+D4866+D4889+D4920+D4951+D4979+D5007+D5045+D5075+D5111+D5131+D5146+D5173+D5195+D5226+D5256+D5283+D5310+D5341+D5363+D5396+D5427+D5465+E5465+F5465+H5465+D5502+E5502+D5540+E5540+F5540+H5540+E5576+D5615+E5615+F5615+H5615+D5653+E5653+D5691+E5691+F5691+H5691+D5729+E5729+F5729+H5729+D5767+E5767+F5767+D5805+E5805+F5805+H5805+D5843+E5843+F5843+H5843+D5880+E5880+F5880+D5923+D5965+D6007+D6048+D6089+D6130+D6141+E6141+F6141+E6177+D6219+D6263+D6306+D6357+D6387+D6399+D6410+D6435+E6435+F6435+H6435+D6460+E6460+F6460+H6460+D6499+E6499+F6499+D6538+E6538+F6538+H6538+D6578+D6602+D6641+D6657+D6668</f>
        <v>12387924.58</v>
      </c>
      <c r="K1" s="382"/>
      <c r="L1" s="380"/>
      <c r="M1" s="380"/>
      <c r="N1" s="380"/>
      <c r="O1" s="380"/>
      <c r="P1" s="382">
        <f>+J22+J50+J76+J106+J144+J179+J214+J250+J272+J303+J330+J359+J400+J435+J477+J522+K522+L522+N522+J567+K567+L567+N567+J611+K611+L611+N611+J654+K654+L654+N654+J697+K697+L697+N697+J741+K741+L741+N741+J786+K786+L786+N786+J830+K830+L830+N830+J874+K874+L874+N874+J918+K918+L918+N918+J963+K963+L963+N963+J1007+K1007+L1007+N1007+J1050+K1050+L1050+N1050+J1093+K1093+L1093+N1093+J1136+K1136+L1136+N1136+J1173+J1202+J1234+J1265+J1298+J1331+J1343+J1355+J1367+J1391+J1414+J1429+J1441+J1457+J1475+J1486+J1517+J1538+J1572+J1604+K1604+J1631+J1665+J1678+J1691+J1702+J1713+J1724+J1748+J1758+J1791+J1835+J1863+K1863+J1899+J1932+J1953+J1980+J2021+J2054+J2079+J2095+J2122+J2148+K2148+L2148+N2148+J2188+K2188+L2188+N2188+J2209+J2220+J2252+J2283+J2310+J2348+J2369+J2407+K2407+L2407+N2407+J2443+K2443+L2443+N2443+J2491+K2491+L2491+M2491+N2491+J2533+K2533+L2533+N2533+J2573+K2573+L2573+N2573+J2614+K2614+L2614+N2614+J2656+K2656+L2656+N2656+J2702+K2702+L2702+N2702+J2748+K2748+L2748+N2748+J2790+K2790+L2790+N2790+J2831+K2831+L2831+N2831+J2879+K2879+L2879+N2879+J2921+K2921+L2921+N2921+J2962+K2962+L2962+N2962+J2982+J3009+J3039+J3076+J3096+K3096+J3131+J3158+J3185+J3215+J3241+J3266+J3291+J3320+J3343+J3390+J3435+J3470+K3470+L3470+N3470+J3499+K3499+L3499+J3524+J3562+K3562+J3600+K3600+L3600+M3600+J3640+K3640+L3640+J3668+J3685+J3722+K3722+J3753+K3753+J3791+K3791+J3819+J3850+J3885+K3885+J3922+J3956+J3993+J4025+J4059+J4092+K4092+J4129+K4129+J4167+J4210+J4252+K4252+L4252+J4280+J4307+J4333+J4359+J4385+J4411+J4437+J4454+J4465+J4494+J4519+J4548+J4590+J4619+J4648+J4662+K4662+J4690+K4690+L4690+J4718+K4718+L4718+J4734+K4734+L4734+J4757+K4757+L4757+J4780+J4799+J4838+J4866+J4889+J4920+J4951+J4979+J5007+J5045+J5075+J5111+J5131+J5146+J5173+J5195+J5226+J5256+J5283+J5310+J5341+J5363+J5396+J5427+J5465+K5465+L5465+N5465+J5502+K5502+J5540+K5540+L5540+N5540+K5576+J5615+K5615+L5615+N5615+J5653+K5653+J5691+K5691+L5691+N5691+J5729+K5729+L5729+N5729+J5767+K5767+L5767+J5805+K5805+L5805+N5805+J5843+K5843+L5843+N5843+J5880+K5880+L5880+J5923+J5965+J6007+J6048+J6089+J6130+J6141+K6141+L6141+K6177+J6219+J6263+J6306+J6357+J6387+J6399+J6410+J6435+K6435+L6435+N6435+J6460+K6460+L6460+N6460+J6499+K6499+L6499+J6538+K6538+L6538+N6538+J6578+J6602+J6641+J6657+J6668</f>
        <v>12200791.970000001</v>
      </c>
      <c r="Q1" s="380"/>
    </row>
    <row r="2" spans="1:17" x14ac:dyDescent="0.2">
      <c r="A2" s="334" t="s">
        <v>1722</v>
      </c>
      <c r="B2" s="380"/>
      <c r="C2" s="380"/>
      <c r="D2" s="380"/>
      <c r="E2" s="380"/>
      <c r="F2" s="378"/>
      <c r="G2" s="380"/>
      <c r="H2" s="380"/>
      <c r="I2" s="383"/>
      <c r="J2" s="382"/>
      <c r="K2" s="382"/>
      <c r="L2" s="380"/>
      <c r="M2" s="380"/>
      <c r="N2" s="380"/>
      <c r="O2" s="380"/>
      <c r="P2" s="380">
        <f>+P1-'Op Detail TOC-old'!J161</f>
        <v>0</v>
      </c>
      <c r="Q2" s="380"/>
    </row>
    <row r="3" spans="1:17" x14ac:dyDescent="0.2">
      <c r="A3" s="380"/>
      <c r="B3" s="380"/>
      <c r="C3" s="384" t="s">
        <v>2197</v>
      </c>
      <c r="D3" s="380"/>
      <c r="E3" s="380"/>
      <c r="F3" s="378"/>
      <c r="G3" s="380"/>
      <c r="H3" s="380"/>
      <c r="I3" s="383"/>
      <c r="J3" s="382"/>
      <c r="K3" s="382"/>
      <c r="L3" s="380"/>
      <c r="M3" s="380"/>
      <c r="N3" s="380"/>
      <c r="O3" s="380"/>
      <c r="P3" s="380"/>
      <c r="Q3" s="334"/>
    </row>
    <row r="4" spans="1:17" x14ac:dyDescent="0.2">
      <c r="A4" s="380"/>
      <c r="B4" s="380"/>
      <c r="C4" s="380"/>
      <c r="D4" s="380"/>
      <c r="E4" s="380"/>
      <c r="F4" s="378"/>
      <c r="G4" s="380"/>
      <c r="H4" s="380"/>
      <c r="I4" s="383"/>
      <c r="J4" s="382"/>
      <c r="K4" s="382"/>
      <c r="L4" s="380"/>
      <c r="M4" s="380"/>
      <c r="N4" s="380"/>
      <c r="O4" s="380"/>
      <c r="P4" s="380">
        <f>SUM(P2:P3)</f>
        <v>0</v>
      </c>
      <c r="Q4" s="380"/>
    </row>
    <row r="5" spans="1:17" x14ac:dyDescent="0.2">
      <c r="A5" s="334" t="s">
        <v>1723</v>
      </c>
      <c r="B5" s="380"/>
      <c r="C5" s="385" t="s">
        <v>1880</v>
      </c>
      <c r="D5" s="334" t="s">
        <v>181</v>
      </c>
      <c r="E5" s="380"/>
      <c r="F5" s="380"/>
      <c r="G5" s="380"/>
      <c r="H5" s="380"/>
      <c r="I5" s="383"/>
      <c r="J5" s="334" t="s">
        <v>181</v>
      </c>
      <c r="K5" s="382"/>
      <c r="L5" s="380"/>
      <c r="M5" s="380"/>
      <c r="N5" s="380"/>
      <c r="O5" s="380"/>
      <c r="P5" s="380"/>
      <c r="Q5" s="380"/>
    </row>
    <row r="6" spans="1:17" x14ac:dyDescent="0.2">
      <c r="A6" s="380"/>
      <c r="B6" s="380"/>
      <c r="C6" s="380"/>
      <c r="D6" s="380"/>
      <c r="E6" s="380"/>
      <c r="F6" s="380"/>
      <c r="G6" s="380"/>
      <c r="H6" s="380"/>
      <c r="I6" s="383"/>
      <c r="J6" s="380"/>
      <c r="K6" s="382"/>
      <c r="L6" s="380"/>
      <c r="M6" s="380"/>
      <c r="N6" s="380"/>
      <c r="O6" s="380"/>
      <c r="P6" s="380"/>
      <c r="Q6" s="380"/>
    </row>
    <row r="7" spans="1:17" x14ac:dyDescent="0.2">
      <c r="A7" s="334" t="s">
        <v>1724</v>
      </c>
      <c r="B7" s="380"/>
      <c r="C7" s="334" t="s">
        <v>1881</v>
      </c>
      <c r="D7" s="386">
        <v>400</v>
      </c>
      <c r="E7" s="384"/>
      <c r="F7" s="334"/>
      <c r="G7" s="334"/>
      <c r="H7" s="384"/>
      <c r="I7" s="387"/>
      <c r="J7" s="388">
        <v>400</v>
      </c>
      <c r="K7" s="382"/>
      <c r="L7" s="380"/>
      <c r="M7" s="380"/>
      <c r="N7" s="380"/>
      <c r="O7" s="380"/>
      <c r="P7" s="380"/>
      <c r="Q7" s="380"/>
    </row>
    <row r="8" spans="1:17" x14ac:dyDescent="0.2">
      <c r="A8" s="389" t="s">
        <v>1736</v>
      </c>
      <c r="B8" s="380"/>
      <c r="C8" s="334" t="s">
        <v>1747</v>
      </c>
      <c r="D8" s="386">
        <v>1350</v>
      </c>
      <c r="E8" s="384"/>
      <c r="F8" s="390"/>
      <c r="G8" s="390"/>
      <c r="H8" s="389"/>
      <c r="I8" s="387"/>
      <c r="J8" s="388">
        <v>1350</v>
      </c>
      <c r="K8" s="382"/>
      <c r="L8" s="380"/>
      <c r="M8" s="380"/>
      <c r="N8" s="380"/>
      <c r="O8" s="380"/>
      <c r="P8" s="380"/>
      <c r="Q8" s="380"/>
    </row>
    <row r="9" spans="1:17" x14ac:dyDescent="0.2">
      <c r="A9" s="334" t="s">
        <v>1725</v>
      </c>
      <c r="B9" s="380"/>
      <c r="C9" s="334" t="s">
        <v>1890</v>
      </c>
      <c r="D9" s="386">
        <v>500</v>
      </c>
      <c r="E9" s="384"/>
      <c r="F9" s="334"/>
      <c r="G9" s="334"/>
      <c r="H9" s="384"/>
      <c r="I9" s="387"/>
      <c r="J9" s="388">
        <v>500</v>
      </c>
      <c r="K9" s="382"/>
      <c r="L9" s="380"/>
      <c r="M9" s="380"/>
      <c r="N9" s="380"/>
      <c r="O9" s="380"/>
      <c r="P9" s="380"/>
      <c r="Q9" s="380"/>
    </row>
    <row r="10" spans="1:17" x14ac:dyDescent="0.2">
      <c r="A10" s="334" t="s">
        <v>1726</v>
      </c>
      <c r="B10" s="380"/>
      <c r="C10" s="334" t="s">
        <v>1117</v>
      </c>
      <c r="D10" s="386">
        <v>0</v>
      </c>
      <c r="E10" s="384"/>
      <c r="F10" s="334"/>
      <c r="G10" s="334"/>
      <c r="H10" s="384"/>
      <c r="I10" s="387"/>
      <c r="J10" s="388">
        <v>0</v>
      </c>
      <c r="K10" s="382"/>
      <c r="L10" s="380"/>
      <c r="M10" s="380"/>
      <c r="N10" s="380"/>
      <c r="O10" s="380"/>
      <c r="P10" s="380"/>
      <c r="Q10" s="380"/>
    </row>
    <row r="11" spans="1:17" x14ac:dyDescent="0.2">
      <c r="A11" s="391" t="s">
        <v>940</v>
      </c>
      <c r="B11" s="380"/>
      <c r="C11" s="392" t="s">
        <v>941</v>
      </c>
      <c r="D11" s="386">
        <v>33500</v>
      </c>
      <c r="E11" s="384"/>
      <c r="F11" s="391"/>
      <c r="G11" s="391"/>
      <c r="H11" s="384"/>
      <c r="I11" s="387"/>
      <c r="J11" s="388">
        <v>0</v>
      </c>
      <c r="K11" s="382"/>
      <c r="L11" s="380"/>
      <c r="M11" s="380"/>
      <c r="N11" s="380"/>
      <c r="O11" s="380"/>
      <c r="P11" s="380"/>
      <c r="Q11" s="380"/>
    </row>
    <row r="12" spans="1:17" x14ac:dyDescent="0.2">
      <c r="A12" s="391" t="s">
        <v>1738</v>
      </c>
      <c r="B12" s="380"/>
      <c r="C12" s="334" t="s">
        <v>1591</v>
      </c>
      <c r="D12" s="386">
        <v>250</v>
      </c>
      <c r="E12" s="384"/>
      <c r="F12" s="391"/>
      <c r="G12" s="391"/>
      <c r="H12" s="384"/>
      <c r="I12" s="387"/>
      <c r="J12" s="388">
        <v>250</v>
      </c>
      <c r="K12" s="382"/>
      <c r="L12" s="380"/>
      <c r="M12" s="380"/>
      <c r="N12" s="380"/>
      <c r="O12" s="380"/>
      <c r="P12" s="380"/>
      <c r="Q12" s="380"/>
    </row>
    <row r="13" spans="1:17" x14ac:dyDescent="0.2">
      <c r="A13" s="334" t="s">
        <v>1727</v>
      </c>
      <c r="B13" s="380"/>
      <c r="C13" s="334" t="s">
        <v>307</v>
      </c>
      <c r="D13" s="386">
        <v>500</v>
      </c>
      <c r="E13" s="384"/>
      <c r="F13" s="334"/>
      <c r="G13" s="334"/>
      <c r="H13" s="384"/>
      <c r="I13" s="387"/>
      <c r="J13" s="388">
        <v>500</v>
      </c>
      <c r="K13" s="382"/>
      <c r="L13" s="380"/>
      <c r="M13" s="380"/>
      <c r="N13" s="380"/>
      <c r="O13" s="380"/>
      <c r="P13" s="380"/>
      <c r="Q13" s="380"/>
    </row>
    <row r="14" spans="1:17" x14ac:dyDescent="0.2">
      <c r="A14" s="334" t="s">
        <v>1728</v>
      </c>
      <c r="B14" s="380"/>
      <c r="C14" s="334" t="s">
        <v>310</v>
      </c>
      <c r="D14" s="386"/>
      <c r="E14" s="384"/>
      <c r="F14" s="334"/>
      <c r="G14" s="334"/>
      <c r="H14" s="384"/>
      <c r="I14" s="387"/>
      <c r="J14" s="388"/>
      <c r="K14" s="382"/>
      <c r="L14" s="380"/>
      <c r="M14" s="380"/>
      <c r="N14" s="380"/>
      <c r="O14" s="380"/>
      <c r="P14" s="380"/>
      <c r="Q14" s="380"/>
    </row>
    <row r="15" spans="1:17" x14ac:dyDescent="0.2">
      <c r="A15" s="334" t="s">
        <v>1729</v>
      </c>
      <c r="B15" s="380"/>
      <c r="C15" s="380" t="s">
        <v>1551</v>
      </c>
      <c r="D15" s="386">
        <f>-115000-1000</f>
        <v>-116000</v>
      </c>
      <c r="E15" s="384"/>
      <c r="F15" s="334"/>
      <c r="G15" s="334"/>
      <c r="H15" s="384"/>
      <c r="I15" s="387"/>
      <c r="J15" s="388"/>
      <c r="K15" s="382"/>
      <c r="L15" s="380"/>
      <c r="M15" s="380"/>
      <c r="N15" s="380"/>
      <c r="O15" s="380"/>
      <c r="P15" s="380"/>
      <c r="Q15" s="380"/>
    </row>
    <row r="16" spans="1:17" x14ac:dyDescent="0.2">
      <c r="A16" s="391" t="s">
        <v>1754</v>
      </c>
      <c r="B16" s="380"/>
      <c r="C16" s="334" t="s">
        <v>1929</v>
      </c>
      <c r="D16" s="386">
        <v>2000</v>
      </c>
      <c r="E16" s="384"/>
      <c r="F16" s="391"/>
      <c r="G16" s="391"/>
      <c r="H16" s="384"/>
      <c r="I16" s="387"/>
      <c r="J16" s="388">
        <v>2000</v>
      </c>
      <c r="K16" s="382"/>
      <c r="L16" s="380"/>
      <c r="M16" s="380"/>
      <c r="N16" s="380"/>
      <c r="O16" s="380"/>
      <c r="P16" s="380"/>
      <c r="Q16" s="380"/>
    </row>
    <row r="17" spans="1:17" x14ac:dyDescent="0.2">
      <c r="A17" s="391" t="s">
        <v>1584</v>
      </c>
      <c r="B17" s="380"/>
      <c r="C17" s="334" t="s">
        <v>0</v>
      </c>
      <c r="D17" s="386"/>
      <c r="E17" s="384"/>
      <c r="F17" s="391"/>
      <c r="G17" s="391"/>
      <c r="H17" s="384"/>
      <c r="I17" s="387"/>
      <c r="J17" s="388"/>
      <c r="K17" s="382"/>
      <c r="L17" s="380"/>
      <c r="M17" s="380"/>
      <c r="N17" s="380"/>
      <c r="O17" s="380"/>
      <c r="P17" s="380"/>
      <c r="Q17" s="380"/>
    </row>
    <row r="18" spans="1:17" x14ac:dyDescent="0.2">
      <c r="A18" s="334" t="s">
        <v>1730</v>
      </c>
      <c r="B18" s="380"/>
      <c r="C18" s="334" t="s">
        <v>1985</v>
      </c>
      <c r="D18" s="393">
        <v>1500</v>
      </c>
      <c r="E18" s="384"/>
      <c r="F18" s="334"/>
      <c r="G18" s="334"/>
      <c r="H18" s="384"/>
      <c r="I18" s="381"/>
      <c r="J18" s="334">
        <v>1500</v>
      </c>
      <c r="K18" s="382"/>
      <c r="L18" s="380"/>
      <c r="M18" s="380"/>
      <c r="N18" s="380"/>
      <c r="O18" s="380"/>
      <c r="P18" s="380"/>
      <c r="Q18" s="380"/>
    </row>
    <row r="19" spans="1:17" x14ac:dyDescent="0.2">
      <c r="A19" s="389" t="s">
        <v>1569</v>
      </c>
      <c r="B19" s="380"/>
      <c r="C19" s="334" t="s">
        <v>1888</v>
      </c>
      <c r="D19" s="334">
        <v>85000</v>
      </c>
      <c r="E19" s="384"/>
      <c r="F19" s="389"/>
      <c r="G19" s="389"/>
      <c r="H19" s="389"/>
      <c r="I19" s="381"/>
      <c r="J19" s="334"/>
      <c r="K19" s="382"/>
      <c r="L19" s="380"/>
      <c r="M19" s="380"/>
      <c r="N19" s="380"/>
      <c r="O19" s="380"/>
      <c r="P19" s="380"/>
      <c r="Q19" s="380"/>
    </row>
    <row r="20" spans="1:17" x14ac:dyDescent="0.2">
      <c r="A20" s="391" t="s">
        <v>1567</v>
      </c>
      <c r="B20" s="380"/>
      <c r="C20" s="334" t="s">
        <v>3142</v>
      </c>
      <c r="D20" s="334"/>
      <c r="E20" s="384"/>
      <c r="F20" s="391"/>
      <c r="G20" s="391"/>
      <c r="H20" s="384"/>
      <c r="I20" s="381"/>
      <c r="J20" s="334"/>
      <c r="K20" s="382"/>
      <c r="L20" s="380"/>
      <c r="M20" s="380"/>
      <c r="N20" s="380"/>
      <c r="O20" s="380"/>
      <c r="P20" s="380"/>
      <c r="Q20" s="380"/>
    </row>
    <row r="21" spans="1:17" x14ac:dyDescent="0.2">
      <c r="A21" s="380"/>
      <c r="B21" s="380"/>
      <c r="C21" s="380"/>
      <c r="D21" s="394"/>
      <c r="E21" s="380"/>
      <c r="F21" s="380"/>
      <c r="G21" s="380"/>
      <c r="H21" s="380"/>
      <c r="I21" s="383"/>
      <c r="J21" s="394"/>
      <c r="K21" s="382"/>
      <c r="L21" s="380"/>
      <c r="M21" s="380"/>
      <c r="N21" s="380"/>
      <c r="O21" s="380"/>
      <c r="P21" s="380"/>
      <c r="Q21" s="380"/>
    </row>
    <row r="22" spans="1:17" x14ac:dyDescent="0.2">
      <c r="A22" s="380"/>
      <c r="B22" s="380"/>
      <c r="C22" s="380"/>
      <c r="D22" s="334">
        <f>SUM(D5:D21)</f>
        <v>9000</v>
      </c>
      <c r="E22" s="380"/>
      <c r="F22" s="380"/>
      <c r="G22" s="380"/>
      <c r="H22" s="380"/>
      <c r="I22" s="383"/>
      <c r="J22" s="334">
        <f>SUM(J5:J21)</f>
        <v>6500</v>
      </c>
      <c r="K22" s="382"/>
      <c r="L22" s="380"/>
      <c r="M22" s="380"/>
      <c r="N22" s="380"/>
      <c r="O22" s="380"/>
      <c r="P22" s="380"/>
      <c r="Q22" s="380"/>
    </row>
    <row r="23" spans="1:17" ht="15.75" thickTop="1" x14ac:dyDescent="0.2">
      <c r="A23" s="380"/>
      <c r="B23" s="380"/>
      <c r="C23" s="380"/>
      <c r="D23" s="395">
        <f>D22</f>
        <v>9000</v>
      </c>
      <c r="E23" s="380"/>
      <c r="F23" s="380"/>
      <c r="G23" s="380"/>
      <c r="H23" s="380"/>
      <c r="I23" s="396"/>
      <c r="J23" s="395">
        <f>J22</f>
        <v>6500</v>
      </c>
      <c r="K23" s="382"/>
      <c r="L23" s="380"/>
      <c r="M23" s="380"/>
      <c r="N23" s="380"/>
      <c r="O23" s="380"/>
      <c r="P23" s="380"/>
      <c r="Q23" s="380"/>
    </row>
    <row r="24" spans="1:17" ht="15.75" x14ac:dyDescent="0.25">
      <c r="A24" s="377"/>
      <c r="B24" s="377"/>
      <c r="C24" s="377"/>
      <c r="D24" s="377"/>
      <c r="E24" s="377"/>
      <c r="F24" s="377"/>
      <c r="G24" s="377"/>
      <c r="H24" s="377"/>
      <c r="I24" s="397"/>
      <c r="J24" s="377"/>
      <c r="K24" s="382"/>
      <c r="L24" s="380"/>
      <c r="M24" s="380"/>
      <c r="N24" s="380"/>
      <c r="O24" s="380"/>
      <c r="P24" s="380"/>
      <c r="Q24" s="380"/>
    </row>
    <row r="25" spans="1:17" x14ac:dyDescent="0.2">
      <c r="A25" s="380"/>
      <c r="B25" s="380"/>
      <c r="C25" s="380"/>
      <c r="D25" s="380"/>
      <c r="E25" s="380"/>
      <c r="F25" s="380"/>
      <c r="G25" s="380"/>
      <c r="H25" s="380"/>
      <c r="I25" s="383"/>
      <c r="J25" s="380"/>
      <c r="K25" s="382"/>
      <c r="L25" s="380"/>
      <c r="M25" s="380"/>
      <c r="N25" s="380"/>
      <c r="O25" s="380"/>
      <c r="P25" s="380"/>
      <c r="Q25" s="380"/>
    </row>
    <row r="26" spans="1:17" x14ac:dyDescent="0.2">
      <c r="A26" s="334" t="s">
        <v>1731</v>
      </c>
      <c r="B26" s="380"/>
      <c r="C26" s="380"/>
      <c r="D26" s="380"/>
      <c r="E26" s="380"/>
      <c r="F26" s="380"/>
      <c r="G26" s="380"/>
      <c r="H26" s="380"/>
      <c r="I26" s="383"/>
      <c r="J26" s="380"/>
      <c r="K26" s="382"/>
      <c r="L26" s="380"/>
      <c r="M26" s="380"/>
      <c r="N26" s="380"/>
      <c r="O26" s="380"/>
      <c r="P26" s="380"/>
      <c r="Q26" s="380"/>
    </row>
    <row r="27" spans="1:17" x14ac:dyDescent="0.2">
      <c r="A27" s="380"/>
      <c r="B27" s="380"/>
      <c r="C27" s="384" t="s">
        <v>2198</v>
      </c>
      <c r="D27" s="380"/>
      <c r="E27" s="380"/>
      <c r="F27" s="380"/>
      <c r="G27" s="380"/>
      <c r="H27" s="380"/>
      <c r="I27" s="383"/>
      <c r="J27" s="380"/>
      <c r="K27" s="382"/>
      <c r="L27" s="380"/>
      <c r="M27" s="380"/>
      <c r="N27" s="380"/>
      <c r="O27" s="380"/>
      <c r="P27" s="380"/>
      <c r="Q27" s="380"/>
    </row>
    <row r="28" spans="1:17" x14ac:dyDescent="0.2">
      <c r="A28" s="380"/>
      <c r="B28" s="380"/>
      <c r="C28" s="380"/>
      <c r="D28" s="380"/>
      <c r="E28" s="380"/>
      <c r="F28" s="380"/>
      <c r="G28" s="380"/>
      <c r="H28" s="380"/>
      <c r="I28" s="383"/>
      <c r="J28" s="380"/>
      <c r="K28" s="382"/>
      <c r="L28" s="380"/>
      <c r="M28" s="380"/>
      <c r="N28" s="380"/>
      <c r="O28" s="380"/>
      <c r="P28" s="380"/>
      <c r="Q28" s="380"/>
    </row>
    <row r="29" spans="1:17" x14ac:dyDescent="0.2">
      <c r="A29" s="334" t="s">
        <v>1723</v>
      </c>
      <c r="B29" s="380"/>
      <c r="C29" s="334" t="s">
        <v>1880</v>
      </c>
      <c r="D29" s="334" t="s">
        <v>181</v>
      </c>
      <c r="E29" s="380"/>
      <c r="F29" s="380"/>
      <c r="G29" s="380"/>
      <c r="H29" s="380"/>
      <c r="I29" s="383"/>
      <c r="J29" s="334" t="s">
        <v>181</v>
      </c>
      <c r="K29" s="382"/>
      <c r="L29" s="380"/>
      <c r="M29" s="380"/>
      <c r="N29" s="380"/>
      <c r="O29" s="380"/>
      <c r="P29" s="380"/>
      <c r="Q29" s="380"/>
    </row>
    <row r="30" spans="1:17" x14ac:dyDescent="0.2">
      <c r="A30" s="380"/>
      <c r="B30" s="380"/>
      <c r="C30" s="380"/>
      <c r="D30" s="380"/>
      <c r="E30" s="380"/>
      <c r="F30" s="380"/>
      <c r="G30" s="380"/>
      <c r="H30" s="380"/>
      <c r="I30" s="383"/>
      <c r="J30" s="380"/>
      <c r="K30" s="382"/>
      <c r="L30" s="380"/>
      <c r="M30" s="380"/>
      <c r="N30" s="380"/>
      <c r="O30" s="380"/>
      <c r="P30" s="380"/>
      <c r="Q30" s="380"/>
    </row>
    <row r="31" spans="1:17" x14ac:dyDescent="0.2">
      <c r="A31" s="334" t="s">
        <v>1732</v>
      </c>
      <c r="B31" s="380"/>
      <c r="C31" s="334" t="s">
        <v>1933</v>
      </c>
      <c r="D31" s="377"/>
      <c r="E31" s="384"/>
      <c r="F31" s="334"/>
      <c r="G31" s="334"/>
      <c r="H31" s="380"/>
      <c r="I31" s="387"/>
      <c r="J31" s="377"/>
      <c r="K31" s="382"/>
      <c r="L31" s="380"/>
      <c r="M31" s="380"/>
      <c r="N31" s="380"/>
      <c r="O31" s="380"/>
      <c r="P31" s="380"/>
      <c r="Q31" s="380"/>
    </row>
    <row r="32" spans="1:17" x14ac:dyDescent="0.2">
      <c r="A32" s="334" t="s">
        <v>1733</v>
      </c>
      <c r="B32" s="380"/>
      <c r="C32" s="334" t="s">
        <v>27</v>
      </c>
      <c r="D32" s="377"/>
      <c r="E32" s="384"/>
      <c r="F32" s="334"/>
      <c r="G32" s="334"/>
      <c r="H32" s="380"/>
      <c r="I32" s="387"/>
      <c r="J32" s="377"/>
      <c r="K32" s="382"/>
      <c r="L32" s="380"/>
      <c r="M32" s="380"/>
      <c r="N32" s="380"/>
      <c r="O32" s="380"/>
      <c r="P32" s="380"/>
      <c r="Q32" s="380"/>
    </row>
    <row r="33" spans="1:17" x14ac:dyDescent="0.2">
      <c r="A33" s="334" t="s">
        <v>1724</v>
      </c>
      <c r="B33" s="380"/>
      <c r="C33" s="334" t="s">
        <v>1881</v>
      </c>
      <c r="D33" s="386">
        <v>4000</v>
      </c>
      <c r="E33" s="384"/>
      <c r="F33" s="334"/>
      <c r="G33" s="334"/>
      <c r="H33" s="380"/>
      <c r="I33" s="387"/>
      <c r="J33" s="388">
        <v>4000</v>
      </c>
      <c r="K33" s="382"/>
      <c r="L33" s="380"/>
      <c r="M33" s="380"/>
      <c r="N33" s="380"/>
      <c r="O33" s="380"/>
      <c r="P33" s="380"/>
      <c r="Q33" s="380"/>
    </row>
    <row r="34" spans="1:17" x14ac:dyDescent="0.2">
      <c r="A34" s="389" t="s">
        <v>1736</v>
      </c>
      <c r="B34" s="380"/>
      <c r="C34" s="334" t="s">
        <v>1747</v>
      </c>
      <c r="D34" s="386">
        <v>1000</v>
      </c>
      <c r="E34" s="389"/>
      <c r="F34" s="389"/>
      <c r="G34" s="389"/>
      <c r="H34" s="380"/>
      <c r="I34" s="387"/>
      <c r="J34" s="388">
        <v>1000</v>
      </c>
      <c r="K34" s="382"/>
      <c r="L34" s="380"/>
      <c r="M34" s="380"/>
      <c r="N34" s="380"/>
      <c r="O34" s="380"/>
      <c r="P34" s="380"/>
      <c r="Q34" s="380"/>
    </row>
    <row r="35" spans="1:17" x14ac:dyDescent="0.2">
      <c r="A35" s="389" t="s">
        <v>1744</v>
      </c>
      <c r="B35" s="380"/>
      <c r="C35" s="334" t="s">
        <v>1254</v>
      </c>
      <c r="D35" s="386">
        <v>500</v>
      </c>
      <c r="E35" s="389"/>
      <c r="F35" s="389"/>
      <c r="G35" s="389"/>
      <c r="H35" s="380"/>
      <c r="I35" s="387"/>
      <c r="J35" s="388">
        <v>500</v>
      </c>
      <c r="K35" s="382"/>
      <c r="L35" s="380"/>
      <c r="M35" s="380"/>
      <c r="N35" s="380"/>
      <c r="O35" s="380"/>
      <c r="P35" s="380"/>
      <c r="Q35" s="380"/>
    </row>
    <row r="36" spans="1:17" x14ac:dyDescent="0.2">
      <c r="A36" s="334" t="s">
        <v>1725</v>
      </c>
      <c r="B36" s="380"/>
      <c r="C36" s="334" t="s">
        <v>1890</v>
      </c>
      <c r="D36" s="386">
        <v>250</v>
      </c>
      <c r="E36" s="384"/>
      <c r="F36" s="334"/>
      <c r="G36" s="334"/>
      <c r="H36" s="380"/>
      <c r="I36" s="387"/>
      <c r="J36" s="388">
        <v>250</v>
      </c>
      <c r="K36" s="382"/>
      <c r="L36" s="380"/>
      <c r="M36" s="380"/>
      <c r="N36" s="380"/>
      <c r="O36" s="380"/>
      <c r="P36" s="380"/>
      <c r="Q36" s="380"/>
    </row>
    <row r="37" spans="1:17" x14ac:dyDescent="0.2">
      <c r="A37" s="391" t="s">
        <v>1565</v>
      </c>
      <c r="B37" s="380"/>
      <c r="C37" s="334" t="s">
        <v>1927</v>
      </c>
      <c r="D37" s="386">
        <v>150</v>
      </c>
      <c r="E37" s="384"/>
      <c r="F37" s="391"/>
      <c r="G37" s="391"/>
      <c r="H37" s="380"/>
      <c r="I37" s="387"/>
      <c r="J37" s="388">
        <v>150</v>
      </c>
      <c r="K37" s="382"/>
      <c r="L37" s="380"/>
      <c r="M37" s="380"/>
      <c r="N37" s="380"/>
      <c r="O37" s="380"/>
      <c r="P37" s="380"/>
      <c r="Q37" s="380"/>
    </row>
    <row r="38" spans="1:17" x14ac:dyDescent="0.2">
      <c r="A38" s="334" t="s">
        <v>1726</v>
      </c>
      <c r="B38" s="380"/>
      <c r="C38" s="334" t="s">
        <v>1117</v>
      </c>
      <c r="D38" s="386">
        <v>2500</v>
      </c>
      <c r="E38" s="384"/>
      <c r="F38" s="334"/>
      <c r="G38" s="334"/>
      <c r="H38" s="380"/>
      <c r="I38" s="387"/>
      <c r="J38" s="388">
        <v>2500</v>
      </c>
      <c r="K38" s="382"/>
      <c r="L38" s="380"/>
      <c r="M38" s="380"/>
      <c r="N38" s="380"/>
      <c r="O38" s="380"/>
      <c r="P38" s="380"/>
      <c r="Q38" s="380"/>
    </row>
    <row r="39" spans="1:17" x14ac:dyDescent="0.2">
      <c r="A39" s="334" t="s">
        <v>1734</v>
      </c>
      <c r="B39" s="380"/>
      <c r="C39" s="334" t="s">
        <v>1746</v>
      </c>
      <c r="D39" s="386"/>
      <c r="E39" s="384"/>
      <c r="F39" s="334"/>
      <c r="G39" s="334"/>
      <c r="H39" s="380"/>
      <c r="I39" s="387"/>
      <c r="J39" s="388"/>
      <c r="K39" s="382"/>
      <c r="L39" s="380"/>
      <c r="M39" s="380"/>
      <c r="N39" s="380"/>
      <c r="O39" s="380"/>
      <c r="P39" s="380"/>
      <c r="Q39" s="380"/>
    </row>
    <row r="40" spans="1:17" x14ac:dyDescent="0.2">
      <c r="A40" s="391" t="s">
        <v>1738</v>
      </c>
      <c r="B40" s="380"/>
      <c r="C40" s="334" t="s">
        <v>1591</v>
      </c>
      <c r="D40" s="386">
        <v>800</v>
      </c>
      <c r="E40" s="384"/>
      <c r="F40" s="391"/>
      <c r="G40" s="391"/>
      <c r="H40" s="380"/>
      <c r="I40" s="387"/>
      <c r="J40" s="388">
        <v>800</v>
      </c>
      <c r="K40" s="382"/>
      <c r="L40" s="380"/>
      <c r="M40" s="380"/>
      <c r="N40" s="380"/>
      <c r="O40" s="380"/>
      <c r="P40" s="380"/>
      <c r="Q40" s="380"/>
    </row>
    <row r="41" spans="1:17" x14ac:dyDescent="0.2">
      <c r="A41" s="334" t="s">
        <v>1727</v>
      </c>
      <c r="B41" s="380"/>
      <c r="C41" s="334" t="s">
        <v>307</v>
      </c>
      <c r="D41" s="386">
        <v>500</v>
      </c>
      <c r="E41" s="384"/>
      <c r="F41" s="334"/>
      <c r="G41" s="334"/>
      <c r="H41" s="380"/>
      <c r="I41" s="387"/>
      <c r="J41" s="388">
        <v>500</v>
      </c>
      <c r="K41" s="382"/>
      <c r="L41" s="380"/>
      <c r="M41" s="380"/>
      <c r="N41" s="380"/>
      <c r="O41" s="380"/>
      <c r="P41" s="380"/>
      <c r="Q41" s="380"/>
    </row>
    <row r="42" spans="1:17" x14ac:dyDescent="0.2">
      <c r="A42" s="334" t="s">
        <v>1728</v>
      </c>
      <c r="B42" s="380"/>
      <c r="C42" s="334" t="s">
        <v>310</v>
      </c>
      <c r="D42" s="386">
        <v>300</v>
      </c>
      <c r="E42" s="384"/>
      <c r="F42" s="334"/>
      <c r="G42" s="334"/>
      <c r="H42" s="380"/>
      <c r="I42" s="387"/>
      <c r="J42" s="388">
        <v>300</v>
      </c>
      <c r="K42" s="382"/>
      <c r="L42" s="380"/>
      <c r="M42" s="380"/>
      <c r="N42" s="380"/>
      <c r="O42" s="380"/>
      <c r="P42" s="380"/>
      <c r="Q42" s="380"/>
    </row>
    <row r="43" spans="1:17" x14ac:dyDescent="0.2">
      <c r="A43" s="334" t="s">
        <v>1729</v>
      </c>
      <c r="B43" s="380"/>
      <c r="C43" s="380" t="s">
        <v>1551</v>
      </c>
      <c r="D43" s="386">
        <v>200</v>
      </c>
      <c r="E43" s="384"/>
      <c r="F43" s="334"/>
      <c r="G43" s="334"/>
      <c r="H43" s="380"/>
      <c r="I43" s="387"/>
      <c r="J43" s="388">
        <v>200</v>
      </c>
      <c r="K43" s="382"/>
      <c r="L43" s="380"/>
      <c r="M43" s="380"/>
      <c r="N43" s="380"/>
      <c r="O43" s="380"/>
      <c r="P43" s="380"/>
      <c r="Q43" s="380"/>
    </row>
    <row r="44" spans="1:17" x14ac:dyDescent="0.2">
      <c r="A44" s="334" t="s">
        <v>1735</v>
      </c>
      <c r="B44" s="380"/>
      <c r="C44" s="380" t="s">
        <v>194</v>
      </c>
      <c r="D44" s="386">
        <v>1000</v>
      </c>
      <c r="E44" s="384"/>
      <c r="F44" s="334"/>
      <c r="G44" s="334"/>
      <c r="H44" s="380"/>
      <c r="I44" s="387"/>
      <c r="J44" s="388">
        <v>1000</v>
      </c>
      <c r="K44" s="382"/>
      <c r="L44" s="380"/>
      <c r="M44" s="380"/>
      <c r="N44" s="380"/>
      <c r="O44" s="380"/>
      <c r="P44" s="380"/>
      <c r="Q44" s="380"/>
    </row>
    <row r="45" spans="1:17" x14ac:dyDescent="0.2">
      <c r="A45" s="391" t="s">
        <v>1742</v>
      </c>
      <c r="B45" s="380"/>
      <c r="C45" s="334" t="s">
        <v>1553</v>
      </c>
      <c r="D45" s="386"/>
      <c r="E45" s="384"/>
      <c r="F45" s="391"/>
      <c r="G45" s="391"/>
      <c r="H45" s="380"/>
      <c r="I45" s="387"/>
      <c r="J45" s="388"/>
      <c r="K45" s="382"/>
      <c r="L45" s="380"/>
      <c r="M45" s="380"/>
      <c r="N45" s="380"/>
      <c r="O45" s="380"/>
      <c r="P45" s="380"/>
      <c r="Q45" s="380"/>
    </row>
    <row r="46" spans="1:17" x14ac:dyDescent="0.2">
      <c r="A46" s="391" t="s">
        <v>1741</v>
      </c>
      <c r="B46" s="380"/>
      <c r="C46" s="334" t="s">
        <v>1748</v>
      </c>
      <c r="D46" s="386"/>
      <c r="E46" s="384"/>
      <c r="F46" s="391"/>
      <c r="G46" s="391"/>
      <c r="H46" s="380"/>
      <c r="I46" s="387"/>
      <c r="J46" s="388"/>
      <c r="K46" s="382"/>
      <c r="L46" s="380"/>
      <c r="M46" s="380"/>
      <c r="N46" s="380"/>
      <c r="O46" s="380"/>
      <c r="P46" s="380"/>
      <c r="Q46" s="380"/>
    </row>
    <row r="47" spans="1:17" x14ac:dyDescent="0.2">
      <c r="A47" s="389" t="s">
        <v>2674</v>
      </c>
      <c r="B47" s="380"/>
      <c r="C47" s="334" t="s">
        <v>3134</v>
      </c>
      <c r="D47" s="386"/>
      <c r="E47" s="389"/>
      <c r="F47" s="389"/>
      <c r="G47" s="389"/>
      <c r="H47" s="380"/>
      <c r="I47" s="387"/>
      <c r="J47" s="388"/>
      <c r="K47" s="382"/>
      <c r="L47" s="380"/>
      <c r="M47" s="380"/>
      <c r="N47" s="380"/>
      <c r="O47" s="380"/>
      <c r="P47" s="380"/>
      <c r="Q47" s="380"/>
    </row>
    <row r="48" spans="1:17" x14ac:dyDescent="0.2">
      <c r="A48" s="334" t="s">
        <v>1730</v>
      </c>
      <c r="B48" s="380"/>
      <c r="C48" s="334" t="s">
        <v>1985</v>
      </c>
      <c r="D48" s="386">
        <v>5500</v>
      </c>
      <c r="E48" s="384"/>
      <c r="F48" s="334"/>
      <c r="G48" s="334"/>
      <c r="H48" s="380"/>
      <c r="I48" s="387"/>
      <c r="J48" s="388">
        <v>5500</v>
      </c>
      <c r="K48" s="382"/>
      <c r="L48" s="380"/>
      <c r="M48" s="380"/>
      <c r="N48" s="380"/>
      <c r="O48" s="380"/>
      <c r="P48" s="380"/>
      <c r="Q48" s="380"/>
    </row>
    <row r="49" spans="1:17" x14ac:dyDescent="0.2">
      <c r="A49" s="380">
        <v>5112</v>
      </c>
      <c r="B49" s="380"/>
      <c r="C49" s="334" t="s">
        <v>366</v>
      </c>
      <c r="D49" s="393"/>
      <c r="E49" s="398"/>
      <c r="F49" s="398"/>
      <c r="G49" s="398"/>
      <c r="H49" s="380"/>
      <c r="I49" s="383"/>
      <c r="J49" s="334"/>
      <c r="K49" s="382"/>
      <c r="L49" s="380"/>
      <c r="M49" s="380"/>
      <c r="N49" s="380"/>
      <c r="O49" s="380"/>
      <c r="P49" s="380"/>
      <c r="Q49" s="380"/>
    </row>
    <row r="50" spans="1:17" x14ac:dyDescent="0.2">
      <c r="A50" s="380"/>
      <c r="B50" s="380"/>
      <c r="C50" s="380"/>
      <c r="D50" s="334">
        <f>SUM(D31:D49)</f>
        <v>16700</v>
      </c>
      <c r="E50" s="380"/>
      <c r="F50" s="380"/>
      <c r="G50" s="380"/>
      <c r="H50" s="380"/>
      <c r="I50" s="383"/>
      <c r="J50" s="334">
        <f>SUM(J31:J49)</f>
        <v>16700</v>
      </c>
      <c r="K50" s="382"/>
      <c r="L50" s="380"/>
      <c r="M50" s="380"/>
      <c r="N50" s="380"/>
      <c r="O50" s="380"/>
      <c r="P50" s="380"/>
      <c r="Q50" s="380"/>
    </row>
    <row r="51" spans="1:17" ht="15.75" thickTop="1" x14ac:dyDescent="0.2">
      <c r="A51" s="380"/>
      <c r="B51" s="380"/>
      <c r="C51" s="380"/>
      <c r="D51" s="395">
        <f>D50-D31-D32</f>
        <v>16700</v>
      </c>
      <c r="E51" s="380"/>
      <c r="F51" s="380"/>
      <c r="G51" s="380"/>
      <c r="H51" s="380"/>
      <c r="I51" s="383"/>
      <c r="J51" s="395">
        <f>J50-J31-J32</f>
        <v>16700</v>
      </c>
      <c r="K51" s="382"/>
      <c r="L51" s="380"/>
      <c r="M51" s="380"/>
      <c r="N51" s="380"/>
      <c r="O51" s="380"/>
      <c r="P51" s="380"/>
      <c r="Q51" s="380"/>
    </row>
    <row r="52" spans="1:17" ht="15.75" x14ac:dyDescent="0.25">
      <c r="A52" s="377"/>
      <c r="B52" s="377"/>
      <c r="C52" s="377"/>
      <c r="D52" s="377"/>
      <c r="E52" s="377"/>
      <c r="F52" s="377"/>
      <c r="G52" s="377"/>
      <c r="H52" s="377"/>
      <c r="I52" s="397"/>
      <c r="J52" s="377"/>
      <c r="K52" s="382"/>
      <c r="L52" s="380"/>
      <c r="M52" s="380"/>
      <c r="N52" s="380"/>
      <c r="O52" s="380"/>
      <c r="P52" s="380"/>
      <c r="Q52" s="380"/>
    </row>
    <row r="53" spans="1:17" x14ac:dyDescent="0.2">
      <c r="A53" s="380"/>
      <c r="B53" s="380"/>
      <c r="C53" s="380"/>
      <c r="D53" s="380"/>
      <c r="E53" s="380"/>
      <c r="F53" s="380"/>
      <c r="G53" s="380"/>
      <c r="H53" s="380"/>
      <c r="I53" s="383"/>
      <c r="J53" s="380"/>
      <c r="K53" s="382"/>
      <c r="L53" s="380"/>
      <c r="M53" s="380"/>
      <c r="N53" s="380"/>
      <c r="O53" s="380"/>
      <c r="P53" s="380"/>
      <c r="Q53" s="380"/>
    </row>
    <row r="54" spans="1:17" x14ac:dyDescent="0.2">
      <c r="A54" s="334" t="s">
        <v>2959</v>
      </c>
      <c r="B54" s="380"/>
      <c r="C54" s="380"/>
      <c r="D54" s="380"/>
      <c r="E54" s="380"/>
      <c r="F54" s="380"/>
      <c r="G54" s="380"/>
      <c r="H54" s="380"/>
      <c r="I54" s="383"/>
      <c r="J54" s="380"/>
      <c r="K54" s="382"/>
      <c r="L54" s="380"/>
      <c r="M54" s="380"/>
      <c r="N54" s="380"/>
      <c r="O54" s="380"/>
      <c r="P54" s="380"/>
      <c r="Q54" s="380"/>
    </row>
    <row r="55" spans="1:17" x14ac:dyDescent="0.2">
      <c r="A55" s="380"/>
      <c r="B55" s="380"/>
      <c r="C55" s="384" t="s">
        <v>2199</v>
      </c>
      <c r="D55" s="380"/>
      <c r="E55" s="380"/>
      <c r="F55" s="380"/>
      <c r="G55" s="380"/>
      <c r="H55" s="380"/>
      <c r="I55" s="383"/>
      <c r="J55" s="380"/>
      <c r="K55" s="382"/>
      <c r="L55" s="380"/>
      <c r="M55" s="380"/>
      <c r="N55" s="380"/>
      <c r="O55" s="380"/>
      <c r="P55" s="380"/>
      <c r="Q55" s="380"/>
    </row>
    <row r="56" spans="1:17" x14ac:dyDescent="0.2">
      <c r="A56" s="380"/>
      <c r="B56" s="380"/>
      <c r="C56" s="380"/>
      <c r="D56" s="380"/>
      <c r="E56" s="380"/>
      <c r="F56" s="380"/>
      <c r="G56" s="380"/>
      <c r="H56" s="380"/>
      <c r="I56" s="383"/>
      <c r="J56" s="380"/>
      <c r="K56" s="382"/>
      <c r="L56" s="380"/>
      <c r="M56" s="380"/>
      <c r="N56" s="380"/>
      <c r="O56" s="380"/>
      <c r="P56" s="380"/>
      <c r="Q56" s="380"/>
    </row>
    <row r="57" spans="1:17" x14ac:dyDescent="0.2">
      <c r="A57" s="334" t="s">
        <v>1723</v>
      </c>
      <c r="B57" s="380"/>
      <c r="C57" s="334" t="s">
        <v>1880</v>
      </c>
      <c r="D57" s="334" t="s">
        <v>181</v>
      </c>
      <c r="E57" s="380"/>
      <c r="F57" s="380"/>
      <c r="G57" s="380"/>
      <c r="H57" s="380"/>
      <c r="I57" s="383"/>
      <c r="J57" s="334" t="s">
        <v>181</v>
      </c>
      <c r="K57" s="382"/>
      <c r="L57" s="380"/>
      <c r="M57" s="380"/>
      <c r="N57" s="380"/>
      <c r="O57" s="380"/>
      <c r="P57" s="380"/>
      <c r="Q57" s="380"/>
    </row>
    <row r="58" spans="1:17" x14ac:dyDescent="0.2">
      <c r="A58" s="380"/>
      <c r="B58" s="380"/>
      <c r="C58" s="380"/>
      <c r="D58" s="380"/>
      <c r="E58" s="380"/>
      <c r="F58" s="380"/>
      <c r="G58" s="380"/>
      <c r="H58" s="380"/>
      <c r="I58" s="383"/>
      <c r="J58" s="380"/>
      <c r="K58" s="382"/>
      <c r="L58" s="380"/>
      <c r="M58" s="380"/>
      <c r="N58" s="380"/>
      <c r="O58" s="380"/>
      <c r="P58" s="380"/>
      <c r="Q58" s="380"/>
    </row>
    <row r="59" spans="1:17" x14ac:dyDescent="0.2">
      <c r="A59" s="334" t="s">
        <v>1732</v>
      </c>
      <c r="B59" s="380"/>
      <c r="C59" s="334" t="s">
        <v>1933</v>
      </c>
      <c r="D59" s="377"/>
      <c r="E59" s="384"/>
      <c r="F59" s="334"/>
      <c r="G59" s="334"/>
      <c r="H59" s="384"/>
      <c r="I59" s="399"/>
      <c r="J59" s="377"/>
      <c r="K59" s="382"/>
      <c r="L59" s="380"/>
      <c r="M59" s="380"/>
      <c r="N59" s="380"/>
      <c r="O59" s="380"/>
      <c r="P59" s="380"/>
      <c r="Q59" s="380"/>
    </row>
    <row r="60" spans="1:17" x14ac:dyDescent="0.2">
      <c r="A60" s="334" t="s">
        <v>1733</v>
      </c>
      <c r="B60" s="380"/>
      <c r="C60" s="334" t="s">
        <v>27</v>
      </c>
      <c r="D60" s="377"/>
      <c r="E60" s="384"/>
      <c r="F60" s="334"/>
      <c r="G60" s="334"/>
      <c r="H60" s="384"/>
      <c r="I60" s="399"/>
      <c r="J60" s="377"/>
      <c r="K60" s="382"/>
      <c r="L60" s="380"/>
      <c r="M60" s="380"/>
      <c r="N60" s="380"/>
      <c r="O60" s="380"/>
      <c r="P60" s="380"/>
      <c r="Q60" s="380"/>
    </row>
    <row r="61" spans="1:17" x14ac:dyDescent="0.2">
      <c r="A61" s="334" t="s">
        <v>1724</v>
      </c>
      <c r="B61" s="380"/>
      <c r="C61" s="334" t="s">
        <v>1881</v>
      </c>
      <c r="D61" s="377"/>
      <c r="E61" s="384"/>
      <c r="F61" s="334"/>
      <c r="G61" s="334"/>
      <c r="H61" s="384"/>
      <c r="I61" s="399"/>
      <c r="J61" s="377"/>
      <c r="K61" s="382"/>
      <c r="L61" s="380"/>
      <c r="M61" s="380"/>
      <c r="N61" s="380"/>
      <c r="O61" s="380"/>
      <c r="P61" s="380"/>
      <c r="Q61" s="380"/>
    </row>
    <row r="62" spans="1:17" x14ac:dyDescent="0.2">
      <c r="A62" s="334" t="s">
        <v>1736</v>
      </c>
      <c r="B62" s="380"/>
      <c r="C62" s="334" t="s">
        <v>1747</v>
      </c>
      <c r="D62" s="388">
        <v>800</v>
      </c>
      <c r="E62" s="384"/>
      <c r="F62" s="334"/>
      <c r="G62" s="334"/>
      <c r="H62" s="384"/>
      <c r="I62" s="399"/>
      <c r="J62" s="388">
        <v>800</v>
      </c>
      <c r="K62" s="382"/>
      <c r="L62" s="380"/>
      <c r="M62" s="380"/>
      <c r="N62" s="380"/>
      <c r="O62" s="380"/>
      <c r="P62" s="380"/>
      <c r="Q62" s="380"/>
    </row>
    <row r="63" spans="1:17" x14ac:dyDescent="0.2">
      <c r="A63" s="334" t="s">
        <v>1725</v>
      </c>
      <c r="B63" s="380"/>
      <c r="C63" s="334" t="s">
        <v>1890</v>
      </c>
      <c r="D63" s="388"/>
      <c r="E63" s="384"/>
      <c r="F63" s="334"/>
      <c r="G63" s="334"/>
      <c r="H63" s="384"/>
      <c r="I63" s="399"/>
      <c r="J63" s="388"/>
      <c r="K63" s="382"/>
      <c r="L63" s="380"/>
      <c r="M63" s="380"/>
      <c r="N63" s="380"/>
      <c r="O63" s="380"/>
      <c r="P63" s="380"/>
      <c r="Q63" s="380"/>
    </row>
    <row r="64" spans="1:17" x14ac:dyDescent="0.2">
      <c r="A64" s="389" t="s">
        <v>1565</v>
      </c>
      <c r="B64" s="380"/>
      <c r="C64" s="334" t="s">
        <v>1927</v>
      </c>
      <c r="D64" s="388">
        <v>475</v>
      </c>
      <c r="E64" s="389"/>
      <c r="F64" s="389"/>
      <c r="G64" s="389"/>
      <c r="H64" s="389"/>
      <c r="I64" s="399"/>
      <c r="J64" s="388">
        <v>475</v>
      </c>
      <c r="K64" s="382"/>
      <c r="L64" s="380"/>
      <c r="M64" s="380"/>
      <c r="N64" s="380"/>
      <c r="O64" s="380"/>
      <c r="P64" s="380"/>
      <c r="Q64" s="380"/>
    </row>
    <row r="65" spans="1:17" x14ac:dyDescent="0.2">
      <c r="A65" s="334" t="s">
        <v>1737</v>
      </c>
      <c r="B65" s="380"/>
      <c r="C65" s="334" t="s">
        <v>1928</v>
      </c>
      <c r="D65" s="388">
        <v>350</v>
      </c>
      <c r="E65" s="384"/>
      <c r="F65" s="334"/>
      <c r="G65" s="334"/>
      <c r="H65" s="384"/>
      <c r="I65" s="399"/>
      <c r="J65" s="388">
        <v>350</v>
      </c>
      <c r="K65" s="382"/>
      <c r="L65" s="380"/>
      <c r="M65" s="380"/>
      <c r="N65" s="380"/>
      <c r="O65" s="380"/>
      <c r="P65" s="380"/>
      <c r="Q65" s="380"/>
    </row>
    <row r="66" spans="1:17" x14ac:dyDescent="0.2">
      <c r="A66" s="334" t="s">
        <v>1738</v>
      </c>
      <c r="B66" s="380"/>
      <c r="C66" s="334" t="s">
        <v>1591</v>
      </c>
      <c r="D66" s="388"/>
      <c r="E66" s="384"/>
      <c r="F66" s="334"/>
      <c r="G66" s="334"/>
      <c r="H66" s="384"/>
      <c r="I66" s="399"/>
      <c r="J66" s="388"/>
      <c r="K66" s="382"/>
      <c r="L66" s="380"/>
      <c r="M66" s="380"/>
      <c r="N66" s="380"/>
      <c r="O66" s="380"/>
      <c r="P66" s="380"/>
      <c r="Q66" s="380"/>
    </row>
    <row r="67" spans="1:17" x14ac:dyDescent="0.2">
      <c r="A67" s="334" t="s">
        <v>1727</v>
      </c>
      <c r="B67" s="380"/>
      <c r="C67" s="334" t="s">
        <v>307</v>
      </c>
      <c r="D67" s="388"/>
      <c r="E67" s="384"/>
      <c r="F67" s="334"/>
      <c r="G67" s="334"/>
      <c r="H67" s="384"/>
      <c r="I67" s="399"/>
      <c r="J67" s="388"/>
      <c r="K67" s="382"/>
      <c r="L67" s="380"/>
      <c r="M67" s="380"/>
      <c r="N67" s="380"/>
      <c r="O67" s="380"/>
      <c r="P67" s="380"/>
      <c r="Q67" s="380"/>
    </row>
    <row r="68" spans="1:17" x14ac:dyDescent="0.2">
      <c r="A68" s="334" t="s">
        <v>1728</v>
      </c>
      <c r="B68" s="380"/>
      <c r="C68" s="334" t="s">
        <v>310</v>
      </c>
      <c r="D68" s="388"/>
      <c r="E68" s="384"/>
      <c r="F68" s="334"/>
      <c r="G68" s="334"/>
      <c r="H68" s="384"/>
      <c r="I68" s="399"/>
      <c r="J68" s="388"/>
      <c r="K68" s="382"/>
      <c r="L68" s="380"/>
      <c r="M68" s="380"/>
      <c r="N68" s="380"/>
      <c r="O68" s="380"/>
      <c r="P68" s="380"/>
      <c r="Q68" s="380"/>
    </row>
    <row r="69" spans="1:17" x14ac:dyDescent="0.2">
      <c r="A69" s="334" t="s">
        <v>1729</v>
      </c>
      <c r="B69" s="380"/>
      <c r="C69" s="380" t="s">
        <v>1551</v>
      </c>
      <c r="D69" s="388"/>
      <c r="E69" s="384"/>
      <c r="F69" s="334"/>
      <c r="G69" s="334"/>
      <c r="H69" s="384"/>
      <c r="I69" s="399"/>
      <c r="J69" s="388"/>
      <c r="K69" s="382"/>
      <c r="L69" s="380"/>
      <c r="M69" s="380"/>
      <c r="N69" s="380"/>
      <c r="O69" s="380"/>
      <c r="P69" s="380"/>
      <c r="Q69" s="380"/>
    </row>
    <row r="70" spans="1:17" x14ac:dyDescent="0.2">
      <c r="A70" s="334" t="s">
        <v>1735</v>
      </c>
      <c r="B70" s="380"/>
      <c r="C70" s="380" t="s">
        <v>194</v>
      </c>
      <c r="D70" s="388"/>
      <c r="E70" s="384"/>
      <c r="F70" s="334"/>
      <c r="G70" s="334"/>
      <c r="H70" s="384"/>
      <c r="I70" s="399"/>
      <c r="J70" s="388"/>
      <c r="K70" s="382"/>
      <c r="L70" s="380"/>
      <c r="M70" s="380"/>
      <c r="N70" s="380"/>
      <c r="O70" s="380"/>
      <c r="P70" s="380"/>
      <c r="Q70" s="380"/>
    </row>
    <row r="71" spans="1:17" x14ac:dyDescent="0.2">
      <c r="A71" s="334" t="s">
        <v>1741</v>
      </c>
      <c r="B71" s="380"/>
      <c r="C71" s="334" t="s">
        <v>1748</v>
      </c>
      <c r="D71" s="388"/>
      <c r="E71" s="384"/>
      <c r="F71" s="334"/>
      <c r="G71" s="334"/>
      <c r="H71" s="384"/>
      <c r="I71" s="399"/>
      <c r="J71" s="388"/>
      <c r="K71" s="382"/>
      <c r="L71" s="380"/>
      <c r="M71" s="380"/>
      <c r="N71" s="380"/>
      <c r="O71" s="380"/>
      <c r="P71" s="380"/>
      <c r="Q71" s="380"/>
    </row>
    <row r="72" spans="1:17" x14ac:dyDescent="0.2">
      <c r="A72" s="334" t="s">
        <v>1742</v>
      </c>
      <c r="B72" s="380"/>
      <c r="C72" s="334" t="s">
        <v>1553</v>
      </c>
      <c r="D72" s="388"/>
      <c r="E72" s="384"/>
      <c r="F72" s="334"/>
      <c r="G72" s="334"/>
      <c r="H72" s="384"/>
      <c r="I72" s="399"/>
      <c r="J72" s="388"/>
      <c r="K72" s="382"/>
      <c r="L72" s="380"/>
      <c r="M72" s="380"/>
      <c r="N72" s="380"/>
      <c r="O72" s="380"/>
      <c r="P72" s="380"/>
      <c r="Q72" s="380"/>
    </row>
    <row r="73" spans="1:17" x14ac:dyDescent="0.2">
      <c r="A73" s="389" t="s">
        <v>1580</v>
      </c>
      <c r="B73" s="380"/>
      <c r="C73" s="334" t="s">
        <v>1936</v>
      </c>
      <c r="D73" s="388"/>
      <c r="E73" s="389"/>
      <c r="F73" s="389"/>
      <c r="G73" s="389"/>
      <c r="H73" s="389"/>
      <c r="I73" s="399"/>
      <c r="J73" s="388"/>
      <c r="K73" s="382"/>
      <c r="L73" s="380"/>
      <c r="M73" s="380"/>
      <c r="N73" s="380"/>
      <c r="O73" s="380"/>
      <c r="P73" s="380"/>
      <c r="Q73" s="380"/>
    </row>
    <row r="74" spans="1:17" x14ac:dyDescent="0.2">
      <c r="A74" s="334" t="s">
        <v>1730</v>
      </c>
      <c r="B74" s="380"/>
      <c r="C74" s="334" t="s">
        <v>1985</v>
      </c>
      <c r="D74" s="334">
        <v>1800</v>
      </c>
      <c r="E74" s="384"/>
      <c r="F74" s="334"/>
      <c r="G74" s="334"/>
      <c r="H74" s="384"/>
      <c r="I74" s="385"/>
      <c r="J74" s="334">
        <v>1800</v>
      </c>
      <c r="K74" s="382"/>
      <c r="L74" s="380"/>
      <c r="M74" s="380"/>
      <c r="N74" s="380"/>
      <c r="O74" s="380"/>
      <c r="P74" s="380"/>
      <c r="Q74" s="380"/>
    </row>
    <row r="75" spans="1:17" x14ac:dyDescent="0.2">
      <c r="A75" s="380"/>
      <c r="B75" s="380"/>
      <c r="C75" s="380"/>
      <c r="D75" s="394"/>
      <c r="E75" s="380"/>
      <c r="F75" s="380"/>
      <c r="G75" s="380"/>
      <c r="H75" s="380"/>
      <c r="I75" s="383"/>
      <c r="J75" s="394"/>
      <c r="K75" s="382"/>
      <c r="L75" s="380"/>
      <c r="M75" s="380"/>
      <c r="N75" s="380"/>
      <c r="O75" s="380"/>
      <c r="P75" s="380"/>
      <c r="Q75" s="380"/>
    </row>
    <row r="76" spans="1:17" x14ac:dyDescent="0.2">
      <c r="A76" s="380"/>
      <c r="B76" s="380"/>
      <c r="C76" s="380"/>
      <c r="D76" s="334">
        <f>SUM(D59:D75)</f>
        <v>3425</v>
      </c>
      <c r="E76" s="380"/>
      <c r="F76" s="380"/>
      <c r="G76" s="380"/>
      <c r="H76" s="380"/>
      <c r="I76" s="383"/>
      <c r="J76" s="334">
        <f>SUM(J59:J75)</f>
        <v>3425</v>
      </c>
      <c r="K76" s="382"/>
      <c r="L76" s="380"/>
      <c r="M76" s="380"/>
      <c r="N76" s="380"/>
      <c r="O76" s="380"/>
      <c r="P76" s="380"/>
      <c r="Q76" s="380"/>
    </row>
    <row r="77" spans="1:17" ht="15.75" thickTop="1" x14ac:dyDescent="0.2">
      <c r="A77" s="380"/>
      <c r="B77" s="380"/>
      <c r="C77" s="380"/>
      <c r="D77" s="395">
        <f>D76-D59-D60</f>
        <v>3425</v>
      </c>
      <c r="E77" s="380"/>
      <c r="F77" s="380"/>
      <c r="G77" s="380"/>
      <c r="H77" s="380"/>
      <c r="I77" s="396"/>
      <c r="J77" s="395">
        <f>J76-J59-J60</f>
        <v>3425</v>
      </c>
      <c r="K77" s="382"/>
      <c r="L77" s="380"/>
      <c r="M77" s="380"/>
      <c r="N77" s="380"/>
      <c r="O77" s="380"/>
      <c r="P77" s="380"/>
      <c r="Q77" s="380"/>
    </row>
    <row r="78" spans="1:17" ht="15.75" x14ac:dyDescent="0.25">
      <c r="A78" s="377"/>
      <c r="B78" s="377"/>
      <c r="C78" s="377"/>
      <c r="D78" s="377"/>
      <c r="E78" s="377"/>
      <c r="F78" s="377"/>
      <c r="G78" s="377"/>
      <c r="H78" s="377"/>
      <c r="I78" s="397"/>
      <c r="J78" s="377"/>
      <c r="K78" s="382"/>
      <c r="L78" s="380"/>
      <c r="M78" s="380"/>
      <c r="N78" s="380"/>
      <c r="O78" s="380"/>
      <c r="P78" s="380"/>
      <c r="Q78" s="380"/>
    </row>
    <row r="79" spans="1:17" x14ac:dyDescent="0.2">
      <c r="A79" s="380"/>
      <c r="B79" s="380"/>
      <c r="C79" s="380"/>
      <c r="D79" s="380"/>
      <c r="E79" s="380"/>
      <c r="F79" s="380"/>
      <c r="G79" s="380"/>
      <c r="H79" s="380"/>
      <c r="I79" s="383"/>
      <c r="J79" s="380"/>
      <c r="K79" s="382"/>
      <c r="L79" s="380"/>
      <c r="M79" s="380"/>
      <c r="N79" s="380"/>
      <c r="O79" s="380"/>
      <c r="P79" s="380"/>
      <c r="Q79" s="380"/>
    </row>
    <row r="80" spans="1:17" x14ac:dyDescent="0.2">
      <c r="A80" s="334" t="s">
        <v>2961</v>
      </c>
      <c r="B80" s="380"/>
      <c r="C80" s="380"/>
      <c r="D80" s="380"/>
      <c r="E80" s="380"/>
      <c r="F80" s="380"/>
      <c r="G80" s="380"/>
      <c r="H80" s="380"/>
      <c r="I80" s="383"/>
      <c r="J80" s="380"/>
      <c r="K80" s="382"/>
      <c r="L80" s="380"/>
      <c r="M80" s="380"/>
      <c r="N80" s="380"/>
      <c r="O80" s="380"/>
      <c r="P80" s="380"/>
      <c r="Q80" s="380"/>
    </row>
    <row r="81" spans="1:17" x14ac:dyDescent="0.2">
      <c r="A81" s="380"/>
      <c r="B81" s="380"/>
      <c r="C81" s="384" t="s">
        <v>2089</v>
      </c>
      <c r="D81" s="380"/>
      <c r="E81" s="380"/>
      <c r="F81" s="380"/>
      <c r="G81" s="380"/>
      <c r="H81" s="380"/>
      <c r="I81" s="383"/>
      <c r="J81" s="380"/>
      <c r="K81" s="382"/>
      <c r="L81" s="380"/>
      <c r="M81" s="380"/>
      <c r="N81" s="380"/>
      <c r="O81" s="380"/>
      <c r="P81" s="380"/>
      <c r="Q81" s="380"/>
    </row>
    <row r="82" spans="1:17" x14ac:dyDescent="0.2">
      <c r="A82" s="380"/>
      <c r="B82" s="380"/>
      <c r="C82" s="380"/>
      <c r="D82" s="380"/>
      <c r="E82" s="380"/>
      <c r="F82" s="380"/>
      <c r="G82" s="380"/>
      <c r="H82" s="380"/>
      <c r="I82" s="383"/>
      <c r="J82" s="380"/>
      <c r="K82" s="382"/>
      <c r="L82" s="380"/>
      <c r="M82" s="380"/>
      <c r="N82" s="380"/>
      <c r="O82" s="380"/>
      <c r="P82" s="380"/>
      <c r="Q82" s="380"/>
    </row>
    <row r="83" spans="1:17" x14ac:dyDescent="0.2">
      <c r="A83" s="334" t="s">
        <v>1723</v>
      </c>
      <c r="B83" s="380"/>
      <c r="C83" s="334" t="s">
        <v>1880</v>
      </c>
      <c r="D83" s="334" t="s">
        <v>181</v>
      </c>
      <c r="E83" s="380"/>
      <c r="F83" s="380"/>
      <c r="G83" s="380"/>
      <c r="H83" s="380"/>
      <c r="I83" s="383"/>
      <c r="J83" s="334" t="s">
        <v>181</v>
      </c>
      <c r="K83" s="382"/>
      <c r="L83" s="380"/>
      <c r="M83" s="380"/>
      <c r="N83" s="380"/>
      <c r="O83" s="380"/>
      <c r="P83" s="380"/>
      <c r="Q83" s="380"/>
    </row>
    <row r="84" spans="1:17" x14ac:dyDescent="0.2">
      <c r="A84" s="380"/>
      <c r="B84" s="380"/>
      <c r="C84" s="380"/>
      <c r="D84" s="380"/>
      <c r="E84" s="380"/>
      <c r="F84" s="380"/>
      <c r="G84" s="380"/>
      <c r="H84" s="380"/>
      <c r="I84" s="383"/>
      <c r="J84" s="380"/>
      <c r="K84" s="382"/>
      <c r="L84" s="380"/>
      <c r="M84" s="380"/>
      <c r="N84" s="380"/>
      <c r="O84" s="380"/>
      <c r="P84" s="380"/>
      <c r="Q84" s="380"/>
    </row>
    <row r="85" spans="1:17" x14ac:dyDescent="0.2">
      <c r="A85" s="334" t="s">
        <v>1732</v>
      </c>
      <c r="B85" s="380"/>
      <c r="C85" s="334" t="s">
        <v>1933</v>
      </c>
      <c r="D85" s="377"/>
      <c r="E85" s="384"/>
      <c r="F85" s="380"/>
      <c r="G85" s="380"/>
      <c r="H85" s="380"/>
      <c r="I85" s="399"/>
      <c r="J85" s="377"/>
      <c r="K85" s="382"/>
      <c r="L85" s="380"/>
      <c r="M85" s="380"/>
      <c r="N85" s="380"/>
      <c r="O85" s="380"/>
      <c r="P85" s="380"/>
      <c r="Q85" s="380"/>
    </row>
    <row r="86" spans="1:17" x14ac:dyDescent="0.2">
      <c r="A86" s="334" t="s">
        <v>1733</v>
      </c>
      <c r="B86" s="380"/>
      <c r="C86" s="334" t="s">
        <v>27</v>
      </c>
      <c r="D86" s="377"/>
      <c r="E86" s="384"/>
      <c r="F86" s="380"/>
      <c r="G86" s="380"/>
      <c r="H86" s="380"/>
      <c r="I86" s="399"/>
      <c r="J86" s="377"/>
      <c r="K86" s="382"/>
      <c r="L86" s="380"/>
      <c r="M86" s="380"/>
      <c r="N86" s="380"/>
      <c r="O86" s="380"/>
      <c r="P86" s="380"/>
      <c r="Q86" s="380"/>
    </row>
    <row r="87" spans="1:17" x14ac:dyDescent="0.2">
      <c r="A87" s="334" t="s">
        <v>1724</v>
      </c>
      <c r="B87" s="380"/>
      <c r="C87" s="334" t="s">
        <v>1881</v>
      </c>
      <c r="D87" s="388">
        <v>1300</v>
      </c>
      <c r="E87" s="384"/>
      <c r="F87" s="380"/>
      <c r="G87" s="380"/>
      <c r="H87" s="380"/>
      <c r="I87" s="399"/>
      <c r="J87" s="388">
        <v>1300</v>
      </c>
      <c r="K87" s="382"/>
      <c r="L87" s="380"/>
      <c r="M87" s="380"/>
      <c r="N87" s="380"/>
      <c r="O87" s="380"/>
      <c r="P87" s="380"/>
      <c r="Q87" s="380"/>
    </row>
    <row r="88" spans="1:17" x14ac:dyDescent="0.2">
      <c r="A88" s="334" t="s">
        <v>1736</v>
      </c>
      <c r="B88" s="380"/>
      <c r="C88" s="380" t="s">
        <v>1747</v>
      </c>
      <c r="D88" s="388">
        <v>1000</v>
      </c>
      <c r="E88" s="384"/>
      <c r="F88" s="380"/>
      <c r="G88" s="380"/>
      <c r="H88" s="380"/>
      <c r="I88" s="399"/>
      <c r="J88" s="388">
        <v>1000</v>
      </c>
      <c r="K88" s="382"/>
      <c r="L88" s="380"/>
      <c r="M88" s="380"/>
      <c r="N88" s="380"/>
      <c r="O88" s="380"/>
      <c r="P88" s="380"/>
      <c r="Q88" s="380"/>
    </row>
    <row r="89" spans="1:17" x14ac:dyDescent="0.2">
      <c r="A89" s="334" t="s">
        <v>1744</v>
      </c>
      <c r="B89" s="380"/>
      <c r="C89" s="334" t="s">
        <v>1254</v>
      </c>
      <c r="D89" s="388">
        <v>200</v>
      </c>
      <c r="E89" s="384"/>
      <c r="F89" s="380"/>
      <c r="G89" s="380"/>
      <c r="H89" s="380"/>
      <c r="I89" s="399"/>
      <c r="J89" s="388">
        <v>200</v>
      </c>
      <c r="K89" s="382"/>
      <c r="L89" s="380"/>
      <c r="M89" s="380"/>
      <c r="N89" s="380"/>
      <c r="O89" s="380"/>
      <c r="P89" s="380"/>
      <c r="Q89" s="380"/>
    </row>
    <row r="90" spans="1:17" x14ac:dyDescent="0.2">
      <c r="A90" s="334" t="s">
        <v>1725</v>
      </c>
      <c r="B90" s="380"/>
      <c r="C90" s="334" t="s">
        <v>1890</v>
      </c>
      <c r="D90" s="388"/>
      <c r="E90" s="384"/>
      <c r="F90" s="380"/>
      <c r="G90" s="380"/>
      <c r="H90" s="380"/>
      <c r="I90" s="399"/>
      <c r="J90" s="388"/>
      <c r="K90" s="382"/>
      <c r="L90" s="380"/>
      <c r="M90" s="380"/>
      <c r="N90" s="380"/>
      <c r="O90" s="380"/>
      <c r="P90" s="380"/>
      <c r="Q90" s="380"/>
    </row>
    <row r="91" spans="1:17" x14ac:dyDescent="0.2">
      <c r="A91" s="334" t="s">
        <v>1745</v>
      </c>
      <c r="B91" s="380"/>
      <c r="C91" s="334" t="s">
        <v>1887</v>
      </c>
      <c r="D91" s="388">
        <v>200</v>
      </c>
      <c r="E91" s="384"/>
      <c r="F91" s="380"/>
      <c r="G91" s="380"/>
      <c r="H91" s="380"/>
      <c r="I91" s="399"/>
      <c r="J91" s="388">
        <v>200</v>
      </c>
      <c r="K91" s="382"/>
      <c r="L91" s="380"/>
      <c r="M91" s="380"/>
      <c r="N91" s="380"/>
      <c r="O91" s="380"/>
      <c r="P91" s="380"/>
      <c r="Q91" s="380"/>
    </row>
    <row r="92" spans="1:17" x14ac:dyDescent="0.2">
      <c r="A92" s="334" t="s">
        <v>1565</v>
      </c>
      <c r="B92" s="380"/>
      <c r="C92" s="334" t="s">
        <v>1927</v>
      </c>
      <c r="D92" s="388">
        <v>250</v>
      </c>
      <c r="E92" s="384"/>
      <c r="F92" s="380"/>
      <c r="G92" s="380"/>
      <c r="H92" s="380"/>
      <c r="I92" s="399"/>
      <c r="J92" s="388">
        <v>250</v>
      </c>
      <c r="K92" s="382"/>
      <c r="L92" s="380"/>
      <c r="M92" s="380"/>
      <c r="N92" s="380"/>
      <c r="O92" s="380"/>
      <c r="P92" s="380"/>
      <c r="Q92" s="380"/>
    </row>
    <row r="93" spans="1:17" x14ac:dyDescent="0.2">
      <c r="A93" s="334" t="s">
        <v>1737</v>
      </c>
      <c r="B93" s="380"/>
      <c r="C93" s="334" t="s">
        <v>1928</v>
      </c>
      <c r="D93" s="388">
        <v>250</v>
      </c>
      <c r="E93" s="384"/>
      <c r="F93" s="380"/>
      <c r="G93" s="380"/>
      <c r="H93" s="380"/>
      <c r="I93" s="399"/>
      <c r="J93" s="388">
        <v>250</v>
      </c>
      <c r="K93" s="382"/>
      <c r="L93" s="380"/>
      <c r="M93" s="380"/>
      <c r="N93" s="380"/>
      <c r="O93" s="380"/>
      <c r="P93" s="380"/>
      <c r="Q93" s="380"/>
    </row>
    <row r="94" spans="1:17" x14ac:dyDescent="0.2">
      <c r="A94" s="334" t="s">
        <v>1726</v>
      </c>
      <c r="B94" s="380"/>
      <c r="C94" s="334" t="s">
        <v>1117</v>
      </c>
      <c r="D94" s="388"/>
      <c r="E94" s="384"/>
      <c r="F94" s="380"/>
      <c r="G94" s="380"/>
      <c r="H94" s="380"/>
      <c r="I94" s="399"/>
      <c r="J94" s="388"/>
      <c r="K94" s="382"/>
      <c r="L94" s="380"/>
      <c r="M94" s="380"/>
      <c r="N94" s="380"/>
      <c r="O94" s="380"/>
      <c r="P94" s="380"/>
      <c r="Q94" s="380"/>
    </row>
    <row r="95" spans="1:17" x14ac:dyDescent="0.2">
      <c r="A95" s="334" t="s">
        <v>1738</v>
      </c>
      <c r="B95" s="380"/>
      <c r="C95" s="334" t="s">
        <v>1591</v>
      </c>
      <c r="D95" s="388">
        <v>100</v>
      </c>
      <c r="E95" s="384"/>
      <c r="F95" s="380"/>
      <c r="G95" s="380"/>
      <c r="H95" s="380"/>
      <c r="I95" s="399"/>
      <c r="J95" s="388">
        <v>100</v>
      </c>
      <c r="K95" s="382"/>
      <c r="L95" s="380"/>
      <c r="M95" s="380"/>
      <c r="N95" s="380"/>
      <c r="O95" s="380"/>
      <c r="P95" s="380"/>
      <c r="Q95" s="380"/>
    </row>
    <row r="96" spans="1:17" x14ac:dyDescent="0.2">
      <c r="A96" s="334" t="s">
        <v>1727</v>
      </c>
      <c r="B96" s="380"/>
      <c r="C96" s="334" t="s">
        <v>307</v>
      </c>
      <c r="D96" s="388">
        <v>300</v>
      </c>
      <c r="E96" s="384"/>
      <c r="F96" s="380"/>
      <c r="G96" s="380"/>
      <c r="H96" s="380"/>
      <c r="I96" s="399"/>
      <c r="J96" s="388">
        <v>300</v>
      </c>
      <c r="K96" s="382"/>
      <c r="L96" s="380"/>
      <c r="M96" s="380"/>
      <c r="N96" s="380"/>
      <c r="O96" s="380"/>
      <c r="P96" s="380"/>
      <c r="Q96" s="380"/>
    </row>
    <row r="97" spans="1:17" x14ac:dyDescent="0.2">
      <c r="A97" s="334" t="s">
        <v>1728</v>
      </c>
      <c r="B97" s="380"/>
      <c r="C97" s="334" t="s">
        <v>310</v>
      </c>
      <c r="D97" s="388"/>
      <c r="E97" s="384"/>
      <c r="F97" s="380"/>
      <c r="G97" s="380"/>
      <c r="H97" s="380"/>
      <c r="I97" s="399"/>
      <c r="J97" s="388"/>
      <c r="K97" s="382"/>
      <c r="L97" s="380"/>
      <c r="M97" s="380"/>
      <c r="N97" s="380"/>
      <c r="O97" s="380"/>
      <c r="P97" s="380"/>
      <c r="Q97" s="380"/>
    </row>
    <row r="98" spans="1:17" x14ac:dyDescent="0.2">
      <c r="A98" s="334" t="s">
        <v>1729</v>
      </c>
      <c r="B98" s="380"/>
      <c r="C98" s="380" t="s">
        <v>1551</v>
      </c>
      <c r="D98" s="388">
        <f>-1820-3000</f>
        <v>-4820</v>
      </c>
      <c r="E98" s="384"/>
      <c r="F98" s="380"/>
      <c r="G98" s="380"/>
      <c r="H98" s="380"/>
      <c r="I98" s="399"/>
      <c r="J98" s="388">
        <v>100</v>
      </c>
      <c r="K98" s="382"/>
      <c r="L98" s="380"/>
      <c r="M98" s="380"/>
      <c r="N98" s="380"/>
      <c r="O98" s="380"/>
      <c r="P98" s="380"/>
      <c r="Q98" s="380"/>
    </row>
    <row r="99" spans="1:17" x14ac:dyDescent="0.2">
      <c r="A99" s="334" t="s">
        <v>1735</v>
      </c>
      <c r="B99" s="380"/>
      <c r="C99" s="380" t="s">
        <v>194</v>
      </c>
      <c r="D99" s="388"/>
      <c r="E99" s="384"/>
      <c r="F99" s="380"/>
      <c r="G99" s="380"/>
      <c r="H99" s="380"/>
      <c r="I99" s="399"/>
      <c r="J99" s="388"/>
      <c r="K99" s="382"/>
      <c r="L99" s="380"/>
      <c r="M99" s="380"/>
      <c r="N99" s="380"/>
      <c r="O99" s="380"/>
      <c r="P99" s="380"/>
      <c r="Q99" s="380"/>
    </row>
    <row r="100" spans="1:17" x14ac:dyDescent="0.2">
      <c r="A100" s="384" t="s">
        <v>1742</v>
      </c>
      <c r="B100" s="380"/>
      <c r="C100" s="334" t="s">
        <v>1553</v>
      </c>
      <c r="D100" s="388"/>
      <c r="E100" s="384"/>
      <c r="F100" s="380"/>
      <c r="G100" s="380"/>
      <c r="H100" s="380"/>
      <c r="I100" s="399"/>
      <c r="J100" s="388"/>
      <c r="K100" s="382"/>
      <c r="L100" s="380"/>
      <c r="M100" s="380"/>
      <c r="N100" s="380"/>
      <c r="O100" s="380"/>
      <c r="P100" s="380"/>
      <c r="Q100" s="380"/>
    </row>
    <row r="101" spans="1:17" x14ac:dyDescent="0.2">
      <c r="A101" s="334" t="s">
        <v>1730</v>
      </c>
      <c r="B101" s="380"/>
      <c r="C101" s="334" t="s">
        <v>1985</v>
      </c>
      <c r="D101" s="388">
        <v>2600</v>
      </c>
      <c r="E101" s="384"/>
      <c r="F101" s="380"/>
      <c r="G101" s="380"/>
      <c r="H101" s="380"/>
      <c r="I101" s="399"/>
      <c r="J101" s="388">
        <v>2600</v>
      </c>
      <c r="K101" s="382"/>
      <c r="L101" s="380"/>
      <c r="M101" s="380"/>
      <c r="N101" s="380"/>
      <c r="O101" s="380"/>
      <c r="P101" s="380"/>
      <c r="Q101" s="380"/>
    </row>
    <row r="102" spans="1:17" x14ac:dyDescent="0.2">
      <c r="A102" s="334" t="s">
        <v>1566</v>
      </c>
      <c r="B102" s="380"/>
      <c r="C102" s="334" t="s">
        <v>366</v>
      </c>
      <c r="D102" s="388">
        <v>400</v>
      </c>
      <c r="E102" s="384"/>
      <c r="F102" s="380"/>
      <c r="G102" s="380"/>
      <c r="H102" s="380"/>
      <c r="I102" s="399"/>
      <c r="J102" s="388">
        <v>400</v>
      </c>
      <c r="K102" s="382"/>
      <c r="L102" s="380"/>
      <c r="M102" s="380"/>
      <c r="N102" s="380"/>
      <c r="O102" s="380"/>
      <c r="P102" s="380"/>
      <c r="Q102" s="380"/>
    </row>
    <row r="103" spans="1:17" x14ac:dyDescent="0.2">
      <c r="A103" s="334" t="s">
        <v>1567</v>
      </c>
      <c r="B103" s="380"/>
      <c r="C103" s="334" t="s">
        <v>3142</v>
      </c>
      <c r="D103" s="388"/>
      <c r="E103" s="384"/>
      <c r="F103" s="380"/>
      <c r="G103" s="380"/>
      <c r="H103" s="380"/>
      <c r="I103" s="399"/>
      <c r="J103" s="388"/>
      <c r="K103" s="382"/>
      <c r="L103" s="380"/>
      <c r="M103" s="380"/>
      <c r="N103" s="380"/>
      <c r="O103" s="380"/>
      <c r="P103" s="380"/>
      <c r="Q103" s="380"/>
    </row>
    <row r="104" spans="1:17" x14ac:dyDescent="0.2">
      <c r="A104" s="334" t="s">
        <v>1743</v>
      </c>
      <c r="B104" s="380"/>
      <c r="C104" s="334" t="s">
        <v>1886</v>
      </c>
      <c r="D104" s="388">
        <v>2500</v>
      </c>
      <c r="E104" s="384"/>
      <c r="F104" s="380"/>
      <c r="G104" s="380"/>
      <c r="H104" s="380"/>
      <c r="I104" s="385"/>
      <c r="J104" s="388">
        <v>2500</v>
      </c>
      <c r="K104" s="382"/>
      <c r="L104" s="380"/>
      <c r="M104" s="380"/>
      <c r="N104" s="380"/>
      <c r="O104" s="380"/>
      <c r="P104" s="380"/>
      <c r="Q104" s="380"/>
    </row>
    <row r="105" spans="1:17" x14ac:dyDescent="0.2">
      <c r="A105" s="380"/>
      <c r="B105" s="380"/>
      <c r="C105" s="380"/>
      <c r="D105" s="394"/>
      <c r="E105" s="380"/>
      <c r="F105" s="380"/>
      <c r="G105" s="380"/>
      <c r="H105" s="380"/>
      <c r="I105" s="383"/>
      <c r="J105" s="394"/>
      <c r="K105" s="382"/>
      <c r="L105" s="380"/>
      <c r="M105" s="380"/>
      <c r="N105" s="380"/>
      <c r="O105" s="380"/>
      <c r="P105" s="380"/>
      <c r="Q105" s="380"/>
    </row>
    <row r="106" spans="1:17" x14ac:dyDescent="0.2">
      <c r="A106" s="380"/>
      <c r="B106" s="380"/>
      <c r="C106" s="380"/>
      <c r="D106" s="334">
        <f>SUM(D85:D104)</f>
        <v>4280</v>
      </c>
      <c r="E106" s="380"/>
      <c r="F106" s="380"/>
      <c r="G106" s="380"/>
      <c r="H106" s="380"/>
      <c r="I106" s="383"/>
      <c r="J106" s="334">
        <f>SUM(J85:J104)</f>
        <v>9200</v>
      </c>
      <c r="K106" s="382"/>
      <c r="L106" s="380"/>
      <c r="M106" s="380"/>
      <c r="N106" s="380"/>
      <c r="O106" s="380"/>
      <c r="P106" s="380"/>
      <c r="Q106" s="380"/>
    </row>
    <row r="107" spans="1:17" ht="15.75" thickTop="1" x14ac:dyDescent="0.2">
      <c r="A107" s="380"/>
      <c r="B107" s="380"/>
      <c r="C107" s="380"/>
      <c r="D107" s="400">
        <f>D106-D85-D86</f>
        <v>4280</v>
      </c>
      <c r="E107" s="380"/>
      <c r="F107" s="380"/>
      <c r="G107" s="380"/>
      <c r="H107" s="380"/>
      <c r="I107" s="396"/>
      <c r="J107" s="400">
        <f>J106</f>
        <v>9200</v>
      </c>
      <c r="K107" s="382"/>
      <c r="L107" s="380"/>
      <c r="M107" s="380"/>
      <c r="N107" s="380"/>
      <c r="O107" s="380"/>
      <c r="P107" s="380"/>
      <c r="Q107" s="380"/>
    </row>
    <row r="108" spans="1:17" ht="15.75" x14ac:dyDescent="0.25">
      <c r="A108" s="377"/>
      <c r="B108" s="377"/>
      <c r="C108" s="377"/>
      <c r="D108" s="377"/>
      <c r="E108" s="377"/>
      <c r="F108" s="377"/>
      <c r="G108" s="377"/>
      <c r="H108" s="377"/>
      <c r="I108" s="397"/>
      <c r="J108" s="377"/>
      <c r="K108" s="382"/>
      <c r="L108" s="380"/>
      <c r="M108" s="380"/>
      <c r="N108" s="380"/>
      <c r="O108" s="380"/>
      <c r="P108" s="380"/>
      <c r="Q108" s="380"/>
    </row>
    <row r="109" spans="1:17" x14ac:dyDescent="0.2">
      <c r="A109" s="380"/>
      <c r="B109" s="380"/>
      <c r="C109" s="380"/>
      <c r="D109" s="380"/>
      <c r="E109" s="380"/>
      <c r="F109" s="380"/>
      <c r="G109" s="380"/>
      <c r="H109" s="380"/>
      <c r="I109" s="383"/>
      <c r="J109" s="380"/>
      <c r="K109" s="382"/>
      <c r="L109" s="380"/>
      <c r="M109" s="380"/>
      <c r="N109" s="380"/>
      <c r="O109" s="380"/>
      <c r="P109" s="380"/>
      <c r="Q109" s="380"/>
    </row>
    <row r="110" spans="1:17" x14ac:dyDescent="0.2">
      <c r="A110" s="334" t="s">
        <v>1857</v>
      </c>
      <c r="B110" s="380"/>
      <c r="C110" s="380"/>
      <c r="D110" s="380"/>
      <c r="E110" s="380"/>
      <c r="F110" s="380"/>
      <c r="G110" s="380"/>
      <c r="H110" s="380"/>
      <c r="I110" s="383"/>
      <c r="J110" s="380"/>
      <c r="K110" s="382"/>
      <c r="L110" s="380"/>
      <c r="M110" s="380"/>
      <c r="N110" s="380"/>
      <c r="O110" s="380"/>
      <c r="P110" s="380"/>
      <c r="Q110" s="380"/>
    </row>
    <row r="111" spans="1:17" x14ac:dyDescent="0.2">
      <c r="A111" s="380"/>
      <c r="B111" s="380"/>
      <c r="C111" s="384" t="s">
        <v>2090</v>
      </c>
      <c r="D111" s="380"/>
      <c r="E111" s="380"/>
      <c r="F111" s="380"/>
      <c r="G111" s="380"/>
      <c r="H111" s="380"/>
      <c r="I111" s="383"/>
      <c r="J111" s="380"/>
      <c r="K111" s="382"/>
      <c r="L111" s="380"/>
      <c r="M111" s="380"/>
      <c r="N111" s="380"/>
      <c r="O111" s="380"/>
      <c r="P111" s="380"/>
      <c r="Q111" s="380"/>
    </row>
    <row r="112" spans="1:17" x14ac:dyDescent="0.2">
      <c r="A112" s="380"/>
      <c r="B112" s="380"/>
      <c r="C112" s="380"/>
      <c r="D112" s="380"/>
      <c r="E112" s="380"/>
      <c r="F112" s="380"/>
      <c r="G112" s="380"/>
      <c r="H112" s="380"/>
      <c r="I112" s="383"/>
      <c r="J112" s="380"/>
      <c r="K112" s="382"/>
      <c r="L112" s="380"/>
      <c r="M112" s="380"/>
      <c r="N112" s="380"/>
      <c r="O112" s="380"/>
      <c r="P112" s="380"/>
      <c r="Q112" s="380"/>
    </row>
    <row r="113" spans="1:17" x14ac:dyDescent="0.2">
      <c r="A113" s="334" t="s">
        <v>1723</v>
      </c>
      <c r="B113" s="380"/>
      <c r="C113" s="334" t="s">
        <v>1880</v>
      </c>
      <c r="D113" s="334" t="s">
        <v>181</v>
      </c>
      <c r="E113" s="380"/>
      <c r="F113" s="380"/>
      <c r="G113" s="380"/>
      <c r="H113" s="380"/>
      <c r="I113" s="383"/>
      <c r="J113" s="334" t="s">
        <v>181</v>
      </c>
      <c r="K113" s="382"/>
      <c r="L113" s="380"/>
      <c r="M113" s="380"/>
      <c r="N113" s="380"/>
      <c r="O113" s="380"/>
      <c r="P113" s="380"/>
      <c r="Q113" s="380"/>
    </row>
    <row r="114" spans="1:17" x14ac:dyDescent="0.2">
      <c r="A114" s="380"/>
      <c r="B114" s="380"/>
      <c r="C114" s="380"/>
      <c r="D114" s="380"/>
      <c r="E114" s="380"/>
      <c r="F114" s="380"/>
      <c r="G114" s="380"/>
      <c r="H114" s="380"/>
      <c r="I114" s="383"/>
      <c r="J114" s="380"/>
      <c r="K114" s="382"/>
      <c r="L114" s="380"/>
      <c r="M114" s="380"/>
      <c r="N114" s="380"/>
      <c r="O114" s="380"/>
      <c r="P114" s="380"/>
      <c r="Q114" s="380"/>
    </row>
    <row r="115" spans="1:17" x14ac:dyDescent="0.2">
      <c r="A115" s="334" t="s">
        <v>1568</v>
      </c>
      <c r="B115" s="380"/>
      <c r="C115" s="380" t="s">
        <v>1817</v>
      </c>
      <c r="D115" s="377"/>
      <c r="E115" s="384"/>
      <c r="F115" s="380"/>
      <c r="G115" s="380"/>
      <c r="H115" s="380"/>
      <c r="I115" s="399"/>
      <c r="J115" s="377"/>
      <c r="K115" s="382"/>
      <c r="L115" s="380"/>
      <c r="M115" s="380"/>
      <c r="N115" s="380"/>
      <c r="O115" s="380"/>
      <c r="P115" s="380"/>
      <c r="Q115" s="380"/>
    </row>
    <row r="116" spans="1:17" x14ac:dyDescent="0.2">
      <c r="A116" s="384" t="s">
        <v>1743</v>
      </c>
      <c r="B116" s="380"/>
      <c r="C116" s="334" t="s">
        <v>1886</v>
      </c>
      <c r="D116" s="388">
        <v>3000</v>
      </c>
      <c r="E116" s="384"/>
      <c r="F116" s="380"/>
      <c r="G116" s="380"/>
      <c r="H116" s="380"/>
      <c r="I116" s="399"/>
      <c r="J116" s="388">
        <v>4050</v>
      </c>
      <c r="K116" s="382"/>
      <c r="L116" s="380"/>
      <c r="M116" s="380"/>
      <c r="N116" s="380"/>
      <c r="O116" s="380"/>
      <c r="P116" s="380"/>
      <c r="Q116" s="380"/>
    </row>
    <row r="117" spans="1:17" x14ac:dyDescent="0.2">
      <c r="A117" s="334" t="s">
        <v>1724</v>
      </c>
      <c r="B117" s="380"/>
      <c r="C117" s="334" t="s">
        <v>1881</v>
      </c>
      <c r="D117" s="388">
        <v>3500</v>
      </c>
      <c r="E117" s="384"/>
      <c r="F117" s="380"/>
      <c r="G117" s="380"/>
      <c r="H117" s="380"/>
      <c r="I117" s="399"/>
      <c r="J117" s="388">
        <v>3500</v>
      </c>
      <c r="K117" s="382"/>
      <c r="L117" s="380"/>
      <c r="M117" s="380"/>
      <c r="N117" s="380"/>
      <c r="O117" s="380"/>
      <c r="P117" s="380"/>
      <c r="Q117" s="380"/>
    </row>
    <row r="118" spans="1:17" x14ac:dyDescent="0.2">
      <c r="A118" s="334" t="s">
        <v>1736</v>
      </c>
      <c r="B118" s="380"/>
      <c r="C118" s="334" t="s">
        <v>1747</v>
      </c>
      <c r="D118" s="388">
        <v>250</v>
      </c>
      <c r="E118" s="384"/>
      <c r="F118" s="380"/>
      <c r="G118" s="380"/>
      <c r="H118" s="380"/>
      <c r="I118" s="399"/>
      <c r="J118" s="388">
        <v>250</v>
      </c>
      <c r="K118" s="382"/>
      <c r="L118" s="380"/>
      <c r="M118" s="380"/>
      <c r="N118" s="380"/>
      <c r="O118" s="380"/>
      <c r="P118" s="380"/>
      <c r="Q118" s="380"/>
    </row>
    <row r="119" spans="1:17" x14ac:dyDescent="0.2">
      <c r="A119" s="334" t="s">
        <v>1744</v>
      </c>
      <c r="B119" s="380"/>
      <c r="C119" s="334" t="s">
        <v>1254</v>
      </c>
      <c r="D119" s="388">
        <v>2500</v>
      </c>
      <c r="E119" s="384"/>
      <c r="F119" s="380"/>
      <c r="G119" s="380"/>
      <c r="H119" s="380"/>
      <c r="I119" s="399"/>
      <c r="J119" s="388">
        <v>2000</v>
      </c>
      <c r="K119" s="382"/>
      <c r="L119" s="380"/>
      <c r="M119" s="380"/>
      <c r="N119" s="380"/>
      <c r="O119" s="380"/>
      <c r="P119" s="380"/>
      <c r="Q119" s="380"/>
    </row>
    <row r="120" spans="1:17" x14ac:dyDescent="0.2">
      <c r="A120" s="334" t="s">
        <v>1725</v>
      </c>
      <c r="B120" s="380"/>
      <c r="C120" s="334" t="s">
        <v>1890</v>
      </c>
      <c r="D120" s="388"/>
      <c r="E120" s="384"/>
      <c r="F120" s="380"/>
      <c r="G120" s="380"/>
      <c r="H120" s="380"/>
      <c r="I120" s="399"/>
      <c r="J120" s="388">
        <v>400</v>
      </c>
      <c r="K120" s="382"/>
      <c r="L120" s="380"/>
      <c r="M120" s="380"/>
      <c r="N120" s="380"/>
      <c r="O120" s="380"/>
      <c r="P120" s="380"/>
      <c r="Q120" s="380"/>
    </row>
    <row r="121" spans="1:17" x14ac:dyDescent="0.2">
      <c r="A121" s="391" t="s">
        <v>942</v>
      </c>
      <c r="B121" s="380"/>
      <c r="C121" s="392" t="s">
        <v>943</v>
      </c>
      <c r="D121" s="388">
        <v>240</v>
      </c>
      <c r="E121" s="384"/>
      <c r="F121" s="380"/>
      <c r="G121" s="380"/>
      <c r="H121" s="380"/>
      <c r="I121" s="399"/>
      <c r="J121" s="388"/>
      <c r="K121" s="382"/>
      <c r="L121" s="380"/>
      <c r="M121" s="380"/>
      <c r="N121" s="380"/>
      <c r="O121" s="380"/>
      <c r="P121" s="380"/>
      <c r="Q121" s="380"/>
    </row>
    <row r="122" spans="1:17" x14ac:dyDescent="0.2">
      <c r="A122" s="384" t="s">
        <v>1576</v>
      </c>
      <c r="B122" s="380"/>
      <c r="C122" s="334" t="s">
        <v>1590</v>
      </c>
      <c r="D122" s="388"/>
      <c r="E122" s="384"/>
      <c r="F122" s="380"/>
      <c r="G122" s="380"/>
      <c r="H122" s="380"/>
      <c r="I122" s="399"/>
      <c r="J122" s="388">
        <v>50</v>
      </c>
      <c r="K122" s="382"/>
      <c r="L122" s="380"/>
      <c r="M122" s="380"/>
      <c r="N122" s="380"/>
      <c r="O122" s="380"/>
      <c r="P122" s="380"/>
      <c r="Q122" s="380"/>
    </row>
    <row r="123" spans="1:17" x14ac:dyDescent="0.2">
      <c r="A123" s="334" t="s">
        <v>1737</v>
      </c>
      <c r="B123" s="380"/>
      <c r="C123" s="334" t="s">
        <v>1928</v>
      </c>
      <c r="D123" s="388">
        <v>450</v>
      </c>
      <c r="E123" s="384"/>
      <c r="F123" s="380"/>
      <c r="G123" s="380"/>
      <c r="H123" s="380"/>
      <c r="I123" s="399"/>
      <c r="J123" s="388">
        <v>1000</v>
      </c>
      <c r="K123" s="382"/>
      <c r="L123" s="380"/>
      <c r="M123" s="380"/>
      <c r="N123" s="380"/>
      <c r="O123" s="380"/>
      <c r="P123" s="380"/>
      <c r="Q123" s="380"/>
    </row>
    <row r="124" spans="1:17" x14ac:dyDescent="0.2">
      <c r="A124" s="334" t="s">
        <v>1726</v>
      </c>
      <c r="B124" s="380"/>
      <c r="C124" s="334" t="s">
        <v>1117</v>
      </c>
      <c r="D124" s="388"/>
      <c r="E124" s="384"/>
      <c r="F124" s="380"/>
      <c r="G124" s="380"/>
      <c r="H124" s="380"/>
      <c r="I124" s="399"/>
      <c r="J124" s="388"/>
      <c r="K124" s="382"/>
      <c r="L124" s="380"/>
      <c r="M124" s="380"/>
      <c r="N124" s="380"/>
      <c r="O124" s="380"/>
      <c r="P124" s="380"/>
      <c r="Q124" s="380"/>
    </row>
    <row r="125" spans="1:17" x14ac:dyDescent="0.2">
      <c r="A125" s="384" t="s">
        <v>3020</v>
      </c>
      <c r="B125" s="380"/>
      <c r="C125" s="334" t="s">
        <v>3023</v>
      </c>
      <c r="D125" s="388">
        <v>15000</v>
      </c>
      <c r="E125" s="384"/>
      <c r="F125" s="380"/>
      <c r="G125" s="380"/>
      <c r="H125" s="380"/>
      <c r="I125" s="399"/>
      <c r="J125" s="388"/>
      <c r="K125" s="382"/>
      <c r="L125" s="380"/>
      <c r="M125" s="380"/>
      <c r="N125" s="380"/>
      <c r="O125" s="380"/>
      <c r="P125" s="380"/>
      <c r="Q125" s="380"/>
    </row>
    <row r="126" spans="1:17" x14ac:dyDescent="0.2">
      <c r="A126" s="384" t="s">
        <v>3021</v>
      </c>
      <c r="B126" s="380"/>
      <c r="C126" s="334" t="s">
        <v>3024</v>
      </c>
      <c r="D126" s="388">
        <v>15000</v>
      </c>
      <c r="E126" s="384"/>
      <c r="F126" s="380"/>
      <c r="G126" s="380"/>
      <c r="H126" s="380"/>
      <c r="I126" s="399"/>
      <c r="J126" s="388"/>
      <c r="K126" s="382"/>
      <c r="L126" s="380"/>
      <c r="M126" s="380"/>
      <c r="N126" s="380"/>
      <c r="O126" s="380"/>
      <c r="P126" s="380"/>
      <c r="Q126" s="380"/>
    </row>
    <row r="127" spans="1:17" x14ac:dyDescent="0.2">
      <c r="A127" s="384" t="s">
        <v>3022</v>
      </c>
      <c r="B127" s="380"/>
      <c r="C127" s="334" t="s">
        <v>3025</v>
      </c>
      <c r="D127" s="388">
        <v>20000</v>
      </c>
      <c r="E127" s="384"/>
      <c r="F127" s="380"/>
      <c r="G127" s="380"/>
      <c r="H127" s="380"/>
      <c r="I127" s="399"/>
      <c r="J127" s="388"/>
      <c r="K127" s="382"/>
      <c r="L127" s="380"/>
      <c r="M127" s="380"/>
      <c r="N127" s="380"/>
      <c r="O127" s="380"/>
      <c r="P127" s="380"/>
      <c r="Q127" s="380"/>
    </row>
    <row r="128" spans="1:17" x14ac:dyDescent="0.2">
      <c r="A128" s="334" t="s">
        <v>1570</v>
      </c>
      <c r="B128" s="380"/>
      <c r="C128" s="334" t="s">
        <v>2040</v>
      </c>
      <c r="D128" s="388">
        <v>37000</v>
      </c>
      <c r="E128" s="384"/>
      <c r="F128" s="380"/>
      <c r="G128" s="380"/>
      <c r="H128" s="380"/>
      <c r="I128" s="399"/>
      <c r="J128" s="388">
        <v>65000</v>
      </c>
      <c r="K128" s="382"/>
      <c r="L128" s="380"/>
      <c r="M128" s="380"/>
      <c r="N128" s="380"/>
      <c r="O128" s="380"/>
      <c r="P128" s="380"/>
      <c r="Q128" s="380"/>
    </row>
    <row r="129" spans="1:17" x14ac:dyDescent="0.2">
      <c r="A129" s="334" t="s">
        <v>1734</v>
      </c>
      <c r="B129" s="380"/>
      <c r="C129" s="334" t="s">
        <v>1746</v>
      </c>
      <c r="D129" s="388">
        <v>300</v>
      </c>
      <c r="E129" s="384"/>
      <c r="F129" s="380"/>
      <c r="G129" s="380"/>
      <c r="H129" s="380"/>
      <c r="I129" s="399"/>
      <c r="J129" s="388">
        <v>300</v>
      </c>
      <c r="K129" s="382"/>
      <c r="L129" s="380"/>
      <c r="M129" s="380"/>
      <c r="N129" s="380"/>
      <c r="O129" s="380"/>
      <c r="P129" s="380"/>
      <c r="Q129" s="380"/>
    </row>
    <row r="130" spans="1:17" x14ac:dyDescent="0.2">
      <c r="A130" s="334" t="s">
        <v>1571</v>
      </c>
      <c r="B130" s="380"/>
      <c r="C130" s="334" t="s">
        <v>3</v>
      </c>
      <c r="D130" s="388"/>
      <c r="E130" s="384"/>
      <c r="F130" s="380"/>
      <c r="G130" s="380"/>
      <c r="H130" s="380"/>
      <c r="I130" s="399"/>
      <c r="J130" s="388"/>
      <c r="K130" s="382"/>
      <c r="L130" s="380"/>
      <c r="M130" s="380"/>
      <c r="N130" s="380"/>
      <c r="O130" s="380"/>
      <c r="P130" s="380"/>
      <c r="Q130" s="380"/>
    </row>
    <row r="131" spans="1:17" x14ac:dyDescent="0.2">
      <c r="A131" s="384" t="s">
        <v>1738</v>
      </c>
      <c r="B131" s="380"/>
      <c r="C131" s="334" t="s">
        <v>1591</v>
      </c>
      <c r="D131" s="388">
        <v>300</v>
      </c>
      <c r="E131" s="384"/>
      <c r="F131" s="380"/>
      <c r="G131" s="380"/>
      <c r="H131" s="380"/>
      <c r="I131" s="399"/>
      <c r="J131" s="388">
        <v>200</v>
      </c>
      <c r="K131" s="382"/>
      <c r="L131" s="380"/>
      <c r="M131" s="380"/>
      <c r="N131" s="380"/>
      <c r="O131" s="380"/>
      <c r="P131" s="380"/>
      <c r="Q131" s="380"/>
    </row>
    <row r="132" spans="1:17" x14ac:dyDescent="0.2">
      <c r="A132" s="334" t="s">
        <v>1727</v>
      </c>
      <c r="B132" s="380"/>
      <c r="C132" s="334" t="s">
        <v>307</v>
      </c>
      <c r="D132" s="388">
        <v>2000</v>
      </c>
      <c r="E132" s="384"/>
      <c r="F132" s="380"/>
      <c r="G132" s="380"/>
      <c r="H132" s="380"/>
      <c r="I132" s="399"/>
      <c r="J132" s="388">
        <v>1500</v>
      </c>
      <c r="K132" s="382"/>
      <c r="L132" s="380"/>
      <c r="M132" s="380"/>
      <c r="N132" s="380"/>
      <c r="O132" s="380"/>
      <c r="P132" s="380"/>
      <c r="Q132" s="380"/>
    </row>
    <row r="133" spans="1:17" x14ac:dyDescent="0.2">
      <c r="A133" s="334" t="s">
        <v>1728</v>
      </c>
      <c r="B133" s="380"/>
      <c r="C133" s="334" t="s">
        <v>310</v>
      </c>
      <c r="D133" s="388">
        <v>600</v>
      </c>
      <c r="E133" s="384"/>
      <c r="F133" s="380"/>
      <c r="G133" s="380"/>
      <c r="H133" s="380"/>
      <c r="I133" s="399"/>
      <c r="J133" s="388">
        <v>375</v>
      </c>
      <c r="K133" s="382"/>
      <c r="L133" s="380"/>
      <c r="M133" s="380"/>
      <c r="N133" s="380"/>
      <c r="O133" s="380"/>
      <c r="P133" s="380"/>
      <c r="Q133" s="380"/>
    </row>
    <row r="134" spans="1:17" x14ac:dyDescent="0.2">
      <c r="A134" s="334" t="s">
        <v>1729</v>
      </c>
      <c r="B134" s="380"/>
      <c r="C134" s="380" t="s">
        <v>1551</v>
      </c>
      <c r="D134" s="388">
        <f>-24328-5000</f>
        <v>-29328</v>
      </c>
      <c r="E134" s="384"/>
      <c r="F134" s="380"/>
      <c r="G134" s="380"/>
      <c r="H134" s="380"/>
      <c r="I134" s="399"/>
      <c r="J134" s="388">
        <v>6000</v>
      </c>
      <c r="K134" s="382"/>
      <c r="L134" s="380"/>
      <c r="M134" s="380"/>
      <c r="N134" s="380"/>
      <c r="O134" s="380"/>
      <c r="P134" s="380"/>
      <c r="Q134" s="380"/>
    </row>
    <row r="135" spans="1:17" x14ac:dyDescent="0.2">
      <c r="A135" s="334" t="s">
        <v>1735</v>
      </c>
      <c r="B135" s="380"/>
      <c r="C135" s="380" t="s">
        <v>194</v>
      </c>
      <c r="D135" s="388"/>
      <c r="E135" s="384"/>
      <c r="F135" s="380"/>
      <c r="G135" s="380"/>
      <c r="H135" s="380"/>
      <c r="I135" s="399"/>
      <c r="J135" s="388">
        <v>75</v>
      </c>
      <c r="K135" s="382"/>
      <c r="L135" s="380"/>
      <c r="M135" s="380"/>
      <c r="N135" s="380"/>
      <c r="O135" s="380"/>
      <c r="P135" s="380"/>
      <c r="Q135" s="380"/>
    </row>
    <row r="136" spans="1:17" x14ac:dyDescent="0.2">
      <c r="A136" s="384" t="s">
        <v>1741</v>
      </c>
      <c r="B136" s="380"/>
      <c r="C136" s="334" t="s">
        <v>1748</v>
      </c>
      <c r="D136" s="388">
        <v>500</v>
      </c>
      <c r="E136" s="384"/>
      <c r="F136" s="380"/>
      <c r="G136" s="380"/>
      <c r="H136" s="380"/>
      <c r="I136" s="399"/>
      <c r="J136" s="388">
        <v>1000</v>
      </c>
      <c r="K136" s="382"/>
      <c r="L136" s="380"/>
      <c r="M136" s="380"/>
      <c r="N136" s="380"/>
      <c r="O136" s="380"/>
      <c r="P136" s="380"/>
      <c r="Q136" s="380"/>
    </row>
    <row r="137" spans="1:17" x14ac:dyDescent="0.2">
      <c r="A137" s="334" t="s">
        <v>1742</v>
      </c>
      <c r="B137" s="380"/>
      <c r="C137" s="334" t="s">
        <v>1553</v>
      </c>
      <c r="D137" s="388"/>
      <c r="E137" s="384"/>
      <c r="F137" s="380"/>
      <c r="G137" s="380"/>
      <c r="H137" s="380"/>
      <c r="I137" s="399"/>
      <c r="J137" s="388"/>
      <c r="K137" s="382"/>
      <c r="L137" s="380"/>
      <c r="M137" s="380"/>
      <c r="N137" s="380"/>
      <c r="O137" s="380"/>
      <c r="P137" s="380"/>
      <c r="Q137" s="380"/>
    </row>
    <row r="138" spans="1:17" x14ac:dyDescent="0.2">
      <c r="A138" s="384" t="s">
        <v>1588</v>
      </c>
      <c r="B138" s="380"/>
      <c r="C138" s="334" t="s">
        <v>191</v>
      </c>
      <c r="D138" s="388"/>
      <c r="E138" s="384"/>
      <c r="F138" s="380"/>
      <c r="G138" s="380"/>
      <c r="H138" s="380"/>
      <c r="I138" s="399"/>
      <c r="J138" s="388">
        <v>750</v>
      </c>
      <c r="K138" s="382"/>
      <c r="L138" s="380"/>
      <c r="M138" s="380"/>
      <c r="N138" s="380"/>
      <c r="O138" s="380"/>
      <c r="P138" s="380"/>
      <c r="Q138" s="380"/>
    </row>
    <row r="139" spans="1:17" x14ac:dyDescent="0.2">
      <c r="A139" s="384" t="s">
        <v>1760</v>
      </c>
      <c r="B139" s="380"/>
      <c r="C139" s="334" t="s">
        <v>40</v>
      </c>
      <c r="D139" s="388">
        <v>16000</v>
      </c>
      <c r="E139" s="384"/>
      <c r="F139" s="380"/>
      <c r="G139" s="380"/>
      <c r="H139" s="380"/>
      <c r="I139" s="399"/>
      <c r="J139" s="388">
        <v>11000</v>
      </c>
      <c r="K139" s="382"/>
      <c r="L139" s="380"/>
      <c r="M139" s="380"/>
      <c r="N139" s="380"/>
      <c r="O139" s="380"/>
      <c r="P139" s="380"/>
      <c r="Q139" s="380"/>
    </row>
    <row r="140" spans="1:17" x14ac:dyDescent="0.2">
      <c r="A140" s="334" t="s">
        <v>1730</v>
      </c>
      <c r="B140" s="380"/>
      <c r="C140" s="334" t="s">
        <v>1985</v>
      </c>
      <c r="D140" s="388">
        <v>4000</v>
      </c>
      <c r="E140" s="384"/>
      <c r="F140" s="380"/>
      <c r="G140" s="380"/>
      <c r="H140" s="380"/>
      <c r="I140" s="399"/>
      <c r="J140" s="388">
        <v>5500</v>
      </c>
      <c r="K140" s="382"/>
      <c r="L140" s="380"/>
      <c r="M140" s="380"/>
      <c r="N140" s="380"/>
      <c r="O140" s="380"/>
      <c r="P140" s="380"/>
      <c r="Q140" s="380"/>
    </row>
    <row r="141" spans="1:17" x14ac:dyDescent="0.2">
      <c r="A141" s="384" t="s">
        <v>1587</v>
      </c>
      <c r="B141" s="380"/>
      <c r="C141" s="334" t="s">
        <v>34</v>
      </c>
      <c r="D141" s="388">
        <v>1000</v>
      </c>
      <c r="E141" s="384"/>
      <c r="F141" s="380"/>
      <c r="G141" s="380"/>
      <c r="H141" s="380"/>
      <c r="I141" s="399"/>
      <c r="J141" s="388">
        <v>400</v>
      </c>
      <c r="K141" s="382"/>
      <c r="L141" s="380"/>
      <c r="M141" s="380"/>
      <c r="N141" s="380"/>
      <c r="O141" s="380"/>
      <c r="P141" s="380"/>
      <c r="Q141" s="380"/>
    </row>
    <row r="142" spans="1:17" x14ac:dyDescent="0.2">
      <c r="A142" s="384" t="s">
        <v>1752</v>
      </c>
      <c r="B142" s="380"/>
      <c r="C142" s="334" t="s">
        <v>367</v>
      </c>
      <c r="D142" s="388"/>
      <c r="E142" s="384"/>
      <c r="F142" s="380"/>
      <c r="G142" s="380"/>
      <c r="H142" s="380"/>
      <c r="I142" s="385"/>
      <c r="J142" s="388">
        <v>1000</v>
      </c>
      <c r="K142" s="382"/>
      <c r="L142" s="380"/>
      <c r="M142" s="380"/>
      <c r="N142" s="380"/>
      <c r="O142" s="380"/>
      <c r="P142" s="380"/>
      <c r="Q142" s="380"/>
    </row>
    <row r="143" spans="1:17" x14ac:dyDescent="0.2">
      <c r="A143" s="380"/>
      <c r="B143" s="380"/>
      <c r="C143" s="380"/>
      <c r="D143" s="394"/>
      <c r="E143" s="380"/>
      <c r="F143" s="380"/>
      <c r="G143" s="380"/>
      <c r="H143" s="380"/>
      <c r="I143" s="383"/>
      <c r="J143" s="394"/>
      <c r="K143" s="382"/>
      <c r="L143" s="380"/>
      <c r="M143" s="380"/>
      <c r="N143" s="380"/>
      <c r="O143" s="380"/>
      <c r="P143" s="380"/>
      <c r="Q143" s="380"/>
    </row>
    <row r="144" spans="1:17" x14ac:dyDescent="0.2">
      <c r="A144" s="380"/>
      <c r="B144" s="380"/>
      <c r="C144" s="380"/>
      <c r="D144" s="334">
        <f>SUM(D115:D142)</f>
        <v>92312</v>
      </c>
      <c r="E144" s="380"/>
      <c r="F144" s="380"/>
      <c r="G144" s="380"/>
      <c r="H144" s="380"/>
      <c r="I144" s="383"/>
      <c r="J144" s="334">
        <f>SUM(J115:J142)</f>
        <v>104350</v>
      </c>
      <c r="K144" s="382"/>
      <c r="L144" s="380"/>
      <c r="M144" s="380"/>
      <c r="N144" s="380"/>
      <c r="O144" s="380"/>
      <c r="P144" s="380"/>
      <c r="Q144" s="380"/>
    </row>
    <row r="145" spans="1:17" ht="15.75" thickTop="1" x14ac:dyDescent="0.2">
      <c r="A145" s="380"/>
      <c r="B145" s="380"/>
      <c r="C145" s="380"/>
      <c r="D145" s="401">
        <f>D144-D115</f>
        <v>92312</v>
      </c>
      <c r="E145" s="380"/>
      <c r="F145" s="380"/>
      <c r="G145" s="380"/>
      <c r="H145" s="380"/>
      <c r="I145" s="383"/>
      <c r="J145" s="395">
        <f>J144-J115</f>
        <v>104350</v>
      </c>
      <c r="K145" s="382"/>
      <c r="L145" s="380"/>
      <c r="M145" s="380"/>
      <c r="N145" s="380"/>
      <c r="O145" s="380"/>
      <c r="P145" s="380"/>
      <c r="Q145" s="380"/>
    </row>
    <row r="146" spans="1:17" ht="16.5" thickTop="1" x14ac:dyDescent="0.25">
      <c r="A146" s="377"/>
      <c r="B146" s="377"/>
      <c r="C146" s="377"/>
      <c r="D146" s="399"/>
      <c r="E146" s="377"/>
      <c r="F146" s="377"/>
      <c r="G146" s="377"/>
      <c r="H146" s="377"/>
      <c r="I146" s="397"/>
      <c r="J146" s="395"/>
      <c r="K146" s="382"/>
      <c r="L146" s="380"/>
      <c r="M146" s="380"/>
      <c r="N146" s="380"/>
      <c r="O146" s="380"/>
      <c r="P146" s="380"/>
      <c r="Q146" s="380"/>
    </row>
    <row r="147" spans="1:17" x14ac:dyDescent="0.2">
      <c r="A147" s="380"/>
      <c r="B147" s="380"/>
      <c r="C147" s="380"/>
      <c r="D147" s="380"/>
      <c r="E147" s="380"/>
      <c r="F147" s="380"/>
      <c r="G147" s="380"/>
      <c r="H147" s="380"/>
      <c r="I147" s="383"/>
      <c r="J147" s="380"/>
      <c r="K147" s="382"/>
      <c r="L147" s="380"/>
      <c r="M147" s="380"/>
      <c r="N147" s="380"/>
      <c r="O147" s="380"/>
      <c r="P147" s="380"/>
      <c r="Q147" s="380"/>
    </row>
    <row r="148" spans="1:17" x14ac:dyDescent="0.2">
      <c r="A148" s="334" t="s">
        <v>1573</v>
      </c>
      <c r="B148" s="380"/>
      <c r="C148" s="380"/>
      <c r="D148" s="380"/>
      <c r="E148" s="380"/>
      <c r="F148" s="380"/>
      <c r="G148" s="380"/>
      <c r="H148" s="380"/>
      <c r="I148" s="383"/>
      <c r="J148" s="380"/>
      <c r="K148" s="382"/>
      <c r="L148" s="380"/>
      <c r="M148" s="380"/>
      <c r="N148" s="380"/>
      <c r="O148" s="380"/>
      <c r="P148" s="380"/>
      <c r="Q148" s="380"/>
    </row>
    <row r="149" spans="1:17" x14ac:dyDescent="0.2">
      <c r="A149" s="380"/>
      <c r="B149" s="380"/>
      <c r="C149" s="384" t="s">
        <v>2091</v>
      </c>
      <c r="D149" s="380"/>
      <c r="E149" s="380"/>
      <c r="F149" s="380"/>
      <c r="G149" s="380"/>
      <c r="H149" s="380"/>
      <c r="I149" s="383"/>
      <c r="J149" s="380"/>
      <c r="K149" s="382"/>
      <c r="L149" s="380"/>
      <c r="M149" s="380"/>
      <c r="N149" s="380"/>
      <c r="O149" s="380"/>
      <c r="P149" s="380"/>
      <c r="Q149" s="380"/>
    </row>
    <row r="150" spans="1:17" x14ac:dyDescent="0.2">
      <c r="A150" s="334" t="s">
        <v>1574</v>
      </c>
      <c r="B150" s="380"/>
      <c r="C150" s="334" t="s">
        <v>1880</v>
      </c>
      <c r="D150" s="334" t="s">
        <v>181</v>
      </c>
      <c r="E150" s="380"/>
      <c r="F150" s="380"/>
      <c r="G150" s="380"/>
      <c r="H150" s="380"/>
      <c r="I150" s="383"/>
      <c r="J150" s="334" t="s">
        <v>181</v>
      </c>
      <c r="K150" s="382"/>
      <c r="L150" s="380"/>
      <c r="M150" s="380"/>
      <c r="N150" s="380"/>
      <c r="O150" s="380"/>
      <c r="P150" s="380"/>
      <c r="Q150" s="380"/>
    </row>
    <row r="151" spans="1:17" x14ac:dyDescent="0.2">
      <c r="A151" s="334"/>
      <c r="B151" s="380"/>
      <c r="C151" s="334"/>
      <c r="D151" s="334"/>
      <c r="E151" s="380"/>
      <c r="F151" s="380"/>
      <c r="G151" s="380"/>
      <c r="H151" s="380"/>
      <c r="I151" s="383"/>
      <c r="J151" s="334"/>
      <c r="K151" s="382"/>
      <c r="L151" s="380"/>
      <c r="M151" s="380"/>
      <c r="N151" s="380"/>
      <c r="O151" s="380"/>
      <c r="P151" s="380"/>
      <c r="Q151" s="380"/>
    </row>
    <row r="152" spans="1:17" x14ac:dyDescent="0.2">
      <c r="A152" s="384" t="s">
        <v>1743</v>
      </c>
      <c r="B152" s="380"/>
      <c r="C152" s="334" t="s">
        <v>1886</v>
      </c>
      <c r="D152" s="377"/>
      <c r="E152" s="380"/>
      <c r="F152" s="380"/>
      <c r="G152" s="380"/>
      <c r="H152" s="380"/>
      <c r="I152" s="399"/>
      <c r="J152" s="377"/>
      <c r="K152" s="382"/>
      <c r="L152" s="380"/>
      <c r="M152" s="380"/>
      <c r="N152" s="380"/>
      <c r="O152" s="380"/>
      <c r="P152" s="380"/>
      <c r="Q152" s="380"/>
    </row>
    <row r="153" spans="1:17" x14ac:dyDescent="0.2">
      <c r="A153" s="334" t="s">
        <v>1724</v>
      </c>
      <c r="B153" s="380"/>
      <c r="C153" s="334" t="s">
        <v>1881</v>
      </c>
      <c r="D153" s="388">
        <v>820</v>
      </c>
      <c r="E153" s="384"/>
      <c r="F153" s="380"/>
      <c r="G153" s="380"/>
      <c r="H153" s="380"/>
      <c r="I153" s="399"/>
      <c r="J153" s="388">
        <v>800</v>
      </c>
      <c r="K153" s="382"/>
      <c r="L153" s="380"/>
      <c r="M153" s="380"/>
      <c r="N153" s="380"/>
      <c r="O153" s="380"/>
      <c r="P153" s="380"/>
      <c r="Q153" s="380"/>
    </row>
    <row r="154" spans="1:17" x14ac:dyDescent="0.2">
      <c r="A154" s="334" t="s">
        <v>1736</v>
      </c>
      <c r="B154" s="380"/>
      <c r="C154" s="334" t="s">
        <v>1747</v>
      </c>
      <c r="D154" s="388"/>
      <c r="E154" s="380"/>
      <c r="F154" s="380"/>
      <c r="G154" s="380"/>
      <c r="H154" s="380"/>
      <c r="I154" s="399"/>
      <c r="J154" s="388"/>
      <c r="K154" s="382"/>
      <c r="L154" s="380"/>
      <c r="M154" s="380"/>
      <c r="N154" s="380"/>
      <c r="O154" s="380"/>
      <c r="P154" s="380"/>
      <c r="Q154" s="380"/>
    </row>
    <row r="155" spans="1:17" x14ac:dyDescent="0.2">
      <c r="A155" s="334" t="s">
        <v>1744</v>
      </c>
      <c r="B155" s="380"/>
      <c r="C155" s="334" t="s">
        <v>1254</v>
      </c>
      <c r="D155" s="388">
        <v>125</v>
      </c>
      <c r="E155" s="380"/>
      <c r="F155" s="380"/>
      <c r="G155" s="380"/>
      <c r="H155" s="380"/>
      <c r="I155" s="399"/>
      <c r="J155" s="388">
        <v>125</v>
      </c>
      <c r="K155" s="382"/>
      <c r="L155" s="380"/>
      <c r="M155" s="380"/>
      <c r="N155" s="380"/>
      <c r="O155" s="380"/>
      <c r="P155" s="380"/>
      <c r="Q155" s="380"/>
    </row>
    <row r="156" spans="1:17" x14ac:dyDescent="0.2">
      <c r="A156" s="334" t="s">
        <v>1575</v>
      </c>
      <c r="B156" s="380"/>
      <c r="C156" s="380" t="s">
        <v>1889</v>
      </c>
      <c r="D156" s="388"/>
      <c r="E156" s="380"/>
      <c r="F156" s="380"/>
      <c r="G156" s="380"/>
      <c r="H156" s="380"/>
      <c r="I156" s="399"/>
      <c r="J156" s="388"/>
      <c r="K156" s="382"/>
      <c r="L156" s="380"/>
      <c r="M156" s="380"/>
      <c r="N156" s="380"/>
      <c r="O156" s="380"/>
      <c r="P156" s="380"/>
      <c r="Q156" s="380"/>
    </row>
    <row r="157" spans="1:17" x14ac:dyDescent="0.2">
      <c r="A157" s="334" t="s">
        <v>1725</v>
      </c>
      <c r="B157" s="380"/>
      <c r="C157" s="334" t="s">
        <v>1890</v>
      </c>
      <c r="D157" s="376"/>
      <c r="E157" s="380"/>
      <c r="F157" s="380"/>
      <c r="G157" s="380"/>
      <c r="H157" s="380"/>
      <c r="I157" s="399"/>
      <c r="J157" s="388"/>
      <c r="K157" s="382"/>
      <c r="L157" s="380"/>
      <c r="M157" s="380"/>
      <c r="N157" s="380"/>
      <c r="O157" s="380"/>
      <c r="P157" s="380"/>
      <c r="Q157" s="380"/>
    </row>
    <row r="158" spans="1:17" x14ac:dyDescent="0.2">
      <c r="A158" s="334" t="s">
        <v>1576</v>
      </c>
      <c r="B158" s="380"/>
      <c r="C158" s="334" t="s">
        <v>1590</v>
      </c>
      <c r="D158" s="388"/>
      <c r="E158" s="380"/>
      <c r="F158" s="380"/>
      <c r="G158" s="380"/>
      <c r="H158" s="380"/>
      <c r="I158" s="399"/>
      <c r="J158" s="388"/>
      <c r="K158" s="382"/>
      <c r="L158" s="380"/>
      <c r="M158" s="380"/>
      <c r="N158" s="380"/>
      <c r="O158" s="380"/>
      <c r="P158" s="380"/>
      <c r="Q158" s="380"/>
    </row>
    <row r="159" spans="1:17" x14ac:dyDescent="0.2">
      <c r="A159" s="334" t="s">
        <v>1565</v>
      </c>
      <c r="B159" s="380"/>
      <c r="C159" s="334" t="s">
        <v>1927</v>
      </c>
      <c r="D159" s="388"/>
      <c r="E159" s="380"/>
      <c r="F159" s="380"/>
      <c r="G159" s="380"/>
      <c r="H159" s="380"/>
      <c r="I159" s="399"/>
      <c r="J159" s="388"/>
      <c r="K159" s="382"/>
      <c r="L159" s="380"/>
      <c r="M159" s="380"/>
      <c r="N159" s="380"/>
      <c r="O159" s="380"/>
      <c r="P159" s="380"/>
      <c r="Q159" s="380"/>
    </row>
    <row r="160" spans="1:17" x14ac:dyDescent="0.2">
      <c r="A160" s="334" t="s">
        <v>1737</v>
      </c>
      <c r="B160" s="380"/>
      <c r="C160" s="334" t="s">
        <v>1928</v>
      </c>
      <c r="D160" s="388">
        <v>500</v>
      </c>
      <c r="E160" s="380"/>
      <c r="F160" s="380"/>
      <c r="G160" s="380"/>
      <c r="H160" s="380"/>
      <c r="I160" s="399"/>
      <c r="J160" s="388">
        <v>500</v>
      </c>
      <c r="K160" s="382"/>
      <c r="L160" s="380"/>
      <c r="M160" s="380"/>
      <c r="N160" s="380"/>
      <c r="O160" s="380"/>
      <c r="P160" s="380"/>
      <c r="Q160" s="380"/>
    </row>
    <row r="161" spans="1:17" x14ac:dyDescent="0.2">
      <c r="A161" s="384" t="s">
        <v>1760</v>
      </c>
      <c r="B161" s="380"/>
      <c r="C161" s="334" t="s">
        <v>40</v>
      </c>
      <c r="D161" s="388">
        <v>10765</v>
      </c>
      <c r="E161" s="380"/>
      <c r="F161" s="380"/>
      <c r="G161" s="380"/>
      <c r="H161" s="380"/>
      <c r="I161" s="399"/>
      <c r="J161" s="388">
        <v>10765</v>
      </c>
      <c r="K161" s="382"/>
      <c r="L161" s="380"/>
      <c r="M161" s="380"/>
      <c r="N161" s="380"/>
      <c r="O161" s="380"/>
      <c r="P161" s="380"/>
      <c r="Q161" s="380"/>
    </row>
    <row r="162" spans="1:17" x14ac:dyDescent="0.2">
      <c r="A162" s="334" t="s">
        <v>1577</v>
      </c>
      <c r="B162" s="380"/>
      <c r="C162" s="334" t="s">
        <v>1815</v>
      </c>
      <c r="D162" s="388"/>
      <c r="E162" s="380"/>
      <c r="F162" s="380"/>
      <c r="G162" s="380"/>
      <c r="H162" s="380"/>
      <c r="I162" s="399"/>
      <c r="J162" s="388"/>
      <c r="K162" s="382"/>
      <c r="L162" s="380"/>
      <c r="M162" s="380"/>
      <c r="N162" s="380"/>
      <c r="O162" s="380"/>
      <c r="P162" s="380"/>
      <c r="Q162" s="380"/>
    </row>
    <row r="163" spans="1:17" x14ac:dyDescent="0.2">
      <c r="A163" s="334" t="s">
        <v>1734</v>
      </c>
      <c r="B163" s="380"/>
      <c r="C163" s="380" t="s">
        <v>1746</v>
      </c>
      <c r="D163" s="388"/>
      <c r="E163" s="380"/>
      <c r="F163" s="380"/>
      <c r="G163" s="380"/>
      <c r="H163" s="380"/>
      <c r="I163" s="399"/>
      <c r="J163" s="388"/>
      <c r="K163" s="382"/>
      <c r="L163" s="380"/>
      <c r="M163" s="380"/>
      <c r="N163" s="380"/>
      <c r="O163" s="380"/>
      <c r="P163" s="380"/>
      <c r="Q163" s="380"/>
    </row>
    <row r="164" spans="1:17" x14ac:dyDescent="0.2">
      <c r="A164" s="334" t="s">
        <v>1578</v>
      </c>
      <c r="B164" s="380"/>
      <c r="C164" s="334" t="s">
        <v>22</v>
      </c>
      <c r="D164" s="388"/>
      <c r="E164" s="380"/>
      <c r="F164" s="380"/>
      <c r="G164" s="380"/>
      <c r="H164" s="380"/>
      <c r="I164" s="399"/>
      <c r="J164" s="388"/>
      <c r="K164" s="382"/>
      <c r="L164" s="380"/>
      <c r="M164" s="380"/>
      <c r="N164" s="380"/>
      <c r="O164" s="380"/>
      <c r="P164" s="380"/>
      <c r="Q164" s="380"/>
    </row>
    <row r="165" spans="1:17" x14ac:dyDescent="0.2">
      <c r="A165" s="334" t="s">
        <v>1738</v>
      </c>
      <c r="B165" s="380"/>
      <c r="C165" s="334" t="s">
        <v>1591</v>
      </c>
      <c r="D165" s="388">
        <v>50</v>
      </c>
      <c r="E165" s="380"/>
      <c r="F165" s="380"/>
      <c r="G165" s="380"/>
      <c r="H165" s="380"/>
      <c r="I165" s="399"/>
      <c r="J165" s="388">
        <v>50</v>
      </c>
      <c r="K165" s="382"/>
      <c r="L165" s="380"/>
      <c r="M165" s="380"/>
      <c r="N165" s="380"/>
      <c r="O165" s="380"/>
      <c r="P165" s="380"/>
      <c r="Q165" s="380"/>
    </row>
    <row r="166" spans="1:17" x14ac:dyDescent="0.2">
      <c r="A166" s="334" t="s">
        <v>1727</v>
      </c>
      <c r="B166" s="380"/>
      <c r="C166" s="334" t="s">
        <v>307</v>
      </c>
      <c r="D166" s="388"/>
      <c r="E166" s="380"/>
      <c r="F166" s="380"/>
      <c r="G166" s="380"/>
      <c r="H166" s="380"/>
      <c r="I166" s="399"/>
      <c r="J166" s="388"/>
      <c r="K166" s="382"/>
      <c r="L166" s="380"/>
      <c r="M166" s="380"/>
      <c r="N166" s="380"/>
      <c r="O166" s="380"/>
      <c r="P166" s="380"/>
      <c r="Q166" s="380"/>
    </row>
    <row r="167" spans="1:17" x14ac:dyDescent="0.2">
      <c r="A167" s="384" t="s">
        <v>1728</v>
      </c>
      <c r="B167" s="380"/>
      <c r="C167" s="334" t="s">
        <v>310</v>
      </c>
      <c r="D167" s="388">
        <v>1100</v>
      </c>
      <c r="E167" s="380"/>
      <c r="F167" s="380"/>
      <c r="G167" s="380"/>
      <c r="H167" s="380"/>
      <c r="I167" s="399"/>
      <c r="J167" s="388">
        <v>1100</v>
      </c>
      <c r="K167" s="382"/>
      <c r="L167" s="380"/>
      <c r="M167" s="380"/>
      <c r="N167" s="380"/>
      <c r="O167" s="380"/>
      <c r="P167" s="380"/>
      <c r="Q167" s="380"/>
    </row>
    <row r="168" spans="1:17" x14ac:dyDescent="0.2">
      <c r="A168" s="334" t="s">
        <v>1729</v>
      </c>
      <c r="B168" s="380"/>
      <c r="C168" s="380" t="s">
        <v>1551</v>
      </c>
      <c r="D168" s="388">
        <v>-6246</v>
      </c>
      <c r="E168" s="380"/>
      <c r="F168" s="380"/>
      <c r="G168" s="380"/>
      <c r="H168" s="380"/>
      <c r="I168" s="399"/>
      <c r="J168" s="388">
        <v>20</v>
      </c>
      <c r="K168" s="382"/>
      <c r="L168" s="380"/>
      <c r="M168" s="380"/>
      <c r="N168" s="380"/>
      <c r="O168" s="380"/>
      <c r="P168" s="380"/>
      <c r="Q168" s="380"/>
    </row>
    <row r="169" spans="1:17" x14ac:dyDescent="0.2">
      <c r="A169" s="334" t="s">
        <v>1735</v>
      </c>
      <c r="B169" s="380"/>
      <c r="C169" s="380" t="s">
        <v>194</v>
      </c>
      <c r="D169" s="388">
        <v>20</v>
      </c>
      <c r="E169" s="380"/>
      <c r="F169" s="380"/>
      <c r="G169" s="380"/>
      <c r="H169" s="380"/>
      <c r="I169" s="399"/>
      <c r="J169" s="388">
        <v>20</v>
      </c>
      <c r="K169" s="382"/>
      <c r="L169" s="380"/>
      <c r="M169" s="380"/>
      <c r="N169" s="380"/>
      <c r="O169" s="380"/>
      <c r="P169" s="380"/>
      <c r="Q169" s="380"/>
    </row>
    <row r="170" spans="1:17" x14ac:dyDescent="0.2">
      <c r="A170" s="384" t="s">
        <v>1741</v>
      </c>
      <c r="B170" s="380"/>
      <c r="C170" s="334" t="s">
        <v>1748</v>
      </c>
      <c r="D170" s="388">
        <v>25</v>
      </c>
      <c r="E170" s="380"/>
      <c r="F170" s="380"/>
      <c r="G170" s="380"/>
      <c r="H170" s="380"/>
      <c r="I170" s="399"/>
      <c r="J170" s="388">
        <v>25</v>
      </c>
      <c r="K170" s="382"/>
      <c r="L170" s="380"/>
      <c r="M170" s="380"/>
      <c r="N170" s="380"/>
      <c r="O170" s="380"/>
      <c r="P170" s="380"/>
      <c r="Q170" s="380"/>
    </row>
    <row r="171" spans="1:17" x14ac:dyDescent="0.2">
      <c r="A171" s="384" t="s">
        <v>1588</v>
      </c>
      <c r="B171" s="380"/>
      <c r="C171" s="334" t="s">
        <v>191</v>
      </c>
      <c r="D171" s="388">
        <v>75</v>
      </c>
      <c r="E171" s="380"/>
      <c r="F171" s="380"/>
      <c r="G171" s="380"/>
      <c r="H171" s="380"/>
      <c r="I171" s="399"/>
      <c r="J171" s="388">
        <v>75</v>
      </c>
      <c r="K171" s="382"/>
      <c r="L171" s="380"/>
      <c r="M171" s="380"/>
      <c r="N171" s="380"/>
      <c r="O171" s="380"/>
      <c r="P171" s="380"/>
      <c r="Q171" s="380"/>
    </row>
    <row r="172" spans="1:17" x14ac:dyDescent="0.2">
      <c r="A172" s="334" t="s">
        <v>1572</v>
      </c>
      <c r="B172" s="380"/>
      <c r="C172" s="334" t="s">
        <v>3134</v>
      </c>
      <c r="D172" s="388"/>
      <c r="E172" s="380"/>
      <c r="F172" s="380"/>
      <c r="G172" s="380"/>
      <c r="H172" s="380"/>
      <c r="I172" s="399"/>
      <c r="J172" s="388"/>
      <c r="K172" s="382"/>
      <c r="L172" s="380"/>
      <c r="M172" s="380"/>
      <c r="N172" s="380"/>
      <c r="O172" s="380"/>
      <c r="P172" s="380"/>
      <c r="Q172" s="380"/>
    </row>
    <row r="173" spans="1:17" x14ac:dyDescent="0.2">
      <c r="A173" s="334" t="s">
        <v>1730</v>
      </c>
      <c r="B173" s="380"/>
      <c r="C173" s="334" t="s">
        <v>1985</v>
      </c>
      <c r="D173" s="388">
        <v>4000</v>
      </c>
      <c r="E173" s="380"/>
      <c r="F173" s="380"/>
      <c r="G173" s="380"/>
      <c r="H173" s="380"/>
      <c r="I173" s="399"/>
      <c r="J173" s="388">
        <v>4000</v>
      </c>
      <c r="K173" s="382"/>
      <c r="L173" s="380"/>
      <c r="M173" s="380"/>
      <c r="N173" s="380"/>
      <c r="O173" s="380"/>
      <c r="P173" s="380"/>
      <c r="Q173" s="380"/>
    </row>
    <row r="174" spans="1:17" x14ac:dyDescent="0.2">
      <c r="A174" s="384" t="s">
        <v>1903</v>
      </c>
      <c r="B174" s="380"/>
      <c r="C174" s="334" t="s">
        <v>35</v>
      </c>
      <c r="D174" s="388">
        <v>10000</v>
      </c>
      <c r="E174" s="380"/>
      <c r="F174" s="380"/>
      <c r="G174" s="380"/>
      <c r="H174" s="380"/>
      <c r="I174" s="399"/>
      <c r="J174" s="388">
        <v>10000</v>
      </c>
      <c r="K174" s="382"/>
      <c r="L174" s="380"/>
      <c r="M174" s="380"/>
      <c r="N174" s="380"/>
      <c r="O174" s="380"/>
      <c r="P174" s="380"/>
      <c r="Q174" s="380"/>
    </row>
    <row r="175" spans="1:17" x14ac:dyDescent="0.2">
      <c r="A175" s="384" t="s">
        <v>1962</v>
      </c>
      <c r="B175" s="380"/>
      <c r="C175" s="380" t="s">
        <v>572</v>
      </c>
      <c r="D175" s="388">
        <v>3750</v>
      </c>
      <c r="E175" s="380"/>
      <c r="F175" s="380"/>
      <c r="G175" s="380"/>
      <c r="H175" s="380"/>
      <c r="I175" s="399"/>
      <c r="J175" s="388">
        <v>3750</v>
      </c>
      <c r="K175" s="382"/>
      <c r="L175" s="380"/>
      <c r="M175" s="380"/>
      <c r="N175" s="380"/>
      <c r="O175" s="380"/>
      <c r="P175" s="380"/>
      <c r="Q175" s="380"/>
    </row>
    <row r="176" spans="1:17" x14ac:dyDescent="0.2">
      <c r="A176" s="384" t="s">
        <v>1733</v>
      </c>
      <c r="B176" s="380"/>
      <c r="C176" s="334" t="s">
        <v>27</v>
      </c>
      <c r="D176" s="377"/>
      <c r="E176" s="380"/>
      <c r="F176" s="380"/>
      <c r="G176" s="380"/>
      <c r="H176" s="380"/>
      <c r="I176" s="399"/>
      <c r="J176" s="377"/>
      <c r="K176" s="382"/>
      <c r="L176" s="380"/>
      <c r="M176" s="380"/>
      <c r="N176" s="380"/>
      <c r="O176" s="380"/>
      <c r="P176" s="380"/>
      <c r="Q176" s="380"/>
    </row>
    <row r="177" spans="1:17" x14ac:dyDescent="0.2">
      <c r="A177" s="334" t="s">
        <v>1567</v>
      </c>
      <c r="B177" s="380"/>
      <c r="C177" s="334" t="s">
        <v>3142</v>
      </c>
      <c r="D177" s="377"/>
      <c r="E177" s="380"/>
      <c r="F177" s="380"/>
      <c r="G177" s="380"/>
      <c r="H177" s="380"/>
      <c r="I177" s="385"/>
      <c r="J177" s="377"/>
      <c r="K177" s="382"/>
      <c r="L177" s="380"/>
      <c r="M177" s="380"/>
      <c r="N177" s="380"/>
      <c r="O177" s="380"/>
      <c r="P177" s="380"/>
      <c r="Q177" s="380"/>
    </row>
    <row r="178" spans="1:17" x14ac:dyDescent="0.2">
      <c r="A178" s="334"/>
      <c r="B178" s="380"/>
      <c r="C178" s="334"/>
      <c r="D178" s="377"/>
      <c r="E178" s="380"/>
      <c r="F178" s="380"/>
      <c r="G178" s="380"/>
      <c r="H178" s="380"/>
      <c r="I178" s="399"/>
      <c r="J178" s="377"/>
      <c r="K178" s="382"/>
      <c r="L178" s="380"/>
      <c r="M178" s="380"/>
      <c r="N178" s="380"/>
      <c r="O178" s="380"/>
      <c r="P178" s="380"/>
      <c r="Q178" s="380"/>
    </row>
    <row r="179" spans="1:17" ht="15.75" thickBot="1" x14ac:dyDescent="0.25">
      <c r="A179" s="380"/>
      <c r="B179" s="380"/>
      <c r="C179" s="380"/>
      <c r="D179" s="402">
        <f>SUM(D152:D177)</f>
        <v>24984</v>
      </c>
      <c r="E179" s="380"/>
      <c r="F179" s="380"/>
      <c r="G179" s="380"/>
      <c r="H179" s="380"/>
      <c r="I179" s="383"/>
      <c r="J179" s="402">
        <f>SUM(J152:J177)</f>
        <v>31230</v>
      </c>
      <c r="K179" s="382"/>
      <c r="L179" s="380"/>
      <c r="M179" s="380"/>
      <c r="N179" s="380"/>
      <c r="O179" s="380"/>
      <c r="P179" s="380"/>
      <c r="Q179" s="380"/>
    </row>
    <row r="180" spans="1:17" x14ac:dyDescent="0.2">
      <c r="A180" s="380"/>
      <c r="B180" s="380"/>
      <c r="C180" s="380"/>
      <c r="D180" s="385"/>
      <c r="E180" s="380"/>
      <c r="F180" s="380"/>
      <c r="G180" s="380"/>
      <c r="H180" s="380"/>
      <c r="I180" s="383"/>
      <c r="J180" s="385"/>
      <c r="K180" s="382"/>
      <c r="L180" s="380"/>
      <c r="M180" s="380"/>
      <c r="N180" s="380"/>
      <c r="O180" s="380"/>
      <c r="P180" s="380"/>
      <c r="Q180" s="380"/>
    </row>
    <row r="181" spans="1:17" ht="15.75" x14ac:dyDescent="0.25">
      <c r="A181" s="377"/>
      <c r="B181" s="377"/>
      <c r="C181" s="377"/>
      <c r="D181" s="399"/>
      <c r="E181" s="377"/>
      <c r="F181" s="377"/>
      <c r="G181" s="377"/>
      <c r="H181" s="377"/>
      <c r="I181" s="397"/>
      <c r="J181" s="399"/>
      <c r="K181" s="382"/>
      <c r="L181" s="380"/>
      <c r="M181" s="380"/>
      <c r="N181" s="380"/>
      <c r="O181" s="380"/>
      <c r="P181" s="380"/>
      <c r="Q181" s="380"/>
    </row>
    <row r="182" spans="1:17" x14ac:dyDescent="0.2">
      <c r="A182" s="380"/>
      <c r="B182" s="380"/>
      <c r="C182" s="380"/>
      <c r="D182" s="380"/>
      <c r="E182" s="380"/>
      <c r="F182" s="380"/>
      <c r="G182" s="380"/>
      <c r="H182" s="380"/>
      <c r="I182" s="383"/>
      <c r="J182" s="380"/>
      <c r="K182" s="382"/>
      <c r="L182" s="380"/>
      <c r="M182" s="380"/>
      <c r="N182" s="380"/>
      <c r="O182" s="380"/>
      <c r="P182" s="380"/>
      <c r="Q182" s="380"/>
    </row>
    <row r="183" spans="1:17" x14ac:dyDescent="0.2">
      <c r="A183" s="380"/>
      <c r="B183" s="380"/>
      <c r="C183" s="380"/>
      <c r="D183" s="380"/>
      <c r="E183" s="380"/>
      <c r="F183" s="380"/>
      <c r="G183" s="380"/>
      <c r="H183" s="380"/>
      <c r="I183" s="383"/>
      <c r="J183" s="380"/>
      <c r="K183" s="382"/>
      <c r="L183" s="380"/>
      <c r="M183" s="380"/>
      <c r="N183" s="380"/>
      <c r="O183" s="380"/>
      <c r="P183" s="380"/>
      <c r="Q183" s="380"/>
    </row>
    <row r="184" spans="1:17" x14ac:dyDescent="0.2">
      <c r="A184" s="334" t="s">
        <v>2911</v>
      </c>
      <c r="B184" s="380"/>
      <c r="C184" s="380"/>
      <c r="D184" s="380"/>
      <c r="E184" s="380"/>
      <c r="F184" s="380"/>
      <c r="G184" s="380"/>
      <c r="H184" s="380"/>
      <c r="I184" s="383"/>
      <c r="J184" s="380"/>
      <c r="K184" s="382"/>
      <c r="L184" s="380"/>
      <c r="M184" s="380"/>
      <c r="N184" s="380"/>
      <c r="O184" s="380"/>
      <c r="P184" s="380"/>
      <c r="Q184" s="380"/>
    </row>
    <row r="185" spans="1:17" x14ac:dyDescent="0.2">
      <c r="A185" s="380"/>
      <c r="B185" s="380"/>
      <c r="C185" s="384" t="s">
        <v>2092</v>
      </c>
      <c r="D185" s="380"/>
      <c r="E185" s="380"/>
      <c r="F185" s="380"/>
      <c r="G185" s="380"/>
      <c r="H185" s="380"/>
      <c r="I185" s="383"/>
      <c r="J185" s="380"/>
      <c r="K185" s="382"/>
      <c r="L185" s="380"/>
      <c r="M185" s="380"/>
      <c r="N185" s="380"/>
      <c r="O185" s="380"/>
      <c r="P185" s="380"/>
      <c r="Q185" s="380"/>
    </row>
    <row r="186" spans="1:17" x14ac:dyDescent="0.2">
      <c r="A186" s="380"/>
      <c r="B186" s="380"/>
      <c r="C186" s="380"/>
      <c r="D186" s="380"/>
      <c r="E186" s="380"/>
      <c r="F186" s="380"/>
      <c r="G186" s="380"/>
      <c r="H186" s="380"/>
      <c r="I186" s="383"/>
      <c r="J186" s="380"/>
      <c r="K186" s="382"/>
      <c r="L186" s="380"/>
      <c r="M186" s="380"/>
      <c r="N186" s="380"/>
      <c r="O186" s="380"/>
      <c r="P186" s="380"/>
      <c r="Q186" s="380"/>
    </row>
    <row r="187" spans="1:17" x14ac:dyDescent="0.2">
      <c r="A187" s="334" t="s">
        <v>1723</v>
      </c>
      <c r="B187" s="380"/>
      <c r="C187" s="334" t="s">
        <v>1880</v>
      </c>
      <c r="D187" s="334" t="s">
        <v>181</v>
      </c>
      <c r="E187" s="380"/>
      <c r="F187" s="380"/>
      <c r="G187" s="380"/>
      <c r="H187" s="380"/>
      <c r="I187" s="383"/>
      <c r="J187" s="334" t="s">
        <v>181</v>
      </c>
      <c r="K187" s="382"/>
      <c r="L187" s="380"/>
      <c r="M187" s="380"/>
      <c r="N187" s="380"/>
      <c r="O187" s="380"/>
      <c r="P187" s="380"/>
      <c r="Q187" s="380"/>
    </row>
    <row r="188" spans="1:17" x14ac:dyDescent="0.2">
      <c r="A188" s="380"/>
      <c r="B188" s="380"/>
      <c r="C188" s="380"/>
      <c r="D188" s="380"/>
      <c r="E188" s="380"/>
      <c r="F188" s="380"/>
      <c r="G188" s="380"/>
      <c r="H188" s="380"/>
      <c r="I188" s="383"/>
      <c r="J188" s="380"/>
      <c r="K188" s="382"/>
      <c r="L188" s="380"/>
      <c r="M188" s="380"/>
      <c r="N188" s="380"/>
      <c r="O188" s="380"/>
      <c r="P188" s="380"/>
      <c r="Q188" s="380"/>
    </row>
    <row r="189" spans="1:17" x14ac:dyDescent="0.2">
      <c r="A189" s="334" t="s">
        <v>1732</v>
      </c>
      <c r="B189" s="380"/>
      <c r="C189" s="334" t="s">
        <v>1933</v>
      </c>
      <c r="D189" s="377"/>
      <c r="E189" s="380"/>
      <c r="F189" s="380"/>
      <c r="G189" s="380"/>
      <c r="H189" s="380"/>
      <c r="I189" s="399"/>
      <c r="J189" s="377"/>
      <c r="K189" s="382"/>
      <c r="L189" s="380"/>
      <c r="M189" s="380"/>
      <c r="N189" s="380"/>
      <c r="O189" s="380"/>
      <c r="P189" s="380"/>
      <c r="Q189" s="380"/>
    </row>
    <row r="190" spans="1:17" x14ac:dyDescent="0.2">
      <c r="A190" s="334" t="s">
        <v>1743</v>
      </c>
      <c r="B190" s="380"/>
      <c r="C190" s="334" t="s">
        <v>1886</v>
      </c>
      <c r="D190" s="388"/>
      <c r="E190" s="380"/>
      <c r="F190" s="380"/>
      <c r="G190" s="380"/>
      <c r="H190" s="380"/>
      <c r="I190" s="399"/>
      <c r="J190" s="388">
        <v>4000</v>
      </c>
      <c r="K190" s="382"/>
      <c r="L190" s="380"/>
      <c r="M190" s="380"/>
      <c r="N190" s="380"/>
      <c r="O190" s="380"/>
      <c r="P190" s="380"/>
      <c r="Q190" s="380"/>
    </row>
    <row r="191" spans="1:17" x14ac:dyDescent="0.2">
      <c r="A191" s="334" t="s">
        <v>1724</v>
      </c>
      <c r="B191" s="380"/>
      <c r="C191" s="334" t="s">
        <v>1881</v>
      </c>
      <c r="D191" s="388">
        <v>250</v>
      </c>
      <c r="E191" s="384"/>
      <c r="F191" s="380"/>
      <c r="G191" s="380"/>
      <c r="H191" s="380"/>
      <c r="I191" s="399"/>
      <c r="J191" s="388"/>
      <c r="K191" s="382"/>
      <c r="L191" s="380"/>
      <c r="M191" s="380"/>
      <c r="N191" s="380"/>
      <c r="O191" s="380"/>
      <c r="P191" s="380"/>
      <c r="Q191" s="380"/>
    </row>
    <row r="192" spans="1:17" x14ac:dyDescent="0.2">
      <c r="A192" s="384" t="s">
        <v>1736</v>
      </c>
      <c r="B192" s="380"/>
      <c r="C192" s="334" t="s">
        <v>1747</v>
      </c>
      <c r="D192" s="388"/>
      <c r="E192" s="384"/>
      <c r="F192" s="380"/>
      <c r="G192" s="380"/>
      <c r="H192" s="380"/>
      <c r="I192" s="399"/>
      <c r="J192" s="388">
        <v>200</v>
      </c>
      <c r="K192" s="382"/>
      <c r="L192" s="380"/>
      <c r="M192" s="380"/>
      <c r="N192" s="380"/>
      <c r="O192" s="380"/>
      <c r="P192" s="380"/>
      <c r="Q192" s="380"/>
    </row>
    <row r="193" spans="1:17" x14ac:dyDescent="0.2">
      <c r="A193" s="384" t="s">
        <v>1744</v>
      </c>
      <c r="B193" s="380"/>
      <c r="C193" s="334" t="s">
        <v>1254</v>
      </c>
      <c r="D193" s="388">
        <v>1000</v>
      </c>
      <c r="E193" s="380"/>
      <c r="F193" s="380"/>
      <c r="G193" s="380"/>
      <c r="H193" s="380"/>
      <c r="I193" s="399"/>
      <c r="J193" s="388">
        <v>200</v>
      </c>
      <c r="K193" s="382"/>
      <c r="L193" s="380"/>
      <c r="M193" s="380"/>
      <c r="N193" s="380"/>
      <c r="O193" s="380"/>
      <c r="P193" s="380"/>
      <c r="Q193" s="380"/>
    </row>
    <row r="194" spans="1:17" x14ac:dyDescent="0.2">
      <c r="A194" s="403">
        <v>5009</v>
      </c>
      <c r="B194" s="380"/>
      <c r="C194" s="334" t="s">
        <v>1887</v>
      </c>
      <c r="D194" s="388">
        <v>500</v>
      </c>
      <c r="E194" s="380"/>
      <c r="F194" s="380"/>
      <c r="G194" s="380"/>
      <c r="H194" s="380"/>
      <c r="I194" s="399"/>
      <c r="J194" s="388">
        <v>500</v>
      </c>
      <c r="K194" s="382"/>
      <c r="L194" s="380"/>
      <c r="M194" s="380"/>
      <c r="N194" s="380"/>
      <c r="O194" s="380"/>
      <c r="P194" s="380"/>
      <c r="Q194" s="380"/>
    </row>
    <row r="195" spans="1:17" x14ac:dyDescent="0.2">
      <c r="A195" s="334" t="s">
        <v>1725</v>
      </c>
      <c r="B195" s="377"/>
      <c r="C195" s="334" t="s">
        <v>1890</v>
      </c>
      <c r="D195" s="388">
        <v>500</v>
      </c>
      <c r="E195" s="380"/>
      <c r="F195" s="380"/>
      <c r="G195" s="380"/>
      <c r="H195" s="380"/>
      <c r="I195" s="399"/>
      <c r="J195" s="388">
        <v>1500</v>
      </c>
      <c r="K195" s="382"/>
      <c r="L195" s="380"/>
      <c r="M195" s="380"/>
      <c r="N195" s="380"/>
      <c r="O195" s="380"/>
      <c r="P195" s="380"/>
      <c r="Q195" s="380"/>
    </row>
    <row r="196" spans="1:17" x14ac:dyDescent="0.2">
      <c r="A196" s="334" t="s">
        <v>1565</v>
      </c>
      <c r="B196" s="380"/>
      <c r="C196" s="334" t="s">
        <v>1927</v>
      </c>
      <c r="D196" s="388"/>
      <c r="E196" s="380"/>
      <c r="F196" s="380"/>
      <c r="G196" s="380"/>
      <c r="H196" s="380"/>
      <c r="I196" s="399"/>
      <c r="J196" s="388">
        <v>300</v>
      </c>
      <c r="K196" s="382"/>
      <c r="L196" s="380"/>
      <c r="M196" s="380"/>
      <c r="N196" s="380"/>
      <c r="O196" s="380"/>
      <c r="P196" s="380"/>
      <c r="Q196" s="380"/>
    </row>
    <row r="197" spans="1:17" x14ac:dyDescent="0.2">
      <c r="A197" s="334" t="s">
        <v>1737</v>
      </c>
      <c r="B197" s="380"/>
      <c r="C197" s="334" t="s">
        <v>1928</v>
      </c>
      <c r="D197" s="388">
        <v>2500</v>
      </c>
      <c r="E197" s="377"/>
      <c r="F197" s="377"/>
      <c r="G197" s="377"/>
      <c r="H197" s="380"/>
      <c r="I197" s="399"/>
      <c r="J197" s="388">
        <v>50</v>
      </c>
      <c r="K197" s="382"/>
      <c r="L197" s="380"/>
      <c r="M197" s="380"/>
      <c r="N197" s="380"/>
      <c r="O197" s="380"/>
      <c r="P197" s="380"/>
      <c r="Q197" s="380"/>
    </row>
    <row r="198" spans="1:17" x14ac:dyDescent="0.2">
      <c r="A198" s="334" t="s">
        <v>1726</v>
      </c>
      <c r="B198" s="380"/>
      <c r="C198" s="334" t="s">
        <v>1117</v>
      </c>
      <c r="D198" s="388"/>
      <c r="E198" s="380"/>
      <c r="F198" s="380"/>
      <c r="G198" s="380"/>
      <c r="H198" s="380"/>
      <c r="I198" s="399"/>
      <c r="J198" s="388"/>
      <c r="K198" s="382"/>
      <c r="L198" s="380"/>
      <c r="M198" s="380"/>
      <c r="N198" s="380"/>
      <c r="O198" s="380"/>
      <c r="P198" s="380"/>
      <c r="Q198" s="380"/>
    </row>
    <row r="199" spans="1:17" x14ac:dyDescent="0.2">
      <c r="A199" s="334" t="s">
        <v>1579</v>
      </c>
      <c r="B199" s="380"/>
      <c r="C199" s="334" t="s">
        <v>1934</v>
      </c>
      <c r="D199" s="388">
        <v>500</v>
      </c>
      <c r="E199" s="380"/>
      <c r="F199" s="380"/>
      <c r="G199" s="380"/>
      <c r="H199" s="380"/>
      <c r="I199" s="399"/>
      <c r="J199" s="388"/>
      <c r="K199" s="382"/>
      <c r="L199" s="380"/>
      <c r="M199" s="380"/>
      <c r="N199" s="380"/>
      <c r="O199" s="380"/>
      <c r="P199" s="380"/>
      <c r="Q199" s="380"/>
    </row>
    <row r="200" spans="1:17" x14ac:dyDescent="0.2">
      <c r="A200" s="334" t="s">
        <v>1738</v>
      </c>
      <c r="B200" s="380"/>
      <c r="C200" s="334" t="s">
        <v>1591</v>
      </c>
      <c r="D200" s="388">
        <v>150</v>
      </c>
      <c r="E200" s="380"/>
      <c r="F200" s="380"/>
      <c r="G200" s="380"/>
      <c r="H200" s="380"/>
      <c r="I200" s="399"/>
      <c r="J200" s="388">
        <v>100</v>
      </c>
      <c r="K200" s="382"/>
      <c r="L200" s="380"/>
      <c r="M200" s="380"/>
      <c r="N200" s="380"/>
      <c r="O200" s="380"/>
      <c r="P200" s="380"/>
      <c r="Q200" s="380"/>
    </row>
    <row r="201" spans="1:17" x14ac:dyDescent="0.2">
      <c r="A201" s="334" t="s">
        <v>1727</v>
      </c>
      <c r="B201" s="380"/>
      <c r="C201" s="334" t="s">
        <v>307</v>
      </c>
      <c r="D201" s="388">
        <v>100</v>
      </c>
      <c r="E201" s="380"/>
      <c r="F201" s="380"/>
      <c r="G201" s="380"/>
      <c r="H201" s="380"/>
      <c r="I201" s="399"/>
      <c r="J201" s="388">
        <v>50</v>
      </c>
      <c r="K201" s="382"/>
      <c r="L201" s="380"/>
      <c r="M201" s="380"/>
      <c r="N201" s="380"/>
      <c r="O201" s="380"/>
      <c r="P201" s="380"/>
      <c r="Q201" s="380"/>
    </row>
    <row r="202" spans="1:17" x14ac:dyDescent="0.2">
      <c r="A202" s="334" t="s">
        <v>1728</v>
      </c>
      <c r="B202" s="380"/>
      <c r="C202" s="334" t="s">
        <v>310</v>
      </c>
      <c r="D202" s="388">
        <v>125</v>
      </c>
      <c r="E202" s="380"/>
      <c r="F202" s="380"/>
      <c r="G202" s="380"/>
      <c r="H202" s="380"/>
      <c r="I202" s="399"/>
      <c r="J202" s="388">
        <v>50</v>
      </c>
      <c r="K202" s="382"/>
      <c r="L202" s="380"/>
      <c r="M202" s="380"/>
      <c r="N202" s="380"/>
      <c r="O202" s="380"/>
      <c r="P202" s="380"/>
      <c r="Q202" s="380"/>
    </row>
    <row r="203" spans="1:17" x14ac:dyDescent="0.2">
      <c r="A203" s="334" t="s">
        <v>1729</v>
      </c>
      <c r="B203" s="380"/>
      <c r="C203" s="380" t="s">
        <v>1551</v>
      </c>
      <c r="D203" s="388">
        <v>-3635</v>
      </c>
      <c r="E203" s="380"/>
      <c r="F203" s="380"/>
      <c r="G203" s="380"/>
      <c r="H203" s="380"/>
      <c r="I203" s="399"/>
      <c r="J203" s="388">
        <v>250</v>
      </c>
      <c r="K203" s="382"/>
      <c r="L203" s="380"/>
      <c r="M203" s="380"/>
      <c r="N203" s="380"/>
      <c r="O203" s="380"/>
      <c r="P203" s="380"/>
      <c r="Q203" s="380"/>
    </row>
    <row r="204" spans="1:17" x14ac:dyDescent="0.2">
      <c r="A204" s="334" t="s">
        <v>1735</v>
      </c>
      <c r="B204" s="380"/>
      <c r="C204" s="380" t="s">
        <v>194</v>
      </c>
      <c r="D204" s="388"/>
      <c r="E204" s="380"/>
      <c r="F204" s="380"/>
      <c r="G204" s="380"/>
      <c r="H204" s="380"/>
      <c r="I204" s="399"/>
      <c r="J204" s="388">
        <v>50</v>
      </c>
      <c r="K204" s="382"/>
      <c r="L204" s="380"/>
      <c r="M204" s="380"/>
      <c r="N204" s="380"/>
      <c r="O204" s="380"/>
      <c r="P204" s="380"/>
      <c r="Q204" s="380"/>
    </row>
    <row r="205" spans="1:17" x14ac:dyDescent="0.2">
      <c r="A205" s="334" t="s">
        <v>1741</v>
      </c>
      <c r="B205" s="380"/>
      <c r="C205" s="334" t="s">
        <v>1748</v>
      </c>
      <c r="D205" s="388">
        <v>50</v>
      </c>
      <c r="E205" s="380"/>
      <c r="F205" s="380"/>
      <c r="G205" s="380"/>
      <c r="H205" s="380"/>
      <c r="I205" s="399"/>
      <c r="J205" s="388">
        <v>50</v>
      </c>
      <c r="K205" s="382"/>
      <c r="L205" s="380"/>
      <c r="M205" s="380"/>
      <c r="N205" s="380"/>
      <c r="O205" s="380"/>
      <c r="P205" s="380"/>
      <c r="Q205" s="380"/>
    </row>
    <row r="206" spans="1:17" x14ac:dyDescent="0.2">
      <c r="A206" s="334" t="s">
        <v>1742</v>
      </c>
      <c r="B206" s="380"/>
      <c r="C206" s="334" t="s">
        <v>1553</v>
      </c>
      <c r="D206" s="388"/>
      <c r="E206" s="380"/>
      <c r="F206" s="380"/>
      <c r="G206" s="380"/>
      <c r="H206" s="380"/>
      <c r="I206" s="399"/>
      <c r="J206" s="388"/>
      <c r="K206" s="382"/>
      <c r="L206" s="380"/>
      <c r="M206" s="380"/>
      <c r="N206" s="380"/>
      <c r="O206" s="380"/>
      <c r="P206" s="380"/>
      <c r="Q206" s="380"/>
    </row>
    <row r="207" spans="1:17" x14ac:dyDescent="0.2">
      <c r="A207" s="334" t="s">
        <v>1580</v>
      </c>
      <c r="B207" s="380"/>
      <c r="C207" s="334" t="s">
        <v>1935</v>
      </c>
      <c r="D207" s="388"/>
      <c r="E207" s="380"/>
      <c r="F207" s="380"/>
      <c r="G207" s="380"/>
      <c r="H207" s="380"/>
      <c r="I207" s="399"/>
      <c r="J207" s="388"/>
      <c r="K207" s="382"/>
      <c r="L207" s="380"/>
      <c r="M207" s="380"/>
      <c r="N207" s="380"/>
      <c r="O207" s="380"/>
      <c r="P207" s="380"/>
      <c r="Q207" s="380"/>
    </row>
    <row r="208" spans="1:17" x14ac:dyDescent="0.2">
      <c r="A208" s="334" t="s">
        <v>1572</v>
      </c>
      <c r="B208" s="380"/>
      <c r="C208" s="334" t="s">
        <v>3134</v>
      </c>
      <c r="D208" s="388"/>
      <c r="E208" s="380"/>
      <c r="F208" s="380"/>
      <c r="G208" s="380"/>
      <c r="H208" s="380"/>
      <c r="I208" s="399"/>
      <c r="J208" s="388"/>
      <c r="K208" s="382"/>
      <c r="L208" s="380"/>
      <c r="M208" s="380"/>
      <c r="N208" s="380"/>
      <c r="O208" s="380"/>
      <c r="P208" s="380"/>
      <c r="Q208" s="380"/>
    </row>
    <row r="209" spans="1:17" x14ac:dyDescent="0.2">
      <c r="A209" s="334" t="s">
        <v>1730</v>
      </c>
      <c r="B209" s="380"/>
      <c r="C209" s="334" t="s">
        <v>1985</v>
      </c>
      <c r="D209" s="388">
        <v>2500</v>
      </c>
      <c r="E209" s="380"/>
      <c r="F209" s="380"/>
      <c r="G209" s="380"/>
      <c r="H209" s="380"/>
      <c r="I209" s="399"/>
      <c r="J209" s="388">
        <v>1000</v>
      </c>
      <c r="K209" s="382"/>
      <c r="L209" s="380"/>
      <c r="M209" s="380"/>
      <c r="N209" s="380"/>
      <c r="O209" s="380"/>
      <c r="P209" s="380"/>
      <c r="Q209" s="380"/>
    </row>
    <row r="210" spans="1:17" x14ac:dyDescent="0.2">
      <c r="A210" s="384" t="s">
        <v>1962</v>
      </c>
      <c r="B210" s="380"/>
      <c r="C210" s="380" t="s">
        <v>572</v>
      </c>
      <c r="D210" s="388"/>
      <c r="E210" s="380"/>
      <c r="F210" s="380"/>
      <c r="G210" s="380"/>
      <c r="H210" s="380"/>
      <c r="I210" s="385"/>
      <c r="J210" s="388"/>
      <c r="K210" s="382"/>
      <c r="L210" s="380"/>
      <c r="M210" s="380"/>
      <c r="N210" s="380"/>
      <c r="O210" s="380"/>
      <c r="P210" s="380"/>
      <c r="Q210" s="380"/>
    </row>
    <row r="211" spans="1:17" x14ac:dyDescent="0.2">
      <c r="A211" s="389" t="s">
        <v>1760</v>
      </c>
      <c r="B211" s="380"/>
      <c r="C211" s="334" t="s">
        <v>40</v>
      </c>
      <c r="D211" s="388">
        <v>10000</v>
      </c>
      <c r="E211" s="380"/>
      <c r="F211" s="380"/>
      <c r="G211" s="380"/>
      <c r="H211" s="380"/>
      <c r="I211" s="385"/>
      <c r="J211" s="388">
        <v>10400</v>
      </c>
      <c r="K211" s="382"/>
      <c r="L211" s="380"/>
      <c r="M211" s="380"/>
      <c r="N211" s="380"/>
      <c r="O211" s="380"/>
      <c r="P211" s="380"/>
      <c r="Q211" s="380"/>
    </row>
    <row r="212" spans="1:17" x14ac:dyDescent="0.2">
      <c r="A212" s="389" t="s">
        <v>1579</v>
      </c>
      <c r="B212" s="380"/>
      <c r="C212" s="334" t="s">
        <v>1934</v>
      </c>
      <c r="D212" s="388"/>
      <c r="E212" s="380"/>
      <c r="F212" s="380"/>
      <c r="G212" s="380"/>
      <c r="H212" s="380"/>
      <c r="I212" s="385"/>
      <c r="J212" s="388">
        <v>350</v>
      </c>
      <c r="K212" s="382"/>
      <c r="L212" s="380"/>
      <c r="M212" s="380"/>
      <c r="N212" s="380"/>
      <c r="O212" s="380"/>
      <c r="P212" s="380"/>
      <c r="Q212" s="380"/>
    </row>
    <row r="213" spans="1:17" x14ac:dyDescent="0.2">
      <c r="A213" s="380"/>
      <c r="B213" s="380"/>
      <c r="C213" s="380"/>
      <c r="D213" s="394"/>
      <c r="E213" s="380"/>
      <c r="F213" s="380"/>
      <c r="G213" s="380"/>
      <c r="H213" s="380"/>
      <c r="I213" s="383"/>
      <c r="J213" s="394"/>
      <c r="K213" s="382"/>
      <c r="L213" s="380"/>
      <c r="M213" s="380"/>
      <c r="N213" s="380"/>
      <c r="O213" s="380"/>
      <c r="P213" s="380"/>
      <c r="Q213" s="380"/>
    </row>
    <row r="214" spans="1:17" x14ac:dyDescent="0.2">
      <c r="A214" s="380"/>
      <c r="B214" s="380"/>
      <c r="C214" s="380"/>
      <c r="D214" s="334">
        <f>SUM(D189:D212)</f>
        <v>14540</v>
      </c>
      <c r="E214" s="380"/>
      <c r="F214" s="380"/>
      <c r="G214" s="380"/>
      <c r="H214" s="380"/>
      <c r="I214" s="383"/>
      <c r="J214" s="334">
        <f>SUM(J189:J212)</f>
        <v>19050</v>
      </c>
      <c r="K214" s="382"/>
      <c r="L214" s="380"/>
      <c r="M214" s="380"/>
      <c r="N214" s="380"/>
      <c r="O214" s="380"/>
      <c r="P214" s="380"/>
      <c r="Q214" s="380"/>
    </row>
    <row r="215" spans="1:17" ht="16.5" thickTop="1" x14ac:dyDescent="0.25">
      <c r="A215" s="380"/>
      <c r="B215" s="380"/>
      <c r="C215" s="380"/>
      <c r="D215" s="401">
        <f>D214-D189</f>
        <v>14540</v>
      </c>
      <c r="E215" s="380"/>
      <c r="F215" s="380"/>
      <c r="G215" s="380"/>
      <c r="H215" s="380"/>
      <c r="I215" s="404"/>
      <c r="J215" s="395">
        <f>J214-J189</f>
        <v>19050</v>
      </c>
      <c r="K215" s="382"/>
      <c r="L215" s="380"/>
      <c r="M215" s="380"/>
      <c r="N215" s="380"/>
      <c r="O215" s="380"/>
      <c r="P215" s="380"/>
      <c r="Q215" s="380"/>
    </row>
    <row r="216" spans="1:17" ht="15.75" x14ac:dyDescent="0.25">
      <c r="A216" s="377"/>
      <c r="B216" s="377"/>
      <c r="C216" s="377"/>
      <c r="D216" s="377"/>
      <c r="E216" s="377"/>
      <c r="F216" s="377"/>
      <c r="G216" s="377"/>
      <c r="H216" s="377"/>
      <c r="I216" s="397"/>
      <c r="J216" s="377"/>
      <c r="K216" s="382"/>
      <c r="L216" s="380"/>
      <c r="M216" s="380"/>
      <c r="N216" s="380"/>
      <c r="O216" s="380"/>
      <c r="P216" s="380"/>
      <c r="Q216" s="380"/>
    </row>
    <row r="217" spans="1:17" x14ac:dyDescent="0.2">
      <c r="A217" s="380"/>
      <c r="B217" s="380"/>
      <c r="C217" s="380"/>
      <c r="D217" s="380"/>
      <c r="E217" s="380"/>
      <c r="F217" s="380"/>
      <c r="G217" s="380"/>
      <c r="H217" s="380"/>
      <c r="I217" s="383"/>
      <c r="J217" s="380"/>
      <c r="K217" s="382"/>
      <c r="L217" s="380"/>
      <c r="M217" s="380"/>
      <c r="N217" s="380"/>
      <c r="O217" s="380"/>
      <c r="P217" s="380"/>
      <c r="Q217" s="380"/>
    </row>
    <row r="218" spans="1:17" x14ac:dyDescent="0.2">
      <c r="A218" s="334" t="s">
        <v>1581</v>
      </c>
      <c r="B218" s="380"/>
      <c r="C218" s="380"/>
      <c r="D218" s="380"/>
      <c r="E218" s="380"/>
      <c r="F218" s="380"/>
      <c r="G218" s="380"/>
      <c r="H218" s="380"/>
      <c r="I218" s="383"/>
      <c r="J218" s="380"/>
      <c r="K218" s="382"/>
      <c r="L218" s="380"/>
      <c r="M218" s="380"/>
      <c r="N218" s="380"/>
      <c r="O218" s="380"/>
      <c r="P218" s="380"/>
      <c r="Q218" s="380"/>
    </row>
    <row r="219" spans="1:17" x14ac:dyDescent="0.2">
      <c r="A219" s="380"/>
      <c r="B219" s="380"/>
      <c r="C219" s="384" t="s">
        <v>2093</v>
      </c>
      <c r="D219" s="380"/>
      <c r="E219" s="380"/>
      <c r="F219" s="380"/>
      <c r="G219" s="380"/>
      <c r="H219" s="380"/>
      <c r="I219" s="383"/>
      <c r="J219" s="380"/>
      <c r="K219" s="382"/>
      <c r="L219" s="380"/>
      <c r="M219" s="380"/>
      <c r="N219" s="380"/>
      <c r="O219" s="380"/>
      <c r="P219" s="380"/>
      <c r="Q219" s="380"/>
    </row>
    <row r="220" spans="1:17" x14ac:dyDescent="0.2">
      <c r="A220" s="380"/>
      <c r="B220" s="380"/>
      <c r="C220" s="380"/>
      <c r="D220" s="380"/>
      <c r="E220" s="380"/>
      <c r="F220" s="380"/>
      <c r="G220" s="380"/>
      <c r="H220" s="380"/>
      <c r="I220" s="383"/>
      <c r="J220" s="380"/>
      <c r="K220" s="382"/>
      <c r="L220" s="380"/>
      <c r="M220" s="380"/>
      <c r="N220" s="380"/>
      <c r="O220" s="380"/>
      <c r="P220" s="380"/>
      <c r="Q220" s="380"/>
    </row>
    <row r="221" spans="1:17" x14ac:dyDescent="0.2">
      <c r="A221" s="334" t="s">
        <v>1723</v>
      </c>
      <c r="B221" s="380"/>
      <c r="C221" s="334" t="s">
        <v>1880</v>
      </c>
      <c r="D221" s="334" t="s">
        <v>181</v>
      </c>
      <c r="E221" s="380"/>
      <c r="F221" s="380"/>
      <c r="G221" s="380"/>
      <c r="H221" s="380"/>
      <c r="I221" s="383"/>
      <c r="J221" s="334" t="s">
        <v>181</v>
      </c>
      <c r="K221" s="382"/>
      <c r="L221" s="380"/>
      <c r="M221" s="380"/>
      <c r="N221" s="380"/>
      <c r="O221" s="380"/>
      <c r="P221" s="380"/>
      <c r="Q221" s="380"/>
    </row>
    <row r="222" spans="1:17" x14ac:dyDescent="0.2">
      <c r="A222" s="380"/>
      <c r="B222" s="380"/>
      <c r="C222" s="380"/>
      <c r="D222" s="380"/>
      <c r="E222" s="380"/>
      <c r="F222" s="380"/>
      <c r="G222" s="380"/>
      <c r="H222" s="380"/>
      <c r="I222" s="383"/>
      <c r="J222" s="380"/>
      <c r="K222" s="382"/>
      <c r="L222" s="380"/>
      <c r="M222" s="380"/>
      <c r="N222" s="380"/>
      <c r="O222" s="380"/>
      <c r="P222" s="380"/>
      <c r="Q222" s="380"/>
    </row>
    <row r="223" spans="1:17" x14ac:dyDescent="0.2">
      <c r="A223" s="384" t="s">
        <v>1568</v>
      </c>
      <c r="B223" s="380"/>
      <c r="C223" s="380" t="s">
        <v>1817</v>
      </c>
      <c r="D223" s="377"/>
      <c r="E223" s="384"/>
      <c r="F223" s="380"/>
      <c r="G223" s="380"/>
      <c r="H223" s="380"/>
      <c r="I223" s="399"/>
      <c r="J223" s="377"/>
      <c r="K223" s="382"/>
      <c r="L223" s="380"/>
      <c r="M223" s="380"/>
      <c r="N223" s="380"/>
      <c r="O223" s="380"/>
      <c r="P223" s="380"/>
      <c r="Q223" s="380"/>
    </row>
    <row r="224" spans="1:17" x14ac:dyDescent="0.2">
      <c r="A224" s="384" t="s">
        <v>1743</v>
      </c>
      <c r="B224" s="380"/>
      <c r="C224" s="334" t="s">
        <v>1886</v>
      </c>
      <c r="D224" s="377">
        <v>5000</v>
      </c>
      <c r="E224" s="384"/>
      <c r="F224" s="380"/>
      <c r="G224" s="380"/>
      <c r="H224" s="380"/>
      <c r="I224" s="399"/>
      <c r="J224" s="377"/>
      <c r="K224" s="382"/>
      <c r="L224" s="380"/>
      <c r="M224" s="380"/>
      <c r="N224" s="380"/>
      <c r="O224" s="380"/>
      <c r="P224" s="380"/>
      <c r="Q224" s="380"/>
    </row>
    <row r="225" spans="1:17" x14ac:dyDescent="0.2">
      <c r="A225" s="334" t="s">
        <v>1724</v>
      </c>
      <c r="B225" s="380"/>
      <c r="C225" s="334" t="s">
        <v>1881</v>
      </c>
      <c r="D225" s="388">
        <v>4000</v>
      </c>
      <c r="E225" s="384"/>
      <c r="F225" s="380"/>
      <c r="G225" s="380"/>
      <c r="H225" s="380"/>
      <c r="I225" s="399"/>
      <c r="J225" s="388">
        <v>4000</v>
      </c>
      <c r="K225" s="382"/>
      <c r="L225" s="380"/>
      <c r="M225" s="380"/>
      <c r="N225" s="380"/>
      <c r="O225" s="380"/>
      <c r="P225" s="380"/>
      <c r="Q225" s="380"/>
    </row>
    <row r="226" spans="1:17" x14ac:dyDescent="0.2">
      <c r="A226" s="384" t="s">
        <v>1736</v>
      </c>
      <c r="B226" s="380"/>
      <c r="C226" s="334" t="s">
        <v>1747</v>
      </c>
      <c r="D226" s="388">
        <v>650</v>
      </c>
      <c r="E226" s="384"/>
      <c r="F226" s="380"/>
      <c r="G226" s="380"/>
      <c r="H226" s="380"/>
      <c r="I226" s="399"/>
      <c r="J226" s="388"/>
      <c r="K226" s="382"/>
      <c r="L226" s="380"/>
      <c r="M226" s="380"/>
      <c r="N226" s="380"/>
      <c r="O226" s="380"/>
      <c r="P226" s="380"/>
      <c r="Q226" s="380"/>
    </row>
    <row r="227" spans="1:17" x14ac:dyDescent="0.2">
      <c r="A227" s="384" t="s">
        <v>1744</v>
      </c>
      <c r="B227" s="380"/>
      <c r="C227" s="334" t="s">
        <v>1254</v>
      </c>
      <c r="D227" s="388">
        <v>1500</v>
      </c>
      <c r="E227" s="384"/>
      <c r="F227" s="380"/>
      <c r="G227" s="380"/>
      <c r="H227" s="380"/>
      <c r="I227" s="399"/>
      <c r="J227" s="388">
        <v>800</v>
      </c>
      <c r="K227" s="382"/>
      <c r="L227" s="380"/>
      <c r="M227" s="380"/>
      <c r="N227" s="380"/>
      <c r="O227" s="380"/>
      <c r="P227" s="380"/>
      <c r="Q227" s="380"/>
    </row>
    <row r="228" spans="1:17" x14ac:dyDescent="0.2">
      <c r="A228" s="334" t="s">
        <v>1737</v>
      </c>
      <c r="B228" s="380"/>
      <c r="C228" s="334" t="s">
        <v>1928</v>
      </c>
      <c r="D228" s="388">
        <v>2500</v>
      </c>
      <c r="E228" s="384"/>
      <c r="F228" s="380"/>
      <c r="G228" s="380"/>
      <c r="H228" s="380"/>
      <c r="I228" s="399"/>
      <c r="J228" s="388">
        <v>750</v>
      </c>
      <c r="K228" s="382"/>
      <c r="L228" s="380"/>
      <c r="M228" s="380"/>
      <c r="N228" s="380"/>
      <c r="O228" s="380"/>
      <c r="P228" s="380"/>
      <c r="Q228" s="380"/>
    </row>
    <row r="229" spans="1:17" x14ac:dyDescent="0.2">
      <c r="A229" s="334" t="s">
        <v>1726</v>
      </c>
      <c r="B229" s="380"/>
      <c r="C229" s="334" t="s">
        <v>1117</v>
      </c>
      <c r="D229" s="388"/>
      <c r="E229" s="384"/>
      <c r="F229" s="380"/>
      <c r="G229" s="380"/>
      <c r="H229" s="380"/>
      <c r="I229" s="399"/>
      <c r="J229" s="388">
        <v>50</v>
      </c>
      <c r="K229" s="382"/>
      <c r="L229" s="380"/>
      <c r="M229" s="380"/>
      <c r="N229" s="380"/>
      <c r="O229" s="380"/>
      <c r="P229" s="380"/>
      <c r="Q229" s="380"/>
    </row>
    <row r="230" spans="1:17" x14ac:dyDescent="0.2">
      <c r="A230" s="384" t="s">
        <v>1828</v>
      </c>
      <c r="B230" s="380"/>
      <c r="C230" s="334" t="s">
        <v>2712</v>
      </c>
      <c r="D230" s="388">
        <v>2250</v>
      </c>
      <c r="E230" s="384"/>
      <c r="F230" s="380"/>
      <c r="G230" s="380"/>
      <c r="H230" s="380"/>
      <c r="I230" s="399"/>
      <c r="J230" s="388"/>
      <c r="K230" s="382"/>
      <c r="L230" s="380"/>
      <c r="M230" s="380"/>
      <c r="N230" s="380"/>
      <c r="O230" s="380"/>
      <c r="P230" s="380"/>
      <c r="Q230" s="380"/>
    </row>
    <row r="231" spans="1:17" x14ac:dyDescent="0.2">
      <c r="A231" s="384" t="s">
        <v>1760</v>
      </c>
      <c r="B231" s="380"/>
      <c r="C231" s="334" t="s">
        <v>40</v>
      </c>
      <c r="D231" s="388">
        <v>6000</v>
      </c>
      <c r="E231" s="384"/>
      <c r="F231" s="380"/>
      <c r="G231" s="380"/>
      <c r="H231" s="380"/>
      <c r="I231" s="399"/>
      <c r="J231" s="388">
        <v>6000</v>
      </c>
      <c r="K231" s="382"/>
      <c r="L231" s="380"/>
      <c r="M231" s="380"/>
      <c r="N231" s="380"/>
      <c r="O231" s="380"/>
      <c r="P231" s="380"/>
      <c r="Q231" s="380"/>
    </row>
    <row r="232" spans="1:17" x14ac:dyDescent="0.2">
      <c r="A232" s="334" t="s">
        <v>1734</v>
      </c>
      <c r="B232" s="380"/>
      <c r="C232" s="334" t="s">
        <v>1746</v>
      </c>
      <c r="D232" s="388">
        <v>2000</v>
      </c>
      <c r="E232" s="384"/>
      <c r="F232" s="380"/>
      <c r="G232" s="380"/>
      <c r="H232" s="380"/>
      <c r="I232" s="399"/>
      <c r="J232" s="388">
        <v>2000</v>
      </c>
      <c r="K232" s="382"/>
      <c r="L232" s="380"/>
      <c r="M232" s="380"/>
      <c r="N232" s="380"/>
      <c r="O232" s="380"/>
      <c r="P232" s="380"/>
      <c r="Q232" s="380"/>
    </row>
    <row r="233" spans="1:17" x14ac:dyDescent="0.2">
      <c r="A233" s="384" t="s">
        <v>1578</v>
      </c>
      <c r="B233" s="380"/>
      <c r="C233" s="334" t="s">
        <v>22</v>
      </c>
      <c r="D233" s="388"/>
      <c r="E233" s="384"/>
      <c r="F233" s="380"/>
      <c r="G233" s="380"/>
      <c r="H233" s="380"/>
      <c r="I233" s="399"/>
      <c r="J233" s="388"/>
      <c r="K233" s="382"/>
      <c r="L233" s="380"/>
      <c r="M233" s="380"/>
      <c r="N233" s="380"/>
      <c r="O233" s="380"/>
      <c r="P233" s="380"/>
      <c r="Q233" s="380"/>
    </row>
    <row r="234" spans="1:17" x14ac:dyDescent="0.2">
      <c r="A234" s="334" t="s">
        <v>1583</v>
      </c>
      <c r="B234" s="380"/>
      <c r="C234" s="334" t="s">
        <v>41</v>
      </c>
      <c r="D234" s="388">
        <v>3000</v>
      </c>
      <c r="E234" s="384"/>
      <c r="F234" s="380"/>
      <c r="G234" s="380"/>
      <c r="H234" s="380"/>
      <c r="I234" s="399"/>
      <c r="J234" s="388">
        <v>2500</v>
      </c>
      <c r="K234" s="382"/>
      <c r="L234" s="380"/>
      <c r="M234" s="380"/>
      <c r="N234" s="380"/>
      <c r="O234" s="380"/>
      <c r="P234" s="380"/>
      <c r="Q234" s="380"/>
    </row>
    <row r="235" spans="1:17" x14ac:dyDescent="0.2">
      <c r="A235" s="334" t="s">
        <v>1738</v>
      </c>
      <c r="B235" s="380"/>
      <c r="C235" s="334" t="s">
        <v>1591</v>
      </c>
      <c r="D235" s="388">
        <v>1500</v>
      </c>
      <c r="E235" s="384"/>
      <c r="F235" s="380"/>
      <c r="G235" s="380"/>
      <c r="H235" s="380"/>
      <c r="I235" s="399"/>
      <c r="J235" s="388">
        <v>4500</v>
      </c>
      <c r="K235" s="382"/>
      <c r="L235" s="380"/>
      <c r="M235" s="380"/>
      <c r="N235" s="380"/>
      <c r="O235" s="380"/>
      <c r="P235" s="380"/>
      <c r="Q235" s="380"/>
    </row>
    <row r="236" spans="1:17" x14ac:dyDescent="0.2">
      <c r="A236" s="334" t="s">
        <v>1727</v>
      </c>
      <c r="B236" s="380"/>
      <c r="C236" s="334" t="s">
        <v>307</v>
      </c>
      <c r="D236" s="388">
        <v>3000</v>
      </c>
      <c r="E236" s="384"/>
      <c r="F236" s="380"/>
      <c r="G236" s="380"/>
      <c r="H236" s="380"/>
      <c r="I236" s="399"/>
      <c r="J236" s="388">
        <v>3000</v>
      </c>
      <c r="K236" s="382"/>
      <c r="L236" s="380"/>
      <c r="M236" s="380"/>
      <c r="N236" s="380"/>
      <c r="O236" s="380"/>
      <c r="P236" s="380"/>
      <c r="Q236" s="380"/>
    </row>
    <row r="237" spans="1:17" x14ac:dyDescent="0.2">
      <c r="A237" s="334" t="s">
        <v>1728</v>
      </c>
      <c r="B237" s="380"/>
      <c r="C237" s="334" t="s">
        <v>310</v>
      </c>
      <c r="D237" s="388">
        <v>10000</v>
      </c>
      <c r="E237" s="384"/>
      <c r="F237" s="380"/>
      <c r="G237" s="380"/>
      <c r="H237" s="380"/>
      <c r="I237" s="399"/>
      <c r="J237" s="388">
        <v>13000</v>
      </c>
      <c r="K237" s="382"/>
      <c r="L237" s="380"/>
      <c r="M237" s="380"/>
      <c r="N237" s="380"/>
      <c r="O237" s="380"/>
      <c r="P237" s="380"/>
      <c r="Q237" s="380"/>
    </row>
    <row r="238" spans="1:17" x14ac:dyDescent="0.2">
      <c r="A238" s="334" t="s">
        <v>1729</v>
      </c>
      <c r="B238" s="380"/>
      <c r="C238" s="380" t="s">
        <v>1551</v>
      </c>
      <c r="D238" s="388">
        <f>-11560-5000</f>
        <v>-16560</v>
      </c>
      <c r="E238" s="384"/>
      <c r="F238" s="380"/>
      <c r="G238" s="380"/>
      <c r="H238" s="380"/>
      <c r="I238" s="399"/>
      <c r="J238" s="388">
        <v>10000</v>
      </c>
      <c r="K238" s="382"/>
      <c r="L238" s="380"/>
      <c r="M238" s="380"/>
      <c r="N238" s="380"/>
      <c r="O238" s="380"/>
      <c r="P238" s="380"/>
      <c r="Q238" s="380"/>
    </row>
    <row r="239" spans="1:17" x14ac:dyDescent="0.2">
      <c r="A239" s="334" t="s">
        <v>1735</v>
      </c>
      <c r="B239" s="380"/>
      <c r="C239" s="380" t="s">
        <v>194</v>
      </c>
      <c r="D239" s="388"/>
      <c r="E239" s="384"/>
      <c r="F239" s="380"/>
      <c r="G239" s="380"/>
      <c r="H239" s="380"/>
      <c r="I239" s="399"/>
      <c r="J239" s="388">
        <v>1300</v>
      </c>
      <c r="K239" s="382"/>
      <c r="L239" s="380"/>
      <c r="M239" s="380"/>
      <c r="N239" s="380"/>
      <c r="O239" s="380"/>
      <c r="P239" s="380"/>
      <c r="Q239" s="380"/>
    </row>
    <row r="240" spans="1:17" x14ac:dyDescent="0.2">
      <c r="A240" s="334" t="s">
        <v>1741</v>
      </c>
      <c r="B240" s="380"/>
      <c r="C240" s="334" t="s">
        <v>1748</v>
      </c>
      <c r="D240" s="388">
        <v>3000</v>
      </c>
      <c r="E240" s="384"/>
      <c r="F240" s="380"/>
      <c r="G240" s="380"/>
      <c r="H240" s="380"/>
      <c r="I240" s="399"/>
      <c r="J240" s="388"/>
      <c r="K240" s="382"/>
      <c r="L240" s="380"/>
      <c r="M240" s="380"/>
      <c r="N240" s="380"/>
      <c r="O240" s="380"/>
      <c r="P240" s="380"/>
      <c r="Q240" s="380"/>
    </row>
    <row r="241" spans="1:17" x14ac:dyDescent="0.2">
      <c r="A241" s="384" t="s">
        <v>1754</v>
      </c>
      <c r="B241" s="380"/>
      <c r="C241" s="334" t="s">
        <v>1929</v>
      </c>
      <c r="D241" s="388">
        <v>500</v>
      </c>
      <c r="E241" s="384"/>
      <c r="F241" s="380"/>
      <c r="G241" s="380"/>
      <c r="H241" s="380"/>
      <c r="I241" s="399"/>
      <c r="J241" s="388"/>
      <c r="K241" s="382"/>
      <c r="L241" s="380"/>
      <c r="M241" s="380"/>
      <c r="N241" s="380"/>
      <c r="O241" s="380"/>
      <c r="P241" s="380"/>
      <c r="Q241" s="380"/>
    </row>
    <row r="242" spans="1:17" x14ac:dyDescent="0.2">
      <c r="A242" s="334" t="s">
        <v>1584</v>
      </c>
      <c r="B242" s="380"/>
      <c r="C242" s="334" t="s">
        <v>0</v>
      </c>
      <c r="D242" s="388"/>
      <c r="E242" s="384"/>
      <c r="F242" s="380"/>
      <c r="G242" s="380"/>
      <c r="H242" s="380"/>
      <c r="I242" s="399"/>
      <c r="J242" s="388">
        <v>200</v>
      </c>
      <c r="K242" s="382"/>
      <c r="L242" s="380"/>
      <c r="M242" s="380"/>
      <c r="N242" s="380"/>
      <c r="O242" s="380"/>
      <c r="P242" s="380"/>
      <c r="Q242" s="380"/>
    </row>
    <row r="243" spans="1:17" x14ac:dyDescent="0.2">
      <c r="A243" s="334" t="s">
        <v>1580</v>
      </c>
      <c r="B243" s="380"/>
      <c r="C243" s="334" t="s">
        <v>1936</v>
      </c>
      <c r="D243" s="388"/>
      <c r="E243" s="384"/>
      <c r="F243" s="380"/>
      <c r="G243" s="380"/>
      <c r="H243" s="380"/>
      <c r="I243" s="399"/>
      <c r="J243" s="388">
        <v>800</v>
      </c>
      <c r="K243" s="382"/>
      <c r="L243" s="380"/>
      <c r="M243" s="380"/>
      <c r="N243" s="380"/>
      <c r="O243" s="380"/>
      <c r="P243" s="380"/>
      <c r="Q243" s="380"/>
    </row>
    <row r="244" spans="1:17" x14ac:dyDescent="0.2">
      <c r="A244" s="334" t="s">
        <v>1572</v>
      </c>
      <c r="B244" s="380"/>
      <c r="C244" s="334" t="s">
        <v>3134</v>
      </c>
      <c r="D244" s="388">
        <v>100</v>
      </c>
      <c r="E244" s="384"/>
      <c r="F244" s="380"/>
      <c r="G244" s="380"/>
      <c r="H244" s="380"/>
      <c r="I244" s="399"/>
      <c r="J244" s="388">
        <v>100</v>
      </c>
      <c r="K244" s="382"/>
      <c r="L244" s="380"/>
      <c r="M244" s="380"/>
      <c r="N244" s="380"/>
      <c r="O244" s="380"/>
      <c r="P244" s="380"/>
      <c r="Q244" s="380"/>
    </row>
    <row r="245" spans="1:17" x14ac:dyDescent="0.2">
      <c r="A245" s="334" t="s">
        <v>1730</v>
      </c>
      <c r="B245" s="380"/>
      <c r="C245" s="334" t="s">
        <v>1985</v>
      </c>
      <c r="D245" s="388">
        <v>7000</v>
      </c>
      <c r="E245" s="384"/>
      <c r="F245" s="380"/>
      <c r="G245" s="380"/>
      <c r="H245" s="380"/>
      <c r="I245" s="399"/>
      <c r="J245" s="388">
        <v>4000</v>
      </c>
      <c r="K245" s="382"/>
      <c r="L245" s="380"/>
      <c r="M245" s="380"/>
      <c r="N245" s="380"/>
      <c r="O245" s="380"/>
      <c r="P245" s="380"/>
      <c r="Q245" s="380"/>
    </row>
    <row r="246" spans="1:17" x14ac:dyDescent="0.2">
      <c r="A246" s="384" t="s">
        <v>1587</v>
      </c>
      <c r="B246" s="380"/>
      <c r="C246" s="334" t="s">
        <v>34</v>
      </c>
      <c r="D246" s="388">
        <v>1000</v>
      </c>
      <c r="E246" s="384"/>
      <c r="F246" s="380"/>
      <c r="G246" s="380"/>
      <c r="H246" s="380"/>
      <c r="I246" s="399"/>
      <c r="J246" s="388"/>
      <c r="K246" s="382"/>
      <c r="L246" s="380"/>
      <c r="M246" s="380"/>
      <c r="N246" s="380"/>
      <c r="O246" s="380"/>
      <c r="P246" s="380"/>
      <c r="Q246" s="380"/>
    </row>
    <row r="247" spans="1:17" x14ac:dyDescent="0.2">
      <c r="A247" s="384" t="s">
        <v>1962</v>
      </c>
      <c r="B247" s="380"/>
      <c r="C247" s="380" t="s">
        <v>572</v>
      </c>
      <c r="D247" s="388">
        <v>4800</v>
      </c>
      <c r="E247" s="384"/>
      <c r="F247" s="380"/>
      <c r="G247" s="380"/>
      <c r="H247" s="380"/>
      <c r="I247" s="399"/>
      <c r="J247" s="388"/>
      <c r="K247" s="382"/>
      <c r="L247" s="380"/>
      <c r="M247" s="380"/>
      <c r="N247" s="380"/>
      <c r="O247" s="380"/>
      <c r="P247" s="380"/>
      <c r="Q247" s="380"/>
    </row>
    <row r="248" spans="1:17" x14ac:dyDescent="0.2">
      <c r="A248" s="405" t="s">
        <v>1567</v>
      </c>
      <c r="B248" s="380"/>
      <c r="C248" s="334" t="s">
        <v>3142</v>
      </c>
      <c r="D248" s="388"/>
      <c r="E248" s="384"/>
      <c r="F248" s="380"/>
      <c r="G248" s="380"/>
      <c r="H248" s="380"/>
      <c r="I248" s="385"/>
      <c r="J248" s="388">
        <v>4800</v>
      </c>
      <c r="K248" s="382"/>
      <c r="L248" s="380"/>
      <c r="M248" s="380"/>
      <c r="N248" s="380"/>
      <c r="O248" s="380"/>
      <c r="P248" s="380"/>
      <c r="Q248" s="380"/>
    </row>
    <row r="249" spans="1:17" x14ac:dyDescent="0.2">
      <c r="A249" s="380"/>
      <c r="B249" s="380"/>
      <c r="C249" s="380"/>
      <c r="D249" s="406"/>
      <c r="E249" s="380"/>
      <c r="F249" s="380"/>
      <c r="G249" s="380"/>
      <c r="H249" s="380"/>
      <c r="I249" s="383"/>
      <c r="J249" s="380"/>
      <c r="K249" s="382"/>
      <c r="L249" s="380"/>
      <c r="M249" s="380"/>
      <c r="N249" s="380"/>
      <c r="O249" s="380"/>
      <c r="P249" s="380"/>
      <c r="Q249" s="380"/>
    </row>
    <row r="250" spans="1:17" x14ac:dyDescent="0.2">
      <c r="A250" s="380"/>
      <c r="B250" s="380"/>
      <c r="C250" s="380"/>
      <c r="D250" s="334">
        <f>SUM(D223:D248)</f>
        <v>41240</v>
      </c>
      <c r="E250" s="380"/>
      <c r="F250" s="380"/>
      <c r="G250" s="380"/>
      <c r="H250" s="380"/>
      <c r="I250" s="383"/>
      <c r="J250" s="334">
        <f>SUM(J223:J248)</f>
        <v>57800</v>
      </c>
      <c r="K250" s="382"/>
      <c r="L250" s="380"/>
      <c r="M250" s="380"/>
      <c r="N250" s="380"/>
      <c r="O250" s="380"/>
      <c r="P250" s="380"/>
      <c r="Q250" s="380"/>
    </row>
    <row r="251" spans="1:17" ht="15.75" thickTop="1" x14ac:dyDescent="0.2">
      <c r="A251" s="380"/>
      <c r="B251" s="380"/>
      <c r="C251" s="380"/>
      <c r="D251" s="401">
        <f>D250-D223</f>
        <v>41240</v>
      </c>
      <c r="E251" s="380"/>
      <c r="F251" s="380"/>
      <c r="G251" s="380"/>
      <c r="H251" s="380"/>
      <c r="I251" s="383"/>
      <c r="J251" s="395">
        <f>J250-J223-J224</f>
        <v>57800</v>
      </c>
      <c r="K251" s="382"/>
      <c r="L251" s="380"/>
      <c r="M251" s="380"/>
      <c r="N251" s="380"/>
      <c r="O251" s="380"/>
      <c r="P251" s="380"/>
      <c r="Q251" s="380"/>
    </row>
    <row r="252" spans="1:17" ht="15.75" x14ac:dyDescent="0.25">
      <c r="A252" s="377"/>
      <c r="B252" s="377"/>
      <c r="C252" s="377"/>
      <c r="D252" s="377"/>
      <c r="E252" s="377"/>
      <c r="F252" s="377"/>
      <c r="G252" s="377"/>
      <c r="H252" s="377"/>
      <c r="I252" s="397"/>
      <c r="J252" s="377"/>
      <c r="K252" s="382"/>
      <c r="L252" s="380"/>
      <c r="M252" s="380"/>
      <c r="N252" s="380"/>
      <c r="O252" s="380"/>
      <c r="P252" s="380"/>
      <c r="Q252" s="380"/>
    </row>
    <row r="253" spans="1:17" x14ac:dyDescent="0.2">
      <c r="A253" s="380"/>
      <c r="B253" s="380"/>
      <c r="C253" s="380"/>
      <c r="D253" s="380"/>
      <c r="E253" s="380"/>
      <c r="F253" s="380"/>
      <c r="G253" s="380"/>
      <c r="H253" s="380"/>
      <c r="I253" s="383"/>
      <c r="J253" s="380"/>
      <c r="K253" s="382"/>
      <c r="L253" s="380"/>
      <c r="M253" s="380"/>
      <c r="N253" s="380"/>
      <c r="O253" s="380"/>
      <c r="P253" s="380"/>
      <c r="Q253" s="380"/>
    </row>
    <row r="254" spans="1:17" x14ac:dyDescent="0.2">
      <c r="A254" s="334" t="s">
        <v>3124</v>
      </c>
      <c r="B254" s="380"/>
      <c r="C254" s="380"/>
      <c r="D254" s="380"/>
      <c r="E254" s="380"/>
      <c r="F254" s="380"/>
      <c r="G254" s="380"/>
      <c r="H254" s="380"/>
      <c r="I254" s="383"/>
      <c r="J254" s="380"/>
      <c r="K254" s="382"/>
      <c r="L254" s="380"/>
      <c r="M254" s="380"/>
      <c r="N254" s="380"/>
      <c r="O254" s="380"/>
      <c r="P254" s="380"/>
      <c r="Q254" s="380"/>
    </row>
    <row r="255" spans="1:17" x14ac:dyDescent="0.2">
      <c r="A255" s="380"/>
      <c r="B255" s="380"/>
      <c r="C255" s="384" t="s">
        <v>2094</v>
      </c>
      <c r="D255" s="380"/>
      <c r="E255" s="380"/>
      <c r="F255" s="380"/>
      <c r="G255" s="380"/>
      <c r="H255" s="380"/>
      <c r="I255" s="383"/>
      <c r="J255" s="380"/>
      <c r="K255" s="382"/>
      <c r="L255" s="380"/>
      <c r="M255" s="380"/>
      <c r="N255" s="380"/>
      <c r="O255" s="380"/>
      <c r="P255" s="380"/>
      <c r="Q255" s="380"/>
    </row>
    <row r="256" spans="1:17" x14ac:dyDescent="0.2">
      <c r="A256" s="380"/>
      <c r="B256" s="380"/>
      <c r="C256" s="380"/>
      <c r="D256" s="380"/>
      <c r="E256" s="380"/>
      <c r="F256" s="380"/>
      <c r="G256" s="380"/>
      <c r="H256" s="380"/>
      <c r="I256" s="383"/>
      <c r="J256" s="380"/>
      <c r="K256" s="382"/>
      <c r="L256" s="380"/>
      <c r="M256" s="380"/>
      <c r="N256" s="380"/>
      <c r="O256" s="380"/>
      <c r="P256" s="380"/>
      <c r="Q256" s="380"/>
    </row>
    <row r="257" spans="1:17" x14ac:dyDescent="0.2">
      <c r="A257" s="334" t="s">
        <v>1723</v>
      </c>
      <c r="B257" s="380"/>
      <c r="C257" s="334" t="s">
        <v>1880</v>
      </c>
      <c r="D257" s="334" t="s">
        <v>181</v>
      </c>
      <c r="E257" s="380"/>
      <c r="F257" s="380"/>
      <c r="G257" s="380"/>
      <c r="H257" s="380"/>
      <c r="I257" s="383"/>
      <c r="J257" s="334" t="s">
        <v>181</v>
      </c>
      <c r="K257" s="382"/>
      <c r="L257" s="380"/>
      <c r="M257" s="380"/>
      <c r="N257" s="380"/>
      <c r="O257" s="380"/>
      <c r="P257" s="380"/>
      <c r="Q257" s="380"/>
    </row>
    <row r="258" spans="1:17" x14ac:dyDescent="0.2">
      <c r="A258" s="380"/>
      <c r="B258" s="380"/>
      <c r="C258" s="380"/>
      <c r="D258" s="380"/>
      <c r="E258" s="380"/>
      <c r="F258" s="380"/>
      <c r="G258" s="380"/>
      <c r="H258" s="380"/>
      <c r="I258" s="383"/>
      <c r="J258" s="380"/>
      <c r="K258" s="382"/>
      <c r="L258" s="380"/>
      <c r="M258" s="380"/>
      <c r="N258" s="380"/>
      <c r="O258" s="380"/>
      <c r="P258" s="380"/>
      <c r="Q258" s="380"/>
    </row>
    <row r="259" spans="1:17" x14ac:dyDescent="0.2">
      <c r="A259" s="334" t="s">
        <v>1568</v>
      </c>
      <c r="B259" s="380"/>
      <c r="C259" s="380" t="s">
        <v>1817</v>
      </c>
      <c r="D259" s="377"/>
      <c r="E259" s="384"/>
      <c r="F259" s="380"/>
      <c r="G259" s="380"/>
      <c r="H259" s="380"/>
      <c r="I259" s="399"/>
      <c r="J259" s="377"/>
      <c r="K259" s="382"/>
      <c r="L259" s="380"/>
      <c r="M259" s="380"/>
      <c r="N259" s="380"/>
      <c r="O259" s="380"/>
      <c r="P259" s="380"/>
      <c r="Q259" s="380"/>
    </row>
    <row r="260" spans="1:17" x14ac:dyDescent="0.2">
      <c r="A260" s="334" t="s">
        <v>1724</v>
      </c>
      <c r="B260" s="380"/>
      <c r="C260" s="334" t="s">
        <v>1881</v>
      </c>
      <c r="D260" s="386">
        <v>600</v>
      </c>
      <c r="E260" s="384"/>
      <c r="F260" s="380"/>
      <c r="G260" s="380"/>
      <c r="H260" s="380"/>
      <c r="I260" s="399"/>
      <c r="J260" s="388">
        <v>300</v>
      </c>
      <c r="K260" s="382"/>
      <c r="L260" s="380"/>
      <c r="M260" s="380"/>
      <c r="N260" s="380"/>
      <c r="O260" s="380"/>
      <c r="P260" s="380"/>
      <c r="Q260" s="380"/>
    </row>
    <row r="261" spans="1:17" x14ac:dyDescent="0.2">
      <c r="A261" s="334" t="s">
        <v>1725</v>
      </c>
      <c r="B261" s="380"/>
      <c r="C261" s="334" t="s">
        <v>1890</v>
      </c>
      <c r="D261" s="386">
        <v>300</v>
      </c>
      <c r="E261" s="384"/>
      <c r="F261" s="380"/>
      <c r="G261" s="380"/>
      <c r="H261" s="380"/>
      <c r="I261" s="399"/>
      <c r="J261" s="388">
        <v>300</v>
      </c>
      <c r="K261" s="382"/>
      <c r="L261" s="380"/>
      <c r="M261" s="380"/>
      <c r="N261" s="380"/>
      <c r="O261" s="380"/>
      <c r="P261" s="380"/>
      <c r="Q261" s="380"/>
    </row>
    <row r="262" spans="1:17" x14ac:dyDescent="0.2">
      <c r="A262" s="334" t="s">
        <v>1737</v>
      </c>
      <c r="B262" s="380"/>
      <c r="C262" s="334" t="s">
        <v>1928</v>
      </c>
      <c r="D262" s="386">
        <v>600</v>
      </c>
      <c r="E262" s="384"/>
      <c r="F262" s="380"/>
      <c r="G262" s="380"/>
      <c r="H262" s="380"/>
      <c r="I262" s="399"/>
      <c r="J262" s="388">
        <v>600</v>
      </c>
      <c r="K262" s="382"/>
      <c r="L262" s="380"/>
      <c r="M262" s="380"/>
      <c r="N262" s="380"/>
      <c r="O262" s="380"/>
      <c r="P262" s="380"/>
      <c r="Q262" s="380"/>
    </row>
    <row r="263" spans="1:17" x14ac:dyDescent="0.2">
      <c r="A263" s="334" t="s">
        <v>1726</v>
      </c>
      <c r="B263" s="380"/>
      <c r="C263" s="334" t="s">
        <v>1117</v>
      </c>
      <c r="D263" s="386">
        <v>100</v>
      </c>
      <c r="E263" s="384"/>
      <c r="F263" s="380"/>
      <c r="G263" s="380"/>
      <c r="H263" s="380"/>
      <c r="I263" s="399"/>
      <c r="J263" s="388">
        <v>100</v>
      </c>
      <c r="K263" s="382"/>
      <c r="L263" s="380"/>
      <c r="M263" s="380"/>
      <c r="N263" s="380"/>
      <c r="O263" s="380"/>
      <c r="P263" s="380"/>
      <c r="Q263" s="380"/>
    </row>
    <row r="264" spans="1:17" x14ac:dyDescent="0.2">
      <c r="A264" s="334" t="s">
        <v>1727</v>
      </c>
      <c r="B264" s="380"/>
      <c r="C264" s="334" t="s">
        <v>307</v>
      </c>
      <c r="D264" s="386">
        <v>300</v>
      </c>
      <c r="E264" s="384"/>
      <c r="F264" s="380"/>
      <c r="G264" s="380"/>
      <c r="H264" s="380"/>
      <c r="I264" s="399"/>
      <c r="J264" s="388">
        <v>300</v>
      </c>
      <c r="K264" s="382"/>
      <c r="L264" s="380"/>
      <c r="M264" s="380"/>
      <c r="N264" s="380"/>
      <c r="O264" s="380"/>
      <c r="P264" s="380"/>
      <c r="Q264" s="380"/>
    </row>
    <row r="265" spans="1:17" x14ac:dyDescent="0.2">
      <c r="A265" s="334" t="s">
        <v>1728</v>
      </c>
      <c r="B265" s="380"/>
      <c r="C265" s="334" t="s">
        <v>310</v>
      </c>
      <c r="D265" s="386">
        <v>500</v>
      </c>
      <c r="E265" s="384"/>
      <c r="F265" s="380"/>
      <c r="G265" s="380"/>
      <c r="H265" s="380"/>
      <c r="I265" s="399"/>
      <c r="J265" s="388">
        <v>500</v>
      </c>
      <c r="K265" s="382"/>
      <c r="L265" s="380"/>
      <c r="M265" s="380"/>
      <c r="N265" s="380"/>
      <c r="O265" s="380"/>
      <c r="P265" s="380"/>
      <c r="Q265" s="380"/>
    </row>
    <row r="266" spans="1:17" x14ac:dyDescent="0.2">
      <c r="A266" s="334" t="s">
        <v>1729</v>
      </c>
      <c r="B266" s="380"/>
      <c r="C266" s="380" t="s">
        <v>1551</v>
      </c>
      <c r="D266" s="386">
        <f>-780-1000</f>
        <v>-1780</v>
      </c>
      <c r="E266" s="384"/>
      <c r="F266" s="380"/>
      <c r="G266" s="380"/>
      <c r="H266" s="380"/>
      <c r="I266" s="399"/>
      <c r="J266" s="388">
        <v>300</v>
      </c>
      <c r="K266" s="382"/>
      <c r="L266" s="380"/>
      <c r="M266" s="380"/>
      <c r="N266" s="380"/>
      <c r="O266" s="380"/>
      <c r="P266" s="380"/>
      <c r="Q266" s="380"/>
    </row>
    <row r="267" spans="1:17" x14ac:dyDescent="0.2">
      <c r="A267" s="334" t="s">
        <v>1735</v>
      </c>
      <c r="B267" s="380"/>
      <c r="C267" s="380" t="s">
        <v>194</v>
      </c>
      <c r="D267" s="386">
        <v>300</v>
      </c>
      <c r="E267" s="384"/>
      <c r="F267" s="380"/>
      <c r="G267" s="380"/>
      <c r="H267" s="380"/>
      <c r="I267" s="399"/>
      <c r="J267" s="388">
        <v>300</v>
      </c>
      <c r="K267" s="382"/>
      <c r="L267" s="380"/>
      <c r="M267" s="380"/>
      <c r="N267" s="380"/>
      <c r="O267" s="380"/>
      <c r="P267" s="380"/>
      <c r="Q267" s="380"/>
    </row>
    <row r="268" spans="1:17" x14ac:dyDescent="0.2">
      <c r="A268" s="334" t="s">
        <v>1572</v>
      </c>
      <c r="B268" s="380"/>
      <c r="C268" s="334" t="s">
        <v>3134</v>
      </c>
      <c r="D268" s="386">
        <v>200</v>
      </c>
      <c r="E268" s="384"/>
      <c r="F268" s="380"/>
      <c r="G268" s="380"/>
      <c r="H268" s="380"/>
      <c r="I268" s="399"/>
      <c r="J268" s="388">
        <v>200</v>
      </c>
      <c r="K268" s="382"/>
      <c r="L268" s="380"/>
      <c r="M268" s="380"/>
      <c r="N268" s="380"/>
      <c r="O268" s="380"/>
      <c r="P268" s="380"/>
      <c r="Q268" s="380"/>
    </row>
    <row r="269" spans="1:17" x14ac:dyDescent="0.2">
      <c r="A269" s="334" t="s">
        <v>1730</v>
      </c>
      <c r="B269" s="380"/>
      <c r="C269" s="334" t="s">
        <v>1985</v>
      </c>
      <c r="D269" s="386">
        <v>1000</v>
      </c>
      <c r="E269" s="384"/>
      <c r="F269" s="380"/>
      <c r="G269" s="380"/>
      <c r="H269" s="380"/>
      <c r="I269" s="399"/>
      <c r="J269" s="388">
        <v>1000</v>
      </c>
      <c r="K269" s="382"/>
      <c r="L269" s="380"/>
      <c r="M269" s="380"/>
      <c r="N269" s="380"/>
      <c r="O269" s="380"/>
      <c r="P269" s="380"/>
      <c r="Q269" s="380"/>
    </row>
    <row r="270" spans="1:17" x14ac:dyDescent="0.2">
      <c r="A270" s="384" t="s">
        <v>1962</v>
      </c>
      <c r="B270" s="380"/>
      <c r="C270" s="380" t="s">
        <v>572</v>
      </c>
      <c r="D270" s="377"/>
      <c r="E270" s="384"/>
      <c r="F270" s="380"/>
      <c r="G270" s="380"/>
      <c r="H270" s="380"/>
      <c r="I270" s="385"/>
      <c r="J270" s="377"/>
      <c r="K270" s="382"/>
      <c r="L270" s="380"/>
      <c r="M270" s="380"/>
      <c r="N270" s="380"/>
      <c r="O270" s="380"/>
      <c r="P270" s="380"/>
      <c r="Q270" s="380"/>
    </row>
    <row r="271" spans="1:17" x14ac:dyDescent="0.2">
      <c r="A271" s="380"/>
      <c r="B271" s="380"/>
      <c r="C271" s="380"/>
      <c r="D271" s="407"/>
      <c r="E271" s="380"/>
      <c r="F271" s="380"/>
      <c r="G271" s="380"/>
      <c r="H271" s="380"/>
      <c r="I271" s="383"/>
      <c r="J271" s="377"/>
      <c r="K271" s="382"/>
      <c r="L271" s="380"/>
      <c r="M271" s="380"/>
      <c r="N271" s="380"/>
      <c r="O271" s="380"/>
      <c r="P271" s="380"/>
      <c r="Q271" s="380"/>
    </row>
    <row r="272" spans="1:17" ht="15.75" thickBot="1" x14ac:dyDescent="0.25">
      <c r="A272" s="380"/>
      <c r="B272" s="380"/>
      <c r="C272" s="380"/>
      <c r="D272" s="334">
        <f>SUM(D259:D271)</f>
        <v>2120</v>
      </c>
      <c r="E272" s="380"/>
      <c r="F272" s="380"/>
      <c r="G272" s="380"/>
      <c r="H272" s="380"/>
      <c r="I272" s="383"/>
      <c r="J272" s="408">
        <f>SUM(J259:J271)</f>
        <v>3900</v>
      </c>
      <c r="K272" s="382"/>
      <c r="L272" s="380"/>
      <c r="M272" s="380"/>
      <c r="N272" s="380"/>
      <c r="O272" s="380"/>
      <c r="P272" s="380"/>
      <c r="Q272" s="380"/>
    </row>
    <row r="273" spans="1:17" ht="15.75" thickTop="1" x14ac:dyDescent="0.2">
      <c r="A273" s="380"/>
      <c r="B273" s="380"/>
      <c r="C273" s="380"/>
      <c r="D273" s="401">
        <f>D272-D259</f>
        <v>2120</v>
      </c>
      <c r="E273" s="380"/>
      <c r="F273" s="380"/>
      <c r="G273" s="380"/>
      <c r="H273" s="380"/>
      <c r="I273" s="381"/>
      <c r="J273" s="377"/>
      <c r="K273" s="382"/>
      <c r="L273" s="380"/>
      <c r="M273" s="380"/>
      <c r="N273" s="380"/>
      <c r="O273" s="380"/>
      <c r="P273" s="380"/>
      <c r="Q273" s="380"/>
    </row>
    <row r="274" spans="1:17" ht="15.75" x14ac:dyDescent="0.25">
      <c r="A274" s="377"/>
      <c r="B274" s="377"/>
      <c r="C274" s="377"/>
      <c r="D274" s="377"/>
      <c r="E274" s="377"/>
      <c r="F274" s="377"/>
      <c r="G274" s="377"/>
      <c r="H274" s="377"/>
      <c r="I274" s="397"/>
      <c r="J274" s="377"/>
      <c r="K274" s="382"/>
      <c r="L274" s="380"/>
      <c r="M274" s="380"/>
      <c r="N274" s="380"/>
      <c r="O274" s="380"/>
      <c r="P274" s="380"/>
      <c r="Q274" s="380"/>
    </row>
    <row r="275" spans="1:17" x14ac:dyDescent="0.2">
      <c r="A275" s="380"/>
      <c r="B275" s="380"/>
      <c r="C275" s="380"/>
      <c r="D275" s="377"/>
      <c r="E275" s="380"/>
      <c r="F275" s="380"/>
      <c r="G275" s="380"/>
      <c r="H275" s="380"/>
      <c r="I275" s="383"/>
      <c r="J275" s="377"/>
      <c r="K275" s="382"/>
      <c r="L275" s="380"/>
      <c r="M275" s="380"/>
      <c r="N275" s="380"/>
      <c r="O275" s="380"/>
      <c r="P275" s="380"/>
      <c r="Q275" s="380"/>
    </row>
    <row r="276" spans="1:17" x14ac:dyDescent="0.2">
      <c r="A276" s="380"/>
      <c r="B276" s="380"/>
      <c r="C276" s="380"/>
      <c r="D276" s="377"/>
      <c r="E276" s="380"/>
      <c r="F276" s="380"/>
      <c r="G276" s="380"/>
      <c r="H276" s="380"/>
      <c r="I276" s="383"/>
      <c r="J276" s="377"/>
      <c r="K276" s="382"/>
      <c r="L276" s="380"/>
      <c r="M276" s="380"/>
      <c r="N276" s="380"/>
      <c r="O276" s="380"/>
      <c r="P276" s="380"/>
      <c r="Q276" s="380"/>
    </row>
    <row r="277" spans="1:17" x14ac:dyDescent="0.2">
      <c r="A277" s="334" t="s">
        <v>855</v>
      </c>
      <c r="B277" s="380"/>
      <c r="C277" s="380"/>
      <c r="D277" s="377"/>
      <c r="E277" s="380"/>
      <c r="F277" s="380"/>
      <c r="G277" s="380"/>
      <c r="H277" s="380"/>
      <c r="I277" s="383"/>
      <c r="J277" s="377"/>
      <c r="K277" s="382"/>
      <c r="L277" s="380"/>
      <c r="M277" s="380"/>
      <c r="N277" s="380"/>
      <c r="O277" s="380"/>
      <c r="P277" s="380"/>
      <c r="Q277" s="380"/>
    </row>
    <row r="278" spans="1:17" x14ac:dyDescent="0.2">
      <c r="A278" s="380"/>
      <c r="B278" s="380"/>
      <c r="C278" s="384" t="s">
        <v>2095</v>
      </c>
      <c r="D278" s="377"/>
      <c r="E278" s="380"/>
      <c r="F278" s="380"/>
      <c r="G278" s="380"/>
      <c r="H278" s="380"/>
      <c r="I278" s="383"/>
      <c r="J278" s="377"/>
      <c r="K278" s="382"/>
      <c r="L278" s="380"/>
      <c r="M278" s="380"/>
      <c r="N278" s="380"/>
      <c r="O278" s="380"/>
      <c r="P278" s="380"/>
      <c r="Q278" s="380"/>
    </row>
    <row r="279" spans="1:17" x14ac:dyDescent="0.2">
      <c r="A279" s="380"/>
      <c r="B279" s="380"/>
      <c r="C279" s="380"/>
      <c r="D279" s="377"/>
      <c r="E279" s="380"/>
      <c r="F279" s="380"/>
      <c r="G279" s="380"/>
      <c r="H279" s="380"/>
      <c r="I279" s="383"/>
      <c r="J279" s="377"/>
      <c r="K279" s="382"/>
      <c r="L279" s="380"/>
      <c r="M279" s="380"/>
      <c r="N279" s="380"/>
      <c r="O279" s="380"/>
      <c r="P279" s="380"/>
      <c r="Q279" s="380"/>
    </row>
    <row r="280" spans="1:17" x14ac:dyDescent="0.2">
      <c r="A280" s="334" t="s">
        <v>1723</v>
      </c>
      <c r="B280" s="380"/>
      <c r="C280" s="334" t="s">
        <v>1880</v>
      </c>
      <c r="D280" s="377"/>
      <c r="E280" s="380"/>
      <c r="F280" s="380"/>
      <c r="G280" s="380"/>
      <c r="H280" s="380"/>
      <c r="I280" s="383"/>
      <c r="J280" s="377"/>
      <c r="K280" s="382"/>
      <c r="L280" s="380"/>
      <c r="M280" s="380"/>
      <c r="N280" s="380"/>
      <c r="O280" s="380"/>
      <c r="P280" s="380"/>
      <c r="Q280" s="380"/>
    </row>
    <row r="281" spans="1:17" x14ac:dyDescent="0.2">
      <c r="A281" s="380"/>
      <c r="B281" s="380"/>
      <c r="C281" s="380"/>
      <c r="D281" s="377"/>
      <c r="E281" s="380"/>
      <c r="F281" s="380"/>
      <c r="G281" s="380"/>
      <c r="H281" s="380"/>
      <c r="I281" s="383"/>
      <c r="J281" s="377"/>
      <c r="K281" s="382"/>
      <c r="L281" s="380"/>
      <c r="M281" s="380"/>
      <c r="N281" s="380"/>
      <c r="O281" s="380"/>
      <c r="P281" s="380"/>
      <c r="Q281" s="380"/>
    </row>
    <row r="282" spans="1:17" x14ac:dyDescent="0.2">
      <c r="A282" s="384" t="s">
        <v>1743</v>
      </c>
      <c r="B282" s="380"/>
      <c r="C282" s="334" t="s">
        <v>1886</v>
      </c>
      <c r="D282" s="377"/>
      <c r="E282" s="384"/>
      <c r="F282" s="380"/>
      <c r="G282" s="380"/>
      <c r="H282" s="380"/>
      <c r="I282" s="399"/>
      <c r="J282" s="377"/>
      <c r="K282" s="382"/>
      <c r="L282" s="380"/>
      <c r="M282" s="380"/>
      <c r="N282" s="380"/>
      <c r="O282" s="380"/>
      <c r="P282" s="380"/>
      <c r="Q282" s="380"/>
    </row>
    <row r="283" spans="1:17" x14ac:dyDescent="0.2">
      <c r="A283" s="384" t="s">
        <v>1724</v>
      </c>
      <c r="B283" s="380"/>
      <c r="C283" s="334" t="s">
        <v>1881</v>
      </c>
      <c r="D283" s="388">
        <v>1500</v>
      </c>
      <c r="E283" s="384"/>
      <c r="F283" s="380"/>
      <c r="G283" s="380"/>
      <c r="H283" s="380"/>
      <c r="I283" s="399"/>
      <c r="J283" s="388">
        <v>900</v>
      </c>
      <c r="K283" s="382"/>
      <c r="L283" s="380"/>
      <c r="M283" s="380"/>
      <c r="N283" s="380"/>
      <c r="O283" s="380"/>
      <c r="P283" s="380"/>
      <c r="Q283" s="380"/>
    </row>
    <row r="284" spans="1:17" x14ac:dyDescent="0.2">
      <c r="A284" s="334" t="s">
        <v>1725</v>
      </c>
      <c r="B284" s="380"/>
      <c r="C284" s="334" t="s">
        <v>1890</v>
      </c>
      <c r="D284" s="388"/>
      <c r="E284" s="384"/>
      <c r="F284" s="380"/>
      <c r="G284" s="380"/>
      <c r="H284" s="380"/>
      <c r="I284" s="399"/>
      <c r="J284" s="388"/>
      <c r="K284" s="382"/>
      <c r="L284" s="380"/>
      <c r="M284" s="380"/>
      <c r="N284" s="380"/>
      <c r="O284" s="380"/>
      <c r="P284" s="380"/>
      <c r="Q284" s="380"/>
    </row>
    <row r="285" spans="1:17" x14ac:dyDescent="0.2">
      <c r="A285" s="334" t="s">
        <v>1565</v>
      </c>
      <c r="B285" s="380"/>
      <c r="C285" s="334" t="s">
        <v>1927</v>
      </c>
      <c r="D285" s="388"/>
      <c r="E285" s="384"/>
      <c r="F285" s="380"/>
      <c r="G285" s="380"/>
      <c r="H285" s="380"/>
      <c r="I285" s="399"/>
      <c r="J285" s="388"/>
      <c r="K285" s="382"/>
      <c r="L285" s="380"/>
      <c r="M285" s="380"/>
      <c r="N285" s="380"/>
      <c r="O285" s="380"/>
      <c r="P285" s="380"/>
      <c r="Q285" s="380"/>
    </row>
    <row r="286" spans="1:17" x14ac:dyDescent="0.2">
      <c r="A286" s="334" t="s">
        <v>1737</v>
      </c>
      <c r="B286" s="380"/>
      <c r="C286" s="334" t="s">
        <v>1928</v>
      </c>
      <c r="D286" s="388"/>
      <c r="E286" s="384"/>
      <c r="F286" s="380"/>
      <c r="G286" s="380"/>
      <c r="H286" s="380"/>
      <c r="I286" s="399"/>
      <c r="J286" s="388"/>
      <c r="K286" s="382"/>
      <c r="L286" s="380"/>
      <c r="M286" s="380"/>
      <c r="N286" s="380"/>
      <c r="O286" s="380"/>
      <c r="P286" s="380"/>
      <c r="Q286" s="380"/>
    </row>
    <row r="287" spans="1:17" x14ac:dyDescent="0.2">
      <c r="A287" s="334" t="s">
        <v>1726</v>
      </c>
      <c r="B287" s="380"/>
      <c r="C287" s="334" t="s">
        <v>1117</v>
      </c>
      <c r="D287" s="388"/>
      <c r="E287" s="384"/>
      <c r="F287" s="380"/>
      <c r="G287" s="380"/>
      <c r="H287" s="380"/>
      <c r="I287" s="399"/>
      <c r="J287" s="388"/>
      <c r="K287" s="382"/>
      <c r="L287" s="380"/>
      <c r="M287" s="380"/>
      <c r="N287" s="380"/>
      <c r="O287" s="380"/>
      <c r="P287" s="380"/>
      <c r="Q287" s="380"/>
    </row>
    <row r="288" spans="1:17" x14ac:dyDescent="0.2">
      <c r="A288" s="334" t="s">
        <v>1734</v>
      </c>
      <c r="B288" s="380"/>
      <c r="C288" s="334" t="s">
        <v>1746</v>
      </c>
      <c r="D288" s="388"/>
      <c r="E288" s="384"/>
      <c r="F288" s="380"/>
      <c r="G288" s="380"/>
      <c r="H288" s="380"/>
      <c r="I288" s="399"/>
      <c r="J288" s="388"/>
      <c r="K288" s="382"/>
      <c r="L288" s="380"/>
      <c r="M288" s="380"/>
      <c r="N288" s="380"/>
      <c r="O288" s="380"/>
      <c r="P288" s="380"/>
      <c r="Q288" s="380"/>
    </row>
    <row r="289" spans="1:17" x14ac:dyDescent="0.2">
      <c r="A289" s="334" t="s">
        <v>1571</v>
      </c>
      <c r="B289" s="380"/>
      <c r="C289" s="334" t="s">
        <v>3</v>
      </c>
      <c r="D289" s="388"/>
      <c r="E289" s="384"/>
      <c r="F289" s="380"/>
      <c r="G289" s="380"/>
      <c r="H289" s="380"/>
      <c r="I289" s="399"/>
      <c r="J289" s="388"/>
      <c r="K289" s="382"/>
      <c r="L289" s="380"/>
      <c r="M289" s="380"/>
      <c r="N289" s="380"/>
      <c r="O289" s="380"/>
      <c r="P289" s="380"/>
      <c r="Q289" s="380"/>
    </row>
    <row r="290" spans="1:17" x14ac:dyDescent="0.2">
      <c r="A290" s="334" t="s">
        <v>1738</v>
      </c>
      <c r="B290" s="380"/>
      <c r="C290" s="334" t="s">
        <v>1591</v>
      </c>
      <c r="D290" s="388"/>
      <c r="E290" s="384"/>
      <c r="F290" s="380"/>
      <c r="G290" s="380"/>
      <c r="H290" s="380"/>
      <c r="I290" s="399"/>
      <c r="J290" s="388"/>
      <c r="K290" s="382"/>
      <c r="L290" s="380"/>
      <c r="M290" s="380"/>
      <c r="N290" s="380"/>
      <c r="O290" s="380"/>
      <c r="P290" s="380"/>
      <c r="Q290" s="380"/>
    </row>
    <row r="291" spans="1:17" x14ac:dyDescent="0.2">
      <c r="A291" s="334" t="s">
        <v>1727</v>
      </c>
      <c r="B291" s="380"/>
      <c r="C291" s="334" t="s">
        <v>307</v>
      </c>
      <c r="D291" s="388">
        <v>300</v>
      </c>
      <c r="E291" s="384"/>
      <c r="F291" s="380"/>
      <c r="G291" s="380"/>
      <c r="H291" s="380"/>
      <c r="I291" s="399"/>
      <c r="J291" s="388">
        <v>300</v>
      </c>
      <c r="K291" s="382"/>
      <c r="L291" s="380"/>
      <c r="M291" s="380"/>
      <c r="N291" s="380"/>
      <c r="O291" s="380"/>
      <c r="P291" s="380"/>
      <c r="Q291" s="380"/>
    </row>
    <row r="292" spans="1:17" x14ac:dyDescent="0.2">
      <c r="A292" s="334" t="s">
        <v>1728</v>
      </c>
      <c r="B292" s="380"/>
      <c r="C292" s="334" t="s">
        <v>310</v>
      </c>
      <c r="D292" s="388">
        <v>300</v>
      </c>
      <c r="E292" s="384"/>
      <c r="F292" s="380"/>
      <c r="G292" s="380"/>
      <c r="H292" s="380"/>
      <c r="I292" s="399"/>
      <c r="J292" s="388">
        <v>300</v>
      </c>
      <c r="K292" s="382"/>
      <c r="L292" s="380"/>
      <c r="M292" s="380"/>
      <c r="N292" s="380"/>
      <c r="O292" s="380"/>
      <c r="P292" s="380"/>
      <c r="Q292" s="380"/>
    </row>
    <row r="293" spans="1:17" x14ac:dyDescent="0.2">
      <c r="A293" s="334" t="s">
        <v>1729</v>
      </c>
      <c r="B293" s="380"/>
      <c r="C293" s="380" t="s">
        <v>1551</v>
      </c>
      <c r="D293" s="388">
        <f>-780-1000</f>
        <v>-1780</v>
      </c>
      <c r="E293" s="384"/>
      <c r="F293" s="380"/>
      <c r="G293" s="380"/>
      <c r="H293" s="380"/>
      <c r="I293" s="399"/>
      <c r="J293" s="388">
        <v>300</v>
      </c>
      <c r="K293" s="382"/>
      <c r="L293" s="380"/>
      <c r="M293" s="380"/>
      <c r="N293" s="380"/>
      <c r="O293" s="380"/>
      <c r="P293" s="380"/>
      <c r="Q293" s="380"/>
    </row>
    <row r="294" spans="1:17" x14ac:dyDescent="0.2">
      <c r="A294" s="334" t="s">
        <v>1735</v>
      </c>
      <c r="B294" s="380"/>
      <c r="C294" s="380" t="s">
        <v>194</v>
      </c>
      <c r="D294" s="388"/>
      <c r="E294" s="384"/>
      <c r="F294" s="380"/>
      <c r="G294" s="380"/>
      <c r="H294" s="380"/>
      <c r="I294" s="399"/>
      <c r="J294" s="388"/>
      <c r="K294" s="382"/>
      <c r="L294" s="380"/>
      <c r="M294" s="380"/>
      <c r="N294" s="380"/>
      <c r="O294" s="380"/>
      <c r="P294" s="380"/>
      <c r="Q294" s="380"/>
    </row>
    <row r="295" spans="1:17" x14ac:dyDescent="0.2">
      <c r="A295" s="334" t="s">
        <v>1742</v>
      </c>
      <c r="B295" s="380"/>
      <c r="C295" s="334" t="s">
        <v>1553</v>
      </c>
      <c r="D295" s="388"/>
      <c r="E295" s="384"/>
      <c r="F295" s="380"/>
      <c r="G295" s="380"/>
      <c r="H295" s="380"/>
      <c r="I295" s="399"/>
      <c r="J295" s="388"/>
      <c r="K295" s="382"/>
      <c r="L295" s="380"/>
      <c r="M295" s="380"/>
      <c r="N295" s="380"/>
      <c r="O295" s="380"/>
      <c r="P295" s="380"/>
      <c r="Q295" s="380"/>
    </row>
    <row r="296" spans="1:17" x14ac:dyDescent="0.2">
      <c r="A296" s="384" t="s">
        <v>1754</v>
      </c>
      <c r="B296" s="380"/>
      <c r="C296" s="334" t="s">
        <v>1929</v>
      </c>
      <c r="D296" s="388">
        <v>1500</v>
      </c>
      <c r="E296" s="384"/>
      <c r="F296" s="380"/>
      <c r="G296" s="380"/>
      <c r="H296" s="380"/>
      <c r="I296" s="399"/>
      <c r="J296" s="388">
        <v>900</v>
      </c>
      <c r="K296" s="382"/>
      <c r="L296" s="380"/>
      <c r="M296" s="380"/>
      <c r="N296" s="380"/>
      <c r="O296" s="380"/>
      <c r="P296" s="380"/>
      <c r="Q296" s="380"/>
    </row>
    <row r="297" spans="1:17" x14ac:dyDescent="0.2">
      <c r="A297" s="334" t="s">
        <v>1584</v>
      </c>
      <c r="B297" s="380"/>
      <c r="C297" s="334" t="s">
        <v>0</v>
      </c>
      <c r="D297" s="388"/>
      <c r="E297" s="384"/>
      <c r="F297" s="380"/>
      <c r="G297" s="380"/>
      <c r="H297" s="380"/>
      <c r="I297" s="399"/>
      <c r="J297" s="388"/>
      <c r="K297" s="382"/>
      <c r="L297" s="380"/>
      <c r="M297" s="380"/>
      <c r="N297" s="380"/>
      <c r="O297" s="380"/>
      <c r="P297" s="380"/>
      <c r="Q297" s="380"/>
    </row>
    <row r="298" spans="1:17" x14ac:dyDescent="0.2">
      <c r="A298" s="334" t="s">
        <v>1572</v>
      </c>
      <c r="B298" s="380"/>
      <c r="C298" s="334" t="s">
        <v>3134</v>
      </c>
      <c r="D298" s="388"/>
      <c r="E298" s="384"/>
      <c r="F298" s="380"/>
      <c r="G298" s="380"/>
      <c r="H298" s="380"/>
      <c r="I298" s="399"/>
      <c r="J298" s="388">
        <v>300</v>
      </c>
      <c r="K298" s="382"/>
      <c r="L298" s="380"/>
      <c r="M298" s="380"/>
      <c r="N298" s="380"/>
      <c r="O298" s="380"/>
      <c r="P298" s="380"/>
      <c r="Q298" s="380"/>
    </row>
    <row r="299" spans="1:17" x14ac:dyDescent="0.2">
      <c r="A299" s="334" t="s">
        <v>1730</v>
      </c>
      <c r="B299" s="380"/>
      <c r="C299" s="334" t="s">
        <v>1985</v>
      </c>
      <c r="D299" s="377">
        <v>300</v>
      </c>
      <c r="E299" s="384"/>
      <c r="F299" s="380"/>
      <c r="G299" s="380"/>
      <c r="H299" s="380"/>
      <c r="I299" s="399"/>
      <c r="J299" s="377"/>
      <c r="K299" s="382"/>
      <c r="L299" s="380"/>
      <c r="M299" s="380"/>
      <c r="N299" s="380"/>
      <c r="O299" s="380"/>
      <c r="P299" s="380"/>
      <c r="Q299" s="380"/>
    </row>
    <row r="300" spans="1:17" x14ac:dyDescent="0.2">
      <c r="A300" s="334" t="s">
        <v>1566</v>
      </c>
      <c r="B300" s="380"/>
      <c r="C300" s="334" t="s">
        <v>366</v>
      </c>
      <c r="D300" s="377"/>
      <c r="E300" s="384"/>
      <c r="F300" s="380"/>
      <c r="G300" s="380"/>
      <c r="H300" s="380"/>
      <c r="I300" s="399"/>
      <c r="J300" s="377"/>
      <c r="K300" s="382"/>
      <c r="L300" s="380"/>
      <c r="M300" s="380"/>
      <c r="N300" s="380"/>
      <c r="O300" s="380"/>
      <c r="P300" s="380"/>
      <c r="Q300" s="380"/>
    </row>
    <row r="301" spans="1:17" x14ac:dyDescent="0.2">
      <c r="A301" s="384" t="s">
        <v>1962</v>
      </c>
      <c r="B301" s="380"/>
      <c r="C301" s="380" t="s">
        <v>572</v>
      </c>
      <c r="D301" s="377"/>
      <c r="E301" s="384"/>
      <c r="F301" s="380"/>
      <c r="G301" s="380"/>
      <c r="H301" s="380"/>
      <c r="I301" s="385"/>
      <c r="J301" s="377"/>
      <c r="K301" s="382"/>
      <c r="L301" s="380"/>
      <c r="M301" s="380"/>
      <c r="N301" s="380"/>
      <c r="O301" s="380"/>
      <c r="P301" s="380"/>
      <c r="Q301" s="380"/>
    </row>
    <row r="302" spans="1:17" x14ac:dyDescent="0.2">
      <c r="A302" s="380"/>
      <c r="B302" s="380"/>
      <c r="C302" s="380"/>
      <c r="D302" s="394"/>
      <c r="E302" s="380"/>
      <c r="F302" s="380"/>
      <c r="G302" s="380"/>
      <c r="H302" s="380"/>
      <c r="I302" s="383"/>
      <c r="J302" s="394"/>
      <c r="K302" s="382"/>
      <c r="L302" s="380"/>
      <c r="M302" s="380"/>
      <c r="N302" s="380"/>
      <c r="O302" s="380"/>
      <c r="P302" s="380"/>
      <c r="Q302" s="380"/>
    </row>
    <row r="303" spans="1:17" x14ac:dyDescent="0.2">
      <c r="A303" s="380"/>
      <c r="B303" s="380"/>
      <c r="C303" s="380"/>
      <c r="D303" s="334">
        <f>SUM(D282:D301)</f>
        <v>2120</v>
      </c>
      <c r="E303" s="380"/>
      <c r="F303" s="380"/>
      <c r="G303" s="380"/>
      <c r="H303" s="380"/>
      <c r="I303" s="383"/>
      <c r="J303" s="334">
        <f>SUM(J282:J301)</f>
        <v>3000</v>
      </c>
      <c r="K303" s="382"/>
      <c r="L303" s="380"/>
      <c r="M303" s="380"/>
      <c r="N303" s="380"/>
      <c r="O303" s="380"/>
      <c r="P303" s="380"/>
      <c r="Q303" s="380"/>
    </row>
    <row r="304" spans="1:17" ht="15.75" thickTop="1" x14ac:dyDescent="0.2">
      <c r="A304" s="377"/>
      <c r="B304" s="377"/>
      <c r="C304" s="377"/>
      <c r="D304" s="395"/>
      <c r="E304" s="377"/>
      <c r="F304" s="377"/>
      <c r="G304" s="377"/>
      <c r="H304" s="377"/>
      <c r="I304" s="387"/>
      <c r="J304" s="395"/>
      <c r="K304" s="382"/>
      <c r="L304" s="380"/>
      <c r="M304" s="380"/>
      <c r="N304" s="380"/>
      <c r="O304" s="380"/>
      <c r="P304" s="380"/>
      <c r="Q304" s="380"/>
    </row>
    <row r="305" spans="1:17" ht="15.75" x14ac:dyDescent="0.25">
      <c r="A305" s="380"/>
      <c r="B305" s="380"/>
      <c r="C305" s="380"/>
      <c r="D305" s="380"/>
      <c r="E305" s="380"/>
      <c r="F305" s="380"/>
      <c r="G305" s="380"/>
      <c r="H305" s="380"/>
      <c r="I305" s="409"/>
      <c r="J305" s="380"/>
      <c r="K305" s="382"/>
      <c r="L305" s="380"/>
      <c r="M305" s="380"/>
      <c r="N305" s="380"/>
      <c r="O305" s="380"/>
      <c r="P305" s="380"/>
      <c r="Q305" s="380"/>
    </row>
    <row r="306" spans="1:17" x14ac:dyDescent="0.2">
      <c r="A306" s="380"/>
      <c r="B306" s="380"/>
      <c r="C306" s="380"/>
      <c r="D306" s="380"/>
      <c r="E306" s="380"/>
      <c r="F306" s="380"/>
      <c r="G306" s="380"/>
      <c r="H306" s="380"/>
      <c r="I306" s="383"/>
      <c r="J306" s="380"/>
      <c r="K306" s="382"/>
      <c r="L306" s="380"/>
      <c r="M306" s="380"/>
      <c r="N306" s="380"/>
      <c r="O306" s="380"/>
      <c r="P306" s="380"/>
      <c r="Q306" s="380"/>
    </row>
    <row r="307" spans="1:17" x14ac:dyDescent="0.2">
      <c r="A307" s="334" t="s">
        <v>1585</v>
      </c>
      <c r="B307" s="380"/>
      <c r="C307" s="380"/>
      <c r="D307" s="380"/>
      <c r="E307" s="380"/>
      <c r="F307" s="380"/>
      <c r="G307" s="380"/>
      <c r="H307" s="380"/>
      <c r="I307" s="383"/>
      <c r="J307" s="380"/>
      <c r="K307" s="382"/>
      <c r="L307" s="380"/>
      <c r="M307" s="380"/>
      <c r="N307" s="380"/>
      <c r="O307" s="380"/>
      <c r="P307" s="380"/>
      <c r="Q307" s="380"/>
    </row>
    <row r="308" spans="1:17" x14ac:dyDescent="0.2">
      <c r="A308" s="380"/>
      <c r="B308" s="380"/>
      <c r="C308" s="384" t="s">
        <v>2096</v>
      </c>
      <c r="D308" s="380"/>
      <c r="E308" s="380"/>
      <c r="F308" s="380"/>
      <c r="G308" s="380"/>
      <c r="H308" s="380"/>
      <c r="I308" s="383"/>
      <c r="J308" s="380"/>
      <c r="K308" s="382"/>
      <c r="L308" s="380"/>
      <c r="M308" s="380"/>
      <c r="N308" s="380"/>
      <c r="O308" s="380"/>
      <c r="P308" s="380"/>
      <c r="Q308" s="380"/>
    </row>
    <row r="309" spans="1:17" x14ac:dyDescent="0.2">
      <c r="A309" s="380"/>
      <c r="B309" s="380"/>
      <c r="C309" s="380"/>
      <c r="D309" s="380"/>
      <c r="E309" s="380"/>
      <c r="F309" s="380"/>
      <c r="G309" s="380"/>
      <c r="H309" s="380"/>
      <c r="I309" s="383"/>
      <c r="J309" s="380"/>
      <c r="K309" s="382"/>
      <c r="L309" s="380"/>
      <c r="M309" s="380"/>
      <c r="N309" s="380"/>
      <c r="O309" s="380"/>
      <c r="P309" s="380"/>
      <c r="Q309" s="380"/>
    </row>
    <row r="310" spans="1:17" x14ac:dyDescent="0.2">
      <c r="A310" s="334" t="s">
        <v>1723</v>
      </c>
      <c r="B310" s="380"/>
      <c r="C310" s="334" t="s">
        <v>1880</v>
      </c>
      <c r="D310" s="334" t="s">
        <v>181</v>
      </c>
      <c r="E310" s="380"/>
      <c r="F310" s="380"/>
      <c r="G310" s="380"/>
      <c r="H310" s="380"/>
      <c r="I310" s="383"/>
      <c r="J310" s="334" t="s">
        <v>181</v>
      </c>
      <c r="K310" s="382"/>
      <c r="L310" s="380"/>
      <c r="M310" s="380"/>
      <c r="N310" s="380"/>
      <c r="O310" s="380"/>
      <c r="P310" s="380"/>
      <c r="Q310" s="380"/>
    </row>
    <row r="311" spans="1:17" x14ac:dyDescent="0.2">
      <c r="A311" s="380"/>
      <c r="B311" s="380"/>
      <c r="C311" s="380"/>
      <c r="D311" s="380"/>
      <c r="E311" s="380"/>
      <c r="F311" s="380"/>
      <c r="G311" s="380"/>
      <c r="H311" s="380"/>
      <c r="I311" s="383"/>
      <c r="J311" s="380"/>
      <c r="K311" s="382"/>
      <c r="L311" s="380"/>
      <c r="M311" s="380"/>
      <c r="N311" s="380"/>
      <c r="O311" s="380"/>
      <c r="P311" s="380"/>
      <c r="Q311" s="380"/>
    </row>
    <row r="312" spans="1:17" x14ac:dyDescent="0.2">
      <c r="A312" s="334" t="s">
        <v>1733</v>
      </c>
      <c r="B312" s="380"/>
      <c r="C312" s="334" t="s">
        <v>27</v>
      </c>
      <c r="D312" s="377"/>
      <c r="E312" s="380"/>
      <c r="F312" s="380"/>
      <c r="G312" s="380"/>
      <c r="H312" s="380"/>
      <c r="I312" s="399"/>
      <c r="J312" s="377"/>
      <c r="K312" s="382"/>
      <c r="L312" s="380"/>
      <c r="M312" s="380"/>
      <c r="N312" s="380"/>
      <c r="O312" s="380"/>
      <c r="P312" s="380"/>
      <c r="Q312" s="380"/>
    </row>
    <row r="313" spans="1:17" x14ac:dyDescent="0.2">
      <c r="A313" s="334" t="s">
        <v>1724</v>
      </c>
      <c r="B313" s="380"/>
      <c r="C313" s="334" t="s">
        <v>1881</v>
      </c>
      <c r="D313" s="388">
        <v>3000</v>
      </c>
      <c r="E313" s="384"/>
      <c r="F313" s="380"/>
      <c r="G313" s="380"/>
      <c r="H313" s="380"/>
      <c r="I313" s="399"/>
      <c r="J313" s="388">
        <v>1500</v>
      </c>
      <c r="K313" s="382"/>
      <c r="L313" s="380"/>
      <c r="M313" s="380"/>
      <c r="N313" s="380"/>
      <c r="O313" s="380"/>
      <c r="P313" s="380"/>
      <c r="Q313" s="380"/>
    </row>
    <row r="314" spans="1:17" x14ac:dyDescent="0.2">
      <c r="A314" s="334" t="s">
        <v>1736</v>
      </c>
      <c r="B314" s="380"/>
      <c r="C314" s="334" t="s">
        <v>1747</v>
      </c>
      <c r="D314" s="388"/>
      <c r="E314" s="380"/>
      <c r="F314" s="380"/>
      <c r="G314" s="380"/>
      <c r="H314" s="380"/>
      <c r="I314" s="399"/>
      <c r="J314" s="388"/>
      <c r="K314" s="382"/>
      <c r="L314" s="380"/>
      <c r="M314" s="380"/>
      <c r="N314" s="380"/>
      <c r="O314" s="380"/>
      <c r="P314" s="380"/>
      <c r="Q314" s="380"/>
    </row>
    <row r="315" spans="1:17" x14ac:dyDescent="0.2">
      <c r="A315" s="334" t="s">
        <v>1725</v>
      </c>
      <c r="B315" s="380"/>
      <c r="C315" s="334" t="s">
        <v>1890</v>
      </c>
      <c r="D315" s="388"/>
      <c r="E315" s="380"/>
      <c r="F315" s="380"/>
      <c r="G315" s="380"/>
      <c r="H315" s="380"/>
      <c r="I315" s="399"/>
      <c r="J315" s="388"/>
      <c r="K315" s="382"/>
      <c r="L315" s="380"/>
      <c r="M315" s="380"/>
      <c r="N315" s="380"/>
      <c r="O315" s="380"/>
      <c r="P315" s="380"/>
      <c r="Q315" s="380"/>
    </row>
    <row r="316" spans="1:17" x14ac:dyDescent="0.2">
      <c r="A316" s="334" t="s">
        <v>1565</v>
      </c>
      <c r="B316" s="380"/>
      <c r="C316" s="334" t="s">
        <v>1927</v>
      </c>
      <c r="D316" s="388"/>
      <c r="E316" s="380"/>
      <c r="F316" s="380"/>
      <c r="G316" s="380"/>
      <c r="H316" s="380"/>
      <c r="I316" s="399"/>
      <c r="J316" s="388"/>
      <c r="K316" s="382"/>
      <c r="L316" s="380"/>
      <c r="M316" s="380"/>
      <c r="N316" s="380"/>
      <c r="O316" s="380"/>
      <c r="P316" s="380"/>
      <c r="Q316" s="380"/>
    </row>
    <row r="317" spans="1:17" x14ac:dyDescent="0.2">
      <c r="A317" s="334" t="s">
        <v>1737</v>
      </c>
      <c r="B317" s="380"/>
      <c r="C317" s="334" t="s">
        <v>1928</v>
      </c>
      <c r="D317" s="388"/>
      <c r="E317" s="380"/>
      <c r="F317" s="380"/>
      <c r="G317" s="380"/>
      <c r="H317" s="380"/>
      <c r="I317" s="399"/>
      <c r="J317" s="388"/>
      <c r="K317" s="382"/>
      <c r="L317" s="380"/>
      <c r="M317" s="380"/>
      <c r="N317" s="380"/>
      <c r="O317" s="380"/>
      <c r="P317" s="380"/>
      <c r="Q317" s="380"/>
    </row>
    <row r="318" spans="1:17" x14ac:dyDescent="0.2">
      <c r="A318" s="334" t="s">
        <v>1738</v>
      </c>
      <c r="B318" s="380"/>
      <c r="C318" s="334" t="s">
        <v>1591</v>
      </c>
      <c r="D318" s="388">
        <v>500</v>
      </c>
      <c r="E318" s="380"/>
      <c r="F318" s="380"/>
      <c r="G318" s="380"/>
      <c r="H318" s="380"/>
      <c r="I318" s="399"/>
      <c r="J318" s="388">
        <v>500</v>
      </c>
      <c r="K318" s="382"/>
      <c r="L318" s="380"/>
      <c r="M318" s="380"/>
      <c r="N318" s="380"/>
      <c r="O318" s="380"/>
      <c r="P318" s="380"/>
      <c r="Q318" s="380"/>
    </row>
    <row r="319" spans="1:17" x14ac:dyDescent="0.2">
      <c r="A319" s="334" t="s">
        <v>1727</v>
      </c>
      <c r="B319" s="380"/>
      <c r="C319" s="334" t="s">
        <v>307</v>
      </c>
      <c r="D319" s="388">
        <v>500</v>
      </c>
      <c r="E319" s="380"/>
      <c r="F319" s="380"/>
      <c r="G319" s="380"/>
      <c r="H319" s="380"/>
      <c r="I319" s="399"/>
      <c r="J319" s="388">
        <v>500</v>
      </c>
      <c r="K319" s="382"/>
      <c r="L319" s="380"/>
      <c r="M319" s="380"/>
      <c r="N319" s="380"/>
      <c r="O319" s="380"/>
      <c r="P319" s="380"/>
      <c r="Q319" s="380"/>
    </row>
    <row r="320" spans="1:17" x14ac:dyDescent="0.2">
      <c r="A320" s="334" t="s">
        <v>1728</v>
      </c>
      <c r="B320" s="380"/>
      <c r="C320" s="334" t="s">
        <v>310</v>
      </c>
      <c r="D320" s="388">
        <v>500</v>
      </c>
      <c r="E320" s="380"/>
      <c r="F320" s="380"/>
      <c r="G320" s="380"/>
      <c r="H320" s="380"/>
      <c r="I320" s="399"/>
      <c r="J320" s="388">
        <v>500</v>
      </c>
      <c r="K320" s="382"/>
      <c r="L320" s="380"/>
      <c r="M320" s="380"/>
      <c r="N320" s="380"/>
      <c r="O320" s="380"/>
      <c r="P320" s="380"/>
      <c r="Q320" s="380"/>
    </row>
    <row r="321" spans="1:17" x14ac:dyDescent="0.2">
      <c r="A321" s="334" t="s">
        <v>1729</v>
      </c>
      <c r="B321" s="380"/>
      <c r="C321" s="380" t="s">
        <v>1551</v>
      </c>
      <c r="D321" s="388">
        <f>-1000-1000</f>
        <v>-2000</v>
      </c>
      <c r="E321" s="380"/>
      <c r="F321" s="380"/>
      <c r="G321" s="380"/>
      <c r="H321" s="380"/>
      <c r="I321" s="399"/>
      <c r="J321" s="388">
        <v>350</v>
      </c>
      <c r="K321" s="382"/>
      <c r="L321" s="380"/>
      <c r="M321" s="380"/>
      <c r="N321" s="380"/>
      <c r="O321" s="380"/>
      <c r="P321" s="380"/>
      <c r="Q321" s="380"/>
    </row>
    <row r="322" spans="1:17" x14ac:dyDescent="0.2">
      <c r="A322" s="334" t="s">
        <v>1735</v>
      </c>
      <c r="B322" s="380"/>
      <c r="C322" s="380" t="s">
        <v>194</v>
      </c>
      <c r="D322" s="388"/>
      <c r="E322" s="380"/>
      <c r="F322" s="380"/>
      <c r="G322" s="380"/>
      <c r="H322" s="380"/>
      <c r="I322" s="399"/>
      <c r="J322" s="388">
        <v>350</v>
      </c>
      <c r="K322" s="382"/>
      <c r="L322" s="380"/>
      <c r="M322" s="380"/>
      <c r="N322" s="380"/>
      <c r="O322" s="380"/>
      <c r="P322" s="380"/>
      <c r="Q322" s="380"/>
    </row>
    <row r="323" spans="1:17" x14ac:dyDescent="0.2">
      <c r="A323" s="334" t="s">
        <v>1742</v>
      </c>
      <c r="B323" s="380"/>
      <c r="C323" s="334" t="s">
        <v>1553</v>
      </c>
      <c r="D323" s="388"/>
      <c r="E323" s="380"/>
      <c r="F323" s="380"/>
      <c r="G323" s="380"/>
      <c r="H323" s="380"/>
      <c r="I323" s="399"/>
      <c r="J323" s="388"/>
      <c r="K323" s="382"/>
      <c r="L323" s="380"/>
      <c r="M323" s="380"/>
      <c r="N323" s="380"/>
      <c r="O323" s="380"/>
      <c r="P323" s="380"/>
      <c r="Q323" s="380"/>
    </row>
    <row r="324" spans="1:17" x14ac:dyDescent="0.2">
      <c r="A324" s="384" t="s">
        <v>1754</v>
      </c>
      <c r="B324" s="380"/>
      <c r="C324" s="334" t="s">
        <v>1929</v>
      </c>
      <c r="D324" s="388">
        <v>500</v>
      </c>
      <c r="E324" s="380"/>
      <c r="F324" s="380"/>
      <c r="G324" s="380"/>
      <c r="H324" s="380"/>
      <c r="I324" s="399"/>
      <c r="J324" s="388">
        <v>350</v>
      </c>
      <c r="K324" s="382"/>
      <c r="L324" s="380"/>
      <c r="M324" s="380"/>
      <c r="N324" s="380"/>
      <c r="O324" s="380"/>
      <c r="P324" s="380"/>
      <c r="Q324" s="380"/>
    </row>
    <row r="325" spans="1:17" x14ac:dyDescent="0.2">
      <c r="A325" s="334" t="s">
        <v>1572</v>
      </c>
      <c r="B325" s="380"/>
      <c r="C325" s="334" t="s">
        <v>3134</v>
      </c>
      <c r="D325" s="377"/>
      <c r="E325" s="380"/>
      <c r="F325" s="380"/>
      <c r="G325" s="380"/>
      <c r="H325" s="380"/>
      <c r="I325" s="399"/>
      <c r="J325" s="377"/>
      <c r="K325" s="382"/>
      <c r="L325" s="380"/>
      <c r="M325" s="380"/>
      <c r="N325" s="380"/>
      <c r="O325" s="380"/>
      <c r="P325" s="380"/>
      <c r="Q325" s="380"/>
    </row>
    <row r="326" spans="1:17" x14ac:dyDescent="0.2">
      <c r="A326" s="334" t="s">
        <v>1730</v>
      </c>
      <c r="B326" s="380"/>
      <c r="C326" s="334" t="s">
        <v>1985</v>
      </c>
      <c r="D326" s="377"/>
      <c r="E326" s="380"/>
      <c r="F326" s="380"/>
      <c r="G326" s="380"/>
      <c r="H326" s="380"/>
      <c r="I326" s="399"/>
      <c r="J326" s="377"/>
      <c r="K326" s="382"/>
      <c r="L326" s="380"/>
      <c r="M326" s="380"/>
      <c r="N326" s="380"/>
      <c r="O326" s="380"/>
      <c r="P326" s="380"/>
      <c r="Q326" s="380"/>
    </row>
    <row r="327" spans="1:17" x14ac:dyDescent="0.2">
      <c r="A327" s="334" t="s">
        <v>1566</v>
      </c>
      <c r="B327" s="380"/>
      <c r="C327" s="334" t="s">
        <v>366</v>
      </c>
      <c r="D327" s="334"/>
      <c r="E327" s="380"/>
      <c r="F327" s="380"/>
      <c r="G327" s="380"/>
      <c r="H327" s="380"/>
      <c r="I327" s="385"/>
      <c r="J327" s="334"/>
      <c r="K327" s="382"/>
      <c r="L327" s="380"/>
      <c r="M327" s="380"/>
      <c r="N327" s="380"/>
      <c r="O327" s="380"/>
      <c r="P327" s="380"/>
      <c r="Q327" s="380"/>
    </row>
    <row r="328" spans="1:17" x14ac:dyDescent="0.2">
      <c r="A328" s="334" t="s">
        <v>1567</v>
      </c>
      <c r="B328" s="380"/>
      <c r="C328" s="334" t="s">
        <v>3142</v>
      </c>
      <c r="D328" s="377"/>
      <c r="E328" s="380"/>
      <c r="F328" s="380"/>
      <c r="G328" s="380"/>
      <c r="H328" s="380"/>
      <c r="I328" s="385"/>
      <c r="J328" s="377"/>
      <c r="K328" s="382"/>
      <c r="L328" s="380"/>
      <c r="M328" s="380"/>
      <c r="N328" s="380"/>
      <c r="O328" s="380"/>
      <c r="P328" s="380"/>
      <c r="Q328" s="380"/>
    </row>
    <row r="329" spans="1:17" x14ac:dyDescent="0.2">
      <c r="A329" s="334"/>
      <c r="B329" s="380"/>
      <c r="C329" s="380"/>
      <c r="D329" s="377"/>
      <c r="E329" s="380"/>
      <c r="F329" s="380"/>
      <c r="G329" s="380"/>
      <c r="H329" s="380"/>
      <c r="I329" s="399"/>
      <c r="J329" s="377"/>
      <c r="K329" s="382"/>
      <c r="L329" s="380"/>
      <c r="M329" s="380"/>
      <c r="N329" s="380"/>
      <c r="O329" s="380"/>
      <c r="P329" s="380"/>
      <c r="Q329" s="380"/>
    </row>
    <row r="330" spans="1:17" x14ac:dyDescent="0.2">
      <c r="A330" s="380"/>
      <c r="B330" s="380"/>
      <c r="C330" s="380"/>
      <c r="D330" s="410">
        <f>SUM(D312:D328)</f>
        <v>3000</v>
      </c>
      <c r="E330" s="380"/>
      <c r="F330" s="380"/>
      <c r="G330" s="380"/>
      <c r="H330" s="380"/>
      <c r="I330" s="383"/>
      <c r="J330" s="410">
        <f>SUM(J312:J328)</f>
        <v>4050</v>
      </c>
      <c r="K330" s="382"/>
      <c r="L330" s="380"/>
      <c r="M330" s="380"/>
      <c r="N330" s="380"/>
      <c r="O330" s="380"/>
      <c r="P330" s="380"/>
      <c r="Q330" s="380"/>
    </row>
    <row r="331" spans="1:17" x14ac:dyDescent="0.2">
      <c r="A331" s="380"/>
      <c r="B331" s="380"/>
      <c r="C331" s="380"/>
      <c r="D331" s="385"/>
      <c r="E331" s="380"/>
      <c r="F331" s="380"/>
      <c r="G331" s="380"/>
      <c r="H331" s="380"/>
      <c r="I331" s="383"/>
      <c r="J331" s="385"/>
      <c r="K331" s="382"/>
      <c r="L331" s="380"/>
      <c r="M331" s="380"/>
      <c r="N331" s="380"/>
      <c r="O331" s="380"/>
      <c r="P331" s="380"/>
      <c r="Q331" s="380"/>
    </row>
    <row r="332" spans="1:17" ht="16.5" thickTop="1" x14ac:dyDescent="0.25">
      <c r="A332" s="380"/>
      <c r="B332" s="380"/>
      <c r="C332" s="380"/>
      <c r="D332" s="395">
        <f>D330-D312</f>
        <v>3000</v>
      </c>
      <c r="E332" s="380"/>
      <c r="F332" s="380"/>
      <c r="G332" s="380"/>
      <c r="H332" s="380"/>
      <c r="I332" s="409"/>
      <c r="J332" s="395">
        <f>J330-J312</f>
        <v>4050</v>
      </c>
      <c r="K332" s="382"/>
      <c r="L332" s="380"/>
      <c r="M332" s="380"/>
      <c r="N332" s="380"/>
      <c r="O332" s="380"/>
      <c r="P332" s="380"/>
      <c r="Q332" s="380"/>
    </row>
    <row r="333" spans="1:17" x14ac:dyDescent="0.2">
      <c r="A333" s="377"/>
      <c r="B333" s="377"/>
      <c r="C333" s="377"/>
      <c r="D333" s="377"/>
      <c r="E333" s="377"/>
      <c r="F333" s="377"/>
      <c r="G333" s="377"/>
      <c r="H333" s="377"/>
      <c r="I333" s="387"/>
      <c r="J333" s="377"/>
      <c r="K333" s="382"/>
      <c r="L333" s="380"/>
      <c r="M333" s="380"/>
      <c r="N333" s="380"/>
      <c r="O333" s="380"/>
      <c r="P333" s="380"/>
      <c r="Q333" s="380"/>
    </row>
    <row r="334" spans="1:17" x14ac:dyDescent="0.2">
      <c r="A334" s="380"/>
      <c r="B334" s="380"/>
      <c r="C334" s="380"/>
      <c r="D334" s="380"/>
      <c r="E334" s="380"/>
      <c r="F334" s="380"/>
      <c r="G334" s="380"/>
      <c r="H334" s="380"/>
      <c r="I334" s="383"/>
      <c r="J334" s="380"/>
      <c r="K334" s="382"/>
      <c r="L334" s="380"/>
      <c r="M334" s="380"/>
      <c r="N334" s="380"/>
      <c r="O334" s="380"/>
      <c r="P334" s="380"/>
      <c r="Q334" s="380"/>
    </row>
    <row r="335" spans="1:17" x14ac:dyDescent="0.2">
      <c r="A335" s="334" t="s">
        <v>1705</v>
      </c>
      <c r="B335" s="380"/>
      <c r="C335" s="380"/>
      <c r="D335" s="380"/>
      <c r="E335" s="380"/>
      <c r="F335" s="380"/>
      <c r="G335" s="380"/>
      <c r="H335" s="380"/>
      <c r="I335" s="383"/>
      <c r="J335" s="380"/>
      <c r="K335" s="382"/>
      <c r="L335" s="380"/>
      <c r="M335" s="380"/>
      <c r="N335" s="380"/>
      <c r="O335" s="380"/>
      <c r="P335" s="380"/>
      <c r="Q335" s="380"/>
    </row>
    <row r="336" spans="1:17" x14ac:dyDescent="0.2">
      <c r="A336" s="334" t="s">
        <v>342</v>
      </c>
      <c r="B336" s="380"/>
      <c r="C336" s="384" t="s">
        <v>2097</v>
      </c>
      <c r="D336" s="380"/>
      <c r="E336" s="380"/>
      <c r="F336" s="380"/>
      <c r="G336" s="380"/>
      <c r="H336" s="380"/>
      <c r="I336" s="383"/>
      <c r="J336" s="380"/>
      <c r="K336" s="382"/>
      <c r="L336" s="380"/>
      <c r="M336" s="380"/>
      <c r="N336" s="380"/>
      <c r="O336" s="380"/>
      <c r="P336" s="380"/>
      <c r="Q336" s="380"/>
    </row>
    <row r="337" spans="1:17" x14ac:dyDescent="0.2">
      <c r="A337" s="334" t="s">
        <v>342</v>
      </c>
      <c r="B337" s="380"/>
      <c r="C337" s="334" t="s">
        <v>342</v>
      </c>
      <c r="D337" s="380"/>
      <c r="E337" s="380"/>
      <c r="F337" s="380"/>
      <c r="G337" s="380"/>
      <c r="H337" s="380"/>
      <c r="I337" s="383"/>
      <c r="J337" s="380"/>
      <c r="K337" s="382"/>
      <c r="L337" s="380"/>
      <c r="M337" s="380"/>
      <c r="N337" s="380"/>
      <c r="O337" s="380"/>
      <c r="P337" s="380"/>
      <c r="Q337" s="380"/>
    </row>
    <row r="338" spans="1:17" x14ac:dyDescent="0.2">
      <c r="A338" s="334" t="s">
        <v>1723</v>
      </c>
      <c r="B338" s="380"/>
      <c r="C338" s="334" t="s">
        <v>1880</v>
      </c>
      <c r="D338" s="334" t="s">
        <v>181</v>
      </c>
      <c r="E338" s="380"/>
      <c r="F338" s="380"/>
      <c r="G338" s="380"/>
      <c r="H338" s="380"/>
      <c r="I338" s="383"/>
      <c r="J338" s="334" t="s">
        <v>181</v>
      </c>
      <c r="K338" s="382"/>
      <c r="L338" s="380"/>
      <c r="M338" s="380"/>
      <c r="N338" s="380"/>
      <c r="O338" s="380"/>
      <c r="P338" s="380"/>
      <c r="Q338" s="380"/>
    </row>
    <row r="339" spans="1:17" x14ac:dyDescent="0.2">
      <c r="A339" s="334" t="s">
        <v>342</v>
      </c>
      <c r="B339" s="380"/>
      <c r="C339" s="334" t="s">
        <v>342</v>
      </c>
      <c r="D339" s="334" t="s">
        <v>342</v>
      </c>
      <c r="E339" s="380"/>
      <c r="F339" s="380"/>
      <c r="G339" s="380"/>
      <c r="H339" s="380"/>
      <c r="I339" s="383"/>
      <c r="J339" s="334" t="s">
        <v>342</v>
      </c>
      <c r="K339" s="382"/>
      <c r="L339" s="380"/>
      <c r="M339" s="380"/>
      <c r="N339" s="380"/>
      <c r="O339" s="380"/>
      <c r="P339" s="380"/>
      <c r="Q339" s="380"/>
    </row>
    <row r="340" spans="1:17" x14ac:dyDescent="0.2">
      <c r="A340" s="334" t="s">
        <v>1568</v>
      </c>
      <c r="B340" s="380"/>
      <c r="C340" s="380" t="s">
        <v>1817</v>
      </c>
      <c r="D340" s="377"/>
      <c r="E340" s="384"/>
      <c r="F340" s="380"/>
      <c r="G340" s="380"/>
      <c r="H340" s="380"/>
      <c r="I340" s="399"/>
      <c r="J340" s="377"/>
      <c r="K340" s="382"/>
      <c r="L340" s="380"/>
      <c r="M340" s="380"/>
      <c r="N340" s="380"/>
      <c r="O340" s="380"/>
      <c r="P340" s="380"/>
      <c r="Q340" s="380"/>
    </row>
    <row r="341" spans="1:17" x14ac:dyDescent="0.2">
      <c r="A341" s="334" t="s">
        <v>1569</v>
      </c>
      <c r="B341" s="380"/>
      <c r="C341" s="334" t="s">
        <v>1888</v>
      </c>
      <c r="D341" s="380"/>
      <c r="E341" s="384"/>
      <c r="F341" s="380"/>
      <c r="G341" s="380"/>
      <c r="H341" s="380"/>
      <c r="I341" s="399"/>
      <c r="J341" s="380"/>
      <c r="K341" s="382"/>
      <c r="L341" s="380"/>
      <c r="M341" s="380"/>
      <c r="N341" s="380"/>
      <c r="O341" s="380"/>
      <c r="P341" s="380"/>
      <c r="Q341" s="380"/>
    </row>
    <row r="342" spans="1:17" x14ac:dyDescent="0.2">
      <c r="A342" s="334" t="s">
        <v>1736</v>
      </c>
      <c r="B342" s="380"/>
      <c r="C342" s="334" t="s">
        <v>1747</v>
      </c>
      <c r="D342" s="334">
        <v>2045</v>
      </c>
      <c r="E342" s="384"/>
      <c r="F342" s="380"/>
      <c r="G342" s="380"/>
      <c r="H342" s="380"/>
      <c r="I342" s="399"/>
      <c r="J342" s="334">
        <v>1100</v>
      </c>
      <c r="K342" s="382"/>
      <c r="L342" s="380"/>
      <c r="M342" s="380"/>
      <c r="N342" s="380"/>
      <c r="O342" s="380"/>
      <c r="P342" s="380"/>
      <c r="Q342" s="380"/>
    </row>
    <row r="343" spans="1:17" x14ac:dyDescent="0.2">
      <c r="A343" s="334" t="s">
        <v>1725</v>
      </c>
      <c r="B343" s="380"/>
      <c r="C343" s="334" t="s">
        <v>1890</v>
      </c>
      <c r="D343" s="334"/>
      <c r="E343" s="384"/>
      <c r="F343" s="380"/>
      <c r="G343" s="380"/>
      <c r="H343" s="380"/>
      <c r="I343" s="399"/>
      <c r="J343" s="334"/>
      <c r="K343" s="382"/>
      <c r="L343" s="380"/>
      <c r="M343" s="380"/>
      <c r="N343" s="380"/>
      <c r="O343" s="380"/>
      <c r="P343" s="380"/>
      <c r="Q343" s="380"/>
    </row>
    <row r="344" spans="1:17" x14ac:dyDescent="0.2">
      <c r="A344" s="334" t="s">
        <v>1565</v>
      </c>
      <c r="B344" s="380"/>
      <c r="C344" s="334" t="s">
        <v>1927</v>
      </c>
      <c r="D344" s="334">
        <v>75</v>
      </c>
      <c r="E344" s="384"/>
      <c r="F344" s="380"/>
      <c r="G344" s="380"/>
      <c r="H344" s="380"/>
      <c r="I344" s="399"/>
      <c r="J344" s="334">
        <v>75</v>
      </c>
      <c r="K344" s="382"/>
      <c r="L344" s="380"/>
      <c r="M344" s="380"/>
      <c r="N344" s="380"/>
      <c r="O344" s="380"/>
      <c r="P344" s="380"/>
      <c r="Q344" s="380"/>
    </row>
    <row r="345" spans="1:17" x14ac:dyDescent="0.2">
      <c r="A345" s="334" t="s">
        <v>1737</v>
      </c>
      <c r="B345" s="380"/>
      <c r="C345" s="334" t="s">
        <v>1928</v>
      </c>
      <c r="D345" s="334">
        <v>75</v>
      </c>
      <c r="E345" s="384"/>
      <c r="F345" s="380"/>
      <c r="G345" s="380"/>
      <c r="H345" s="380"/>
      <c r="I345" s="399"/>
      <c r="J345" s="334">
        <v>75</v>
      </c>
      <c r="K345" s="382"/>
      <c r="L345" s="380"/>
      <c r="M345" s="380"/>
      <c r="N345" s="380"/>
      <c r="O345" s="380"/>
      <c r="P345" s="380"/>
      <c r="Q345" s="380"/>
    </row>
    <row r="346" spans="1:17" x14ac:dyDescent="0.2">
      <c r="A346" s="334" t="s">
        <v>1726</v>
      </c>
      <c r="B346" s="380"/>
      <c r="C346" s="334" t="s">
        <v>1117</v>
      </c>
      <c r="D346" s="334">
        <v>500</v>
      </c>
      <c r="E346" s="384"/>
      <c r="F346" s="380"/>
      <c r="G346" s="380"/>
      <c r="H346" s="380"/>
      <c r="I346" s="399"/>
      <c r="J346" s="334">
        <v>500</v>
      </c>
      <c r="K346" s="382"/>
      <c r="L346" s="380"/>
      <c r="M346" s="380"/>
      <c r="N346" s="380"/>
      <c r="O346" s="380"/>
      <c r="P346" s="380"/>
      <c r="Q346" s="380"/>
    </row>
    <row r="347" spans="1:17" x14ac:dyDescent="0.2">
      <c r="A347" s="334" t="s">
        <v>1738</v>
      </c>
      <c r="B347" s="380"/>
      <c r="C347" s="334" t="s">
        <v>1591</v>
      </c>
      <c r="D347" s="334">
        <v>200</v>
      </c>
      <c r="E347" s="384"/>
      <c r="F347" s="380"/>
      <c r="G347" s="380"/>
      <c r="H347" s="380"/>
      <c r="I347" s="399"/>
      <c r="J347" s="334">
        <v>200</v>
      </c>
      <c r="K347" s="382"/>
      <c r="L347" s="380"/>
      <c r="M347" s="380"/>
      <c r="N347" s="380"/>
      <c r="O347" s="380"/>
      <c r="P347" s="380"/>
      <c r="Q347" s="380"/>
    </row>
    <row r="348" spans="1:17" x14ac:dyDescent="0.2">
      <c r="A348" s="334" t="s">
        <v>1727</v>
      </c>
      <c r="B348" s="380"/>
      <c r="C348" s="334" t="s">
        <v>307</v>
      </c>
      <c r="D348" s="334">
        <v>75</v>
      </c>
      <c r="E348" s="384"/>
      <c r="F348" s="380"/>
      <c r="G348" s="380"/>
      <c r="H348" s="380"/>
      <c r="I348" s="399"/>
      <c r="J348" s="334">
        <v>75</v>
      </c>
      <c r="K348" s="382"/>
      <c r="L348" s="380"/>
      <c r="M348" s="380"/>
      <c r="N348" s="380"/>
      <c r="O348" s="380"/>
      <c r="P348" s="380"/>
      <c r="Q348" s="380"/>
    </row>
    <row r="349" spans="1:17" x14ac:dyDescent="0.2">
      <c r="A349" s="334" t="s">
        <v>1728</v>
      </c>
      <c r="B349" s="380"/>
      <c r="C349" s="334" t="s">
        <v>310</v>
      </c>
      <c r="D349" s="334">
        <v>250</v>
      </c>
      <c r="E349" s="384"/>
      <c r="F349" s="380"/>
      <c r="G349" s="380"/>
      <c r="H349" s="380"/>
      <c r="I349" s="399"/>
      <c r="J349" s="334">
        <v>250</v>
      </c>
      <c r="K349" s="382"/>
      <c r="L349" s="380"/>
      <c r="M349" s="380"/>
      <c r="N349" s="380"/>
      <c r="O349" s="380"/>
      <c r="P349" s="380"/>
      <c r="Q349" s="380"/>
    </row>
    <row r="350" spans="1:17" x14ac:dyDescent="0.2">
      <c r="A350" s="334" t="s">
        <v>1729</v>
      </c>
      <c r="B350" s="380"/>
      <c r="C350" s="380" t="s">
        <v>1551</v>
      </c>
      <c r="D350" s="334"/>
      <c r="E350" s="384"/>
      <c r="F350" s="380"/>
      <c r="G350" s="380"/>
      <c r="H350" s="380"/>
      <c r="I350" s="399"/>
      <c r="J350" s="334">
        <v>100</v>
      </c>
      <c r="K350" s="382"/>
      <c r="L350" s="380"/>
      <c r="M350" s="380"/>
      <c r="N350" s="380"/>
      <c r="O350" s="380"/>
      <c r="P350" s="380"/>
      <c r="Q350" s="380"/>
    </row>
    <row r="351" spans="1:17" x14ac:dyDescent="0.2">
      <c r="A351" s="334" t="s">
        <v>1735</v>
      </c>
      <c r="B351" s="380"/>
      <c r="C351" s="380" t="s">
        <v>194</v>
      </c>
      <c r="D351" s="334"/>
      <c r="E351" s="384"/>
      <c r="F351" s="380"/>
      <c r="G351" s="380"/>
      <c r="H351" s="380"/>
      <c r="I351" s="399"/>
      <c r="J351" s="334">
        <v>50</v>
      </c>
      <c r="K351" s="382"/>
      <c r="L351" s="380"/>
      <c r="M351" s="380"/>
      <c r="N351" s="380"/>
      <c r="O351" s="380"/>
      <c r="P351" s="380"/>
      <c r="Q351" s="380"/>
    </row>
    <row r="352" spans="1:17" x14ac:dyDescent="0.2">
      <c r="A352" s="334" t="s">
        <v>1741</v>
      </c>
      <c r="B352" s="380"/>
      <c r="C352" s="334" t="s">
        <v>1748</v>
      </c>
      <c r="D352" s="334"/>
      <c r="E352" s="384"/>
      <c r="F352" s="380"/>
      <c r="G352" s="380"/>
      <c r="H352" s="380"/>
      <c r="I352" s="399"/>
      <c r="J352" s="334">
        <v>200</v>
      </c>
      <c r="K352" s="382"/>
      <c r="L352" s="380"/>
      <c r="M352" s="380"/>
      <c r="N352" s="380"/>
      <c r="O352" s="380"/>
      <c r="P352" s="380"/>
      <c r="Q352" s="380"/>
    </row>
    <row r="353" spans="1:17" x14ac:dyDescent="0.2">
      <c r="A353" s="334" t="s">
        <v>1742</v>
      </c>
      <c r="B353" s="380"/>
      <c r="C353" s="334" t="s">
        <v>1553</v>
      </c>
      <c r="D353" s="334"/>
      <c r="E353" s="384"/>
      <c r="F353" s="380"/>
      <c r="G353" s="380"/>
      <c r="H353" s="380"/>
      <c r="I353" s="399"/>
      <c r="J353" s="334"/>
      <c r="K353" s="382"/>
      <c r="L353" s="380"/>
      <c r="M353" s="380"/>
      <c r="N353" s="380"/>
      <c r="O353" s="380"/>
      <c r="P353" s="380"/>
      <c r="Q353" s="380"/>
    </row>
    <row r="354" spans="1:17" x14ac:dyDescent="0.2">
      <c r="A354" s="384" t="s">
        <v>1584</v>
      </c>
      <c r="B354" s="380"/>
      <c r="C354" s="334" t="s">
        <v>0</v>
      </c>
      <c r="D354" s="334"/>
      <c r="E354" s="384"/>
      <c r="F354" s="380"/>
      <c r="G354" s="380"/>
      <c r="H354" s="380"/>
      <c r="I354" s="399"/>
      <c r="J354" s="334"/>
      <c r="K354" s="382"/>
      <c r="L354" s="380"/>
      <c r="M354" s="380"/>
      <c r="N354" s="380"/>
      <c r="O354" s="380"/>
      <c r="P354" s="380"/>
      <c r="Q354" s="380"/>
    </row>
    <row r="355" spans="1:17" x14ac:dyDescent="0.2">
      <c r="A355" s="334" t="s">
        <v>1572</v>
      </c>
      <c r="B355" s="380"/>
      <c r="C355" s="334" t="s">
        <v>3134</v>
      </c>
      <c r="D355" s="334">
        <v>50</v>
      </c>
      <c r="E355" s="384"/>
      <c r="F355" s="380"/>
      <c r="G355" s="380"/>
      <c r="H355" s="380"/>
      <c r="I355" s="399"/>
      <c r="J355" s="334">
        <v>50</v>
      </c>
      <c r="K355" s="382"/>
      <c r="L355" s="380"/>
      <c r="M355" s="380"/>
      <c r="N355" s="380"/>
      <c r="O355" s="380"/>
      <c r="P355" s="380"/>
      <c r="Q355" s="380"/>
    </row>
    <row r="356" spans="1:17" x14ac:dyDescent="0.2">
      <c r="A356" s="334" t="s">
        <v>1730</v>
      </c>
      <c r="B356" s="380"/>
      <c r="C356" s="334" t="s">
        <v>1985</v>
      </c>
      <c r="D356" s="334">
        <v>400</v>
      </c>
      <c r="E356" s="384"/>
      <c r="F356" s="380"/>
      <c r="G356" s="380"/>
      <c r="H356" s="380"/>
      <c r="I356" s="399"/>
      <c r="J356" s="334">
        <v>400</v>
      </c>
      <c r="K356" s="382"/>
      <c r="L356" s="380"/>
      <c r="M356" s="380"/>
      <c r="N356" s="380"/>
      <c r="O356" s="380"/>
      <c r="P356" s="380"/>
      <c r="Q356" s="380"/>
    </row>
    <row r="357" spans="1:17" x14ac:dyDescent="0.2">
      <c r="A357" s="334" t="s">
        <v>1566</v>
      </c>
      <c r="B357" s="380"/>
      <c r="C357" s="334" t="s">
        <v>366</v>
      </c>
      <c r="D357" s="334">
        <v>400</v>
      </c>
      <c r="E357" s="384"/>
      <c r="F357" s="380"/>
      <c r="G357" s="380"/>
      <c r="H357" s="380"/>
      <c r="I357" s="399"/>
      <c r="J357" s="334">
        <v>400</v>
      </c>
      <c r="K357" s="382"/>
      <c r="L357" s="380"/>
      <c r="M357" s="380"/>
      <c r="N357" s="380"/>
      <c r="O357" s="380"/>
      <c r="P357" s="380"/>
      <c r="Q357" s="380"/>
    </row>
    <row r="358" spans="1:17" x14ac:dyDescent="0.2">
      <c r="A358" s="334" t="s">
        <v>342</v>
      </c>
      <c r="B358" s="380"/>
      <c r="C358" s="334" t="s">
        <v>342</v>
      </c>
      <c r="D358" s="394"/>
      <c r="E358" s="380"/>
      <c r="F358" s="380"/>
      <c r="G358" s="380"/>
      <c r="H358" s="380"/>
      <c r="I358" s="383"/>
      <c r="J358" s="394"/>
      <c r="K358" s="382"/>
      <c r="L358" s="380"/>
      <c r="M358" s="380"/>
      <c r="N358" s="380"/>
      <c r="O358" s="380"/>
      <c r="P358" s="380"/>
      <c r="Q358" s="380"/>
    </row>
    <row r="359" spans="1:17" x14ac:dyDescent="0.2">
      <c r="A359" s="334" t="s">
        <v>342</v>
      </c>
      <c r="B359" s="380"/>
      <c r="C359" s="334" t="s">
        <v>342</v>
      </c>
      <c r="D359" s="334">
        <f>SUM(D340:D357)</f>
        <v>4070</v>
      </c>
      <c r="E359" s="380"/>
      <c r="F359" s="380"/>
      <c r="G359" s="380"/>
      <c r="H359" s="380"/>
      <c r="I359" s="383"/>
      <c r="J359" s="334">
        <f>SUM(J340:J357)</f>
        <v>3475</v>
      </c>
      <c r="K359" s="382"/>
      <c r="L359" s="380"/>
      <c r="M359" s="380"/>
      <c r="N359" s="380"/>
      <c r="O359" s="380"/>
      <c r="P359" s="380"/>
      <c r="Q359" s="380"/>
    </row>
    <row r="360" spans="1:17" ht="15.75" thickTop="1" x14ac:dyDescent="0.2">
      <c r="A360" s="380"/>
      <c r="B360" s="380"/>
      <c r="C360" s="380"/>
      <c r="D360" s="395">
        <f>D359-D340</f>
        <v>4070</v>
      </c>
      <c r="E360" s="380"/>
      <c r="F360" s="380"/>
      <c r="G360" s="380"/>
      <c r="H360" s="380"/>
      <c r="I360" s="383"/>
      <c r="J360" s="395">
        <f>J359-J340</f>
        <v>3475</v>
      </c>
      <c r="K360" s="382"/>
      <c r="L360" s="380"/>
      <c r="M360" s="380"/>
      <c r="N360" s="380"/>
      <c r="O360" s="380"/>
      <c r="P360" s="380"/>
      <c r="Q360" s="380"/>
    </row>
    <row r="361" spans="1:17" ht="15.75" x14ac:dyDescent="0.25">
      <c r="A361" s="377"/>
      <c r="B361" s="377"/>
      <c r="C361" s="377"/>
      <c r="D361" s="377"/>
      <c r="E361" s="377"/>
      <c r="F361" s="377"/>
      <c r="G361" s="377"/>
      <c r="H361" s="377"/>
      <c r="I361" s="397"/>
      <c r="J361" s="377"/>
      <c r="K361" s="382"/>
      <c r="L361" s="380"/>
      <c r="M361" s="380"/>
      <c r="N361" s="380"/>
      <c r="O361" s="380"/>
      <c r="P361" s="380"/>
      <c r="Q361" s="380"/>
    </row>
    <row r="362" spans="1:17" x14ac:dyDescent="0.2">
      <c r="A362" s="380"/>
      <c r="B362" s="380"/>
      <c r="C362" s="380"/>
      <c r="D362" s="380"/>
      <c r="E362" s="380"/>
      <c r="F362" s="380"/>
      <c r="G362" s="380"/>
      <c r="H362" s="380"/>
      <c r="I362" s="383"/>
      <c r="J362" s="380"/>
      <c r="K362" s="382"/>
      <c r="L362" s="380"/>
      <c r="M362" s="380"/>
      <c r="N362" s="380"/>
      <c r="O362" s="380"/>
      <c r="P362" s="380"/>
      <c r="Q362" s="380"/>
    </row>
    <row r="363" spans="1:17" x14ac:dyDescent="0.2">
      <c r="A363" s="334" t="s">
        <v>1586</v>
      </c>
      <c r="B363" s="380"/>
      <c r="C363" s="380"/>
      <c r="D363" s="380"/>
      <c r="E363" s="380"/>
      <c r="F363" s="380"/>
      <c r="G363" s="380"/>
      <c r="H363" s="380"/>
      <c r="I363" s="383"/>
      <c r="J363" s="380"/>
      <c r="K363" s="382"/>
      <c r="L363" s="380"/>
      <c r="M363" s="380"/>
      <c r="N363" s="380"/>
      <c r="O363" s="380"/>
      <c r="P363" s="380"/>
      <c r="Q363" s="380"/>
    </row>
    <row r="364" spans="1:17" x14ac:dyDescent="0.2">
      <c r="A364" s="380"/>
      <c r="B364" s="380"/>
      <c r="C364" s="384" t="s">
        <v>2098</v>
      </c>
      <c r="D364" s="380"/>
      <c r="E364" s="380"/>
      <c r="F364" s="380"/>
      <c r="G364" s="380"/>
      <c r="H364" s="380"/>
      <c r="I364" s="383"/>
      <c r="J364" s="380"/>
      <c r="K364" s="382"/>
      <c r="L364" s="380"/>
      <c r="M364" s="380"/>
      <c r="N364" s="380"/>
      <c r="O364" s="380"/>
      <c r="P364" s="380"/>
      <c r="Q364" s="380"/>
    </row>
    <row r="365" spans="1:17" x14ac:dyDescent="0.2">
      <c r="A365" s="380"/>
      <c r="B365" s="380"/>
      <c r="C365" s="380"/>
      <c r="D365" s="380"/>
      <c r="E365" s="380"/>
      <c r="F365" s="380"/>
      <c r="G365" s="380"/>
      <c r="H365" s="380"/>
      <c r="I365" s="383"/>
      <c r="J365" s="380"/>
      <c r="K365" s="382"/>
      <c r="L365" s="380"/>
      <c r="M365" s="380"/>
      <c r="N365" s="380"/>
      <c r="O365" s="380"/>
      <c r="P365" s="380"/>
      <c r="Q365" s="380"/>
    </row>
    <row r="366" spans="1:17" x14ac:dyDescent="0.2">
      <c r="A366" s="334" t="s">
        <v>1574</v>
      </c>
      <c r="B366" s="380"/>
      <c r="C366" s="334" t="s">
        <v>1880</v>
      </c>
      <c r="D366" s="334" t="s">
        <v>181</v>
      </c>
      <c r="E366" s="380"/>
      <c r="F366" s="380"/>
      <c r="G366" s="380"/>
      <c r="H366" s="380"/>
      <c r="I366" s="383"/>
      <c r="J366" s="334" t="s">
        <v>181</v>
      </c>
      <c r="K366" s="382"/>
      <c r="L366" s="380"/>
      <c r="M366" s="380"/>
      <c r="N366" s="380"/>
      <c r="O366" s="380"/>
      <c r="P366" s="380"/>
      <c r="Q366" s="380"/>
    </row>
    <row r="367" spans="1:17" x14ac:dyDescent="0.2">
      <c r="A367" s="380"/>
      <c r="B367" s="380"/>
      <c r="C367" s="380"/>
      <c r="D367" s="380"/>
      <c r="E367" s="380"/>
      <c r="F367" s="380"/>
      <c r="G367" s="380"/>
      <c r="H367" s="380"/>
      <c r="I367" s="383"/>
      <c r="J367" s="380"/>
      <c r="K367" s="382"/>
      <c r="L367" s="380"/>
      <c r="M367" s="380"/>
      <c r="N367" s="380"/>
      <c r="O367" s="380"/>
      <c r="P367" s="380"/>
      <c r="Q367" s="380"/>
    </row>
    <row r="368" spans="1:17" x14ac:dyDescent="0.2">
      <c r="A368" s="334" t="s">
        <v>1733</v>
      </c>
      <c r="B368" s="380"/>
      <c r="C368" s="334" t="s">
        <v>27</v>
      </c>
      <c r="D368" s="377"/>
      <c r="E368" s="384"/>
      <c r="F368" s="380"/>
      <c r="G368" s="380"/>
      <c r="H368" s="380"/>
      <c r="I368" s="399"/>
      <c r="J368" s="377"/>
      <c r="K368" s="396"/>
      <c r="L368" s="380"/>
      <c r="M368" s="380"/>
      <c r="N368" s="380"/>
      <c r="O368" s="380"/>
      <c r="P368" s="380"/>
      <c r="Q368" s="380"/>
    </row>
    <row r="369" spans="1:17" x14ac:dyDescent="0.2">
      <c r="A369" s="334" t="s">
        <v>1569</v>
      </c>
      <c r="B369" s="380"/>
      <c r="C369" s="334" t="s">
        <v>1888</v>
      </c>
      <c r="D369" s="334">
        <v>15000</v>
      </c>
      <c r="E369" s="384"/>
      <c r="F369" s="380"/>
      <c r="G369" s="380"/>
      <c r="H369" s="380"/>
      <c r="I369" s="399"/>
      <c r="J369" s="334">
        <v>11000</v>
      </c>
      <c r="K369" s="382"/>
      <c r="L369" s="380"/>
      <c r="M369" s="380"/>
      <c r="N369" s="380"/>
      <c r="O369" s="380"/>
      <c r="P369" s="380"/>
      <c r="Q369" s="380"/>
    </row>
    <row r="370" spans="1:17" x14ac:dyDescent="0.2">
      <c r="A370" s="334" t="s">
        <v>1724</v>
      </c>
      <c r="B370" s="380"/>
      <c r="C370" s="334" t="s">
        <v>1881</v>
      </c>
      <c r="D370" s="334">
        <v>3000</v>
      </c>
      <c r="E370" s="384"/>
      <c r="F370" s="380"/>
      <c r="G370" s="380"/>
      <c r="H370" s="380"/>
      <c r="I370" s="399"/>
      <c r="J370" s="334">
        <v>1100</v>
      </c>
      <c r="K370" s="382"/>
      <c r="L370" s="380"/>
      <c r="M370" s="380"/>
      <c r="N370" s="380"/>
      <c r="O370" s="380"/>
      <c r="P370" s="380"/>
      <c r="Q370" s="380"/>
    </row>
    <row r="371" spans="1:17" x14ac:dyDescent="0.2">
      <c r="A371" s="334" t="s">
        <v>1736</v>
      </c>
      <c r="B371" s="380"/>
      <c r="C371" s="334" t="s">
        <v>1747</v>
      </c>
      <c r="D371" s="334"/>
      <c r="E371" s="384"/>
      <c r="F371" s="380"/>
      <c r="G371" s="380"/>
      <c r="H371" s="380"/>
      <c r="I371" s="399"/>
      <c r="J371" s="334"/>
      <c r="K371" s="382"/>
      <c r="L371" s="380"/>
      <c r="M371" s="380"/>
      <c r="N371" s="380"/>
      <c r="O371" s="380"/>
      <c r="P371" s="380"/>
      <c r="Q371" s="380"/>
    </row>
    <row r="372" spans="1:17" x14ac:dyDescent="0.2">
      <c r="A372" s="334" t="s">
        <v>1744</v>
      </c>
      <c r="B372" s="380"/>
      <c r="C372" s="334" t="s">
        <v>1254</v>
      </c>
      <c r="D372" s="334">
        <v>1200</v>
      </c>
      <c r="E372" s="384"/>
      <c r="F372" s="380"/>
      <c r="G372" s="380"/>
      <c r="H372" s="380"/>
      <c r="I372" s="399"/>
      <c r="J372" s="334">
        <v>1000</v>
      </c>
      <c r="K372" s="382"/>
      <c r="L372" s="380"/>
      <c r="M372" s="380"/>
      <c r="N372" s="380"/>
      <c r="O372" s="380"/>
      <c r="P372" s="380"/>
      <c r="Q372" s="380"/>
    </row>
    <row r="373" spans="1:17" x14ac:dyDescent="0.2">
      <c r="A373" s="334" t="s">
        <v>1582</v>
      </c>
      <c r="B373" s="380"/>
      <c r="C373" s="334" t="s">
        <v>3135</v>
      </c>
      <c r="D373" s="334"/>
      <c r="E373" s="384"/>
      <c r="F373" s="380"/>
      <c r="G373" s="380"/>
      <c r="H373" s="380"/>
      <c r="I373" s="399"/>
      <c r="J373" s="334"/>
      <c r="K373" s="382"/>
      <c r="L373" s="380"/>
      <c r="M373" s="380"/>
      <c r="N373" s="380"/>
      <c r="O373" s="380"/>
      <c r="P373" s="380"/>
      <c r="Q373" s="380"/>
    </row>
    <row r="374" spans="1:17" x14ac:dyDescent="0.2">
      <c r="A374" s="334" t="s">
        <v>1575</v>
      </c>
      <c r="B374" s="380"/>
      <c r="C374" s="334" t="s">
        <v>1889</v>
      </c>
      <c r="D374" s="334"/>
      <c r="E374" s="384"/>
      <c r="F374" s="380"/>
      <c r="G374" s="380"/>
      <c r="H374" s="380"/>
      <c r="I374" s="399"/>
      <c r="J374" s="334"/>
      <c r="K374" s="382"/>
      <c r="L374" s="380"/>
      <c r="M374" s="380"/>
      <c r="N374" s="380"/>
      <c r="O374" s="380"/>
      <c r="P374" s="380"/>
      <c r="Q374" s="380"/>
    </row>
    <row r="375" spans="1:17" x14ac:dyDescent="0.2">
      <c r="A375" s="334" t="s">
        <v>1725</v>
      </c>
      <c r="B375" s="380"/>
      <c r="C375" s="334" t="s">
        <v>1890</v>
      </c>
      <c r="D375" s="334"/>
      <c r="E375" s="384"/>
      <c r="F375" s="380"/>
      <c r="G375" s="380"/>
      <c r="H375" s="380"/>
      <c r="I375" s="399"/>
      <c r="J375" s="334"/>
      <c r="K375" s="382"/>
      <c r="L375" s="380"/>
      <c r="M375" s="380"/>
      <c r="N375" s="380"/>
      <c r="O375" s="380"/>
      <c r="P375" s="380"/>
      <c r="Q375" s="380"/>
    </row>
    <row r="376" spans="1:17" x14ac:dyDescent="0.2">
      <c r="A376" s="334" t="s">
        <v>1565</v>
      </c>
      <c r="B376" s="380"/>
      <c r="C376" s="334" t="s">
        <v>1927</v>
      </c>
      <c r="D376" s="334">
        <v>1600</v>
      </c>
      <c r="E376" s="384"/>
      <c r="F376" s="380"/>
      <c r="G376" s="380"/>
      <c r="H376" s="380"/>
      <c r="I376" s="399"/>
      <c r="J376" s="334">
        <v>1600</v>
      </c>
      <c r="K376" s="382"/>
      <c r="L376" s="380"/>
      <c r="M376" s="380"/>
      <c r="N376" s="380"/>
      <c r="O376" s="380"/>
      <c r="P376" s="380"/>
      <c r="Q376" s="380"/>
    </row>
    <row r="377" spans="1:17" x14ac:dyDescent="0.2">
      <c r="A377" s="334" t="s">
        <v>1737</v>
      </c>
      <c r="B377" s="380"/>
      <c r="C377" s="334" t="s">
        <v>1928</v>
      </c>
      <c r="D377" s="334">
        <v>1100</v>
      </c>
      <c r="E377" s="384"/>
      <c r="F377" s="380"/>
      <c r="G377" s="380"/>
      <c r="H377" s="380"/>
      <c r="I377" s="399"/>
      <c r="J377" s="334">
        <v>1100</v>
      </c>
      <c r="K377" s="382"/>
      <c r="L377" s="380"/>
      <c r="M377" s="380"/>
      <c r="N377" s="380"/>
      <c r="O377" s="380"/>
      <c r="P377" s="380"/>
      <c r="Q377" s="380"/>
    </row>
    <row r="378" spans="1:17" x14ac:dyDescent="0.2">
      <c r="A378" s="334" t="s">
        <v>1726</v>
      </c>
      <c r="B378" s="380"/>
      <c r="C378" s="334" t="s">
        <v>1117</v>
      </c>
      <c r="D378" s="334">
        <v>1000</v>
      </c>
      <c r="E378" s="384"/>
      <c r="F378" s="380"/>
      <c r="G378" s="380"/>
      <c r="H378" s="380"/>
      <c r="I378" s="399"/>
      <c r="J378" s="334">
        <v>600</v>
      </c>
      <c r="K378" s="382"/>
      <c r="L378" s="380"/>
      <c r="M378" s="380"/>
      <c r="N378" s="380"/>
      <c r="O378" s="380"/>
      <c r="P378" s="380"/>
      <c r="Q378" s="380"/>
    </row>
    <row r="379" spans="1:17" x14ac:dyDescent="0.2">
      <c r="A379" s="384" t="s">
        <v>1751</v>
      </c>
      <c r="B379" s="380"/>
      <c r="C379" s="334" t="s">
        <v>3138</v>
      </c>
      <c r="D379" s="334"/>
      <c r="E379" s="384"/>
      <c r="F379" s="380"/>
      <c r="G379" s="380"/>
      <c r="H379" s="380"/>
      <c r="I379" s="399"/>
      <c r="J379" s="334"/>
      <c r="K379" s="382"/>
      <c r="L379" s="380"/>
      <c r="M379" s="380"/>
      <c r="N379" s="380"/>
      <c r="O379" s="380"/>
      <c r="P379" s="380"/>
      <c r="Q379" s="380"/>
    </row>
    <row r="380" spans="1:17" x14ac:dyDescent="0.2">
      <c r="A380" s="384" t="s">
        <v>1760</v>
      </c>
      <c r="B380" s="380"/>
      <c r="C380" s="334" t="s">
        <v>40</v>
      </c>
      <c r="D380" s="334"/>
      <c r="E380" s="384"/>
      <c r="F380" s="380"/>
      <c r="G380" s="380"/>
      <c r="H380" s="380"/>
      <c r="I380" s="399"/>
      <c r="J380" s="334"/>
      <c r="K380" s="382"/>
      <c r="L380" s="380"/>
      <c r="M380" s="380"/>
      <c r="N380" s="380"/>
      <c r="O380" s="380"/>
      <c r="P380" s="380"/>
      <c r="Q380" s="380"/>
    </row>
    <row r="381" spans="1:17" x14ac:dyDescent="0.2">
      <c r="A381" s="334" t="s">
        <v>1734</v>
      </c>
      <c r="B381" s="380"/>
      <c r="C381" s="334" t="s">
        <v>1746</v>
      </c>
      <c r="D381" s="334">
        <v>700</v>
      </c>
      <c r="E381" s="384"/>
      <c r="F381" s="380"/>
      <c r="G381" s="380"/>
      <c r="H381" s="380"/>
      <c r="I381" s="399"/>
      <c r="J381" s="334">
        <v>600</v>
      </c>
      <c r="K381" s="382"/>
      <c r="L381" s="380"/>
      <c r="M381" s="380"/>
      <c r="N381" s="380"/>
      <c r="O381" s="380"/>
      <c r="P381" s="380"/>
      <c r="Q381" s="380"/>
    </row>
    <row r="382" spans="1:17" x14ac:dyDescent="0.2">
      <c r="A382" s="334" t="s">
        <v>1571</v>
      </c>
      <c r="B382" s="380"/>
      <c r="C382" s="334" t="s">
        <v>3</v>
      </c>
      <c r="D382" s="334"/>
      <c r="E382" s="384"/>
      <c r="F382" s="380"/>
      <c r="G382" s="380"/>
      <c r="H382" s="380"/>
      <c r="I382" s="399"/>
      <c r="J382" s="334"/>
      <c r="K382" s="382"/>
      <c r="L382" s="380"/>
      <c r="M382" s="380"/>
      <c r="N382" s="380"/>
      <c r="O382" s="380"/>
      <c r="P382" s="380"/>
      <c r="Q382" s="380"/>
    </row>
    <row r="383" spans="1:17" x14ac:dyDescent="0.2">
      <c r="A383" s="334" t="s">
        <v>1578</v>
      </c>
      <c r="B383" s="380"/>
      <c r="C383" s="334" t="s">
        <v>22</v>
      </c>
      <c r="D383" s="334"/>
      <c r="E383" s="384"/>
      <c r="F383" s="380"/>
      <c r="G383" s="380"/>
      <c r="H383" s="380"/>
      <c r="I383" s="399"/>
      <c r="J383" s="334"/>
      <c r="K383" s="382"/>
      <c r="L383" s="380"/>
      <c r="M383" s="380"/>
      <c r="N383" s="380"/>
      <c r="O383" s="380"/>
      <c r="P383" s="380"/>
      <c r="Q383" s="380"/>
    </row>
    <row r="384" spans="1:17" x14ac:dyDescent="0.2">
      <c r="A384" s="334" t="s">
        <v>1738</v>
      </c>
      <c r="B384" s="380"/>
      <c r="C384" s="334" t="s">
        <v>1591</v>
      </c>
      <c r="D384" s="334">
        <v>1000</v>
      </c>
      <c r="E384" s="384"/>
      <c r="F384" s="380"/>
      <c r="G384" s="380"/>
      <c r="H384" s="380"/>
      <c r="I384" s="399"/>
      <c r="J384" s="334">
        <v>900</v>
      </c>
      <c r="K384" s="382"/>
      <c r="L384" s="380"/>
      <c r="M384" s="380"/>
      <c r="N384" s="380"/>
      <c r="O384" s="380"/>
      <c r="P384" s="380"/>
      <c r="Q384" s="380"/>
    </row>
    <row r="385" spans="1:17" x14ac:dyDescent="0.2">
      <c r="A385" s="334" t="s">
        <v>1727</v>
      </c>
      <c r="B385" s="380"/>
      <c r="C385" s="334" t="s">
        <v>307</v>
      </c>
      <c r="D385" s="334">
        <v>3600</v>
      </c>
      <c r="E385" s="384"/>
      <c r="F385" s="380"/>
      <c r="G385" s="380"/>
      <c r="H385" s="380"/>
      <c r="I385" s="399"/>
      <c r="J385" s="334">
        <v>3600</v>
      </c>
      <c r="K385" s="382"/>
      <c r="L385" s="380"/>
      <c r="M385" s="380"/>
      <c r="N385" s="380"/>
      <c r="O385" s="380"/>
      <c r="P385" s="380"/>
      <c r="Q385" s="380"/>
    </row>
    <row r="386" spans="1:17" x14ac:dyDescent="0.2">
      <c r="A386" s="334" t="s">
        <v>1728</v>
      </c>
      <c r="B386" s="380"/>
      <c r="C386" s="334" t="s">
        <v>310</v>
      </c>
      <c r="D386" s="334">
        <v>1100</v>
      </c>
      <c r="E386" s="384"/>
      <c r="F386" s="380"/>
      <c r="G386" s="380"/>
      <c r="H386" s="380"/>
      <c r="I386" s="399"/>
      <c r="J386" s="334">
        <v>1100</v>
      </c>
      <c r="K386" s="382"/>
      <c r="L386" s="380"/>
      <c r="M386" s="380"/>
      <c r="N386" s="380"/>
      <c r="O386" s="380"/>
      <c r="P386" s="380"/>
      <c r="Q386" s="380"/>
    </row>
    <row r="387" spans="1:17" x14ac:dyDescent="0.2">
      <c r="A387" s="334" t="s">
        <v>1729</v>
      </c>
      <c r="B387" s="380"/>
      <c r="C387" s="380" t="s">
        <v>1551</v>
      </c>
      <c r="D387" s="334">
        <v>-8000</v>
      </c>
      <c r="E387" s="384"/>
      <c r="F387" s="380"/>
      <c r="G387" s="380"/>
      <c r="H387" s="380"/>
      <c r="I387" s="399"/>
      <c r="J387" s="334">
        <v>1600</v>
      </c>
      <c r="K387" s="382"/>
      <c r="L387" s="380"/>
      <c r="M387" s="380"/>
      <c r="N387" s="380"/>
      <c r="O387" s="380"/>
      <c r="P387" s="380"/>
      <c r="Q387" s="380"/>
    </row>
    <row r="388" spans="1:17" x14ac:dyDescent="0.2">
      <c r="A388" s="334" t="s">
        <v>1735</v>
      </c>
      <c r="B388" s="380"/>
      <c r="C388" s="380" t="s">
        <v>194</v>
      </c>
      <c r="D388" s="334"/>
      <c r="E388" s="384"/>
      <c r="F388" s="380"/>
      <c r="G388" s="380"/>
      <c r="H388" s="380"/>
      <c r="I388" s="399"/>
      <c r="J388" s="334">
        <v>600</v>
      </c>
      <c r="K388" s="382"/>
      <c r="L388" s="380"/>
      <c r="M388" s="380"/>
      <c r="N388" s="380"/>
      <c r="O388" s="380"/>
      <c r="P388" s="380"/>
      <c r="Q388" s="380"/>
    </row>
    <row r="389" spans="1:17" x14ac:dyDescent="0.2">
      <c r="A389" s="384" t="s">
        <v>1741</v>
      </c>
      <c r="B389" s="380"/>
      <c r="C389" s="334" t="s">
        <v>1748</v>
      </c>
      <c r="D389" s="334"/>
      <c r="E389" s="384"/>
      <c r="F389" s="380"/>
      <c r="G389" s="380"/>
      <c r="H389" s="380"/>
      <c r="I389" s="399"/>
      <c r="J389" s="334"/>
      <c r="K389" s="382"/>
      <c r="L389" s="380"/>
      <c r="M389" s="380"/>
      <c r="N389" s="380"/>
      <c r="O389" s="380"/>
      <c r="P389" s="380"/>
      <c r="Q389" s="380"/>
    </row>
    <row r="390" spans="1:17" x14ac:dyDescent="0.2">
      <c r="A390" s="334" t="s">
        <v>1742</v>
      </c>
      <c r="B390" s="380"/>
      <c r="C390" s="334" t="s">
        <v>1553</v>
      </c>
      <c r="D390" s="334"/>
      <c r="E390" s="384"/>
      <c r="F390" s="380"/>
      <c r="G390" s="380"/>
      <c r="H390" s="380"/>
      <c r="I390" s="399"/>
      <c r="J390" s="334"/>
      <c r="K390" s="382"/>
      <c r="L390" s="380"/>
      <c r="M390" s="380"/>
      <c r="N390" s="380"/>
      <c r="O390" s="380"/>
      <c r="P390" s="380"/>
      <c r="Q390" s="380"/>
    </row>
    <row r="391" spans="1:17" x14ac:dyDescent="0.2">
      <c r="A391" s="384" t="s">
        <v>1754</v>
      </c>
      <c r="B391" s="380"/>
      <c r="C391" s="334" t="s">
        <v>1929</v>
      </c>
      <c r="D391" s="334">
        <v>500</v>
      </c>
      <c r="E391" s="384"/>
      <c r="F391" s="380"/>
      <c r="G391" s="380"/>
      <c r="H391" s="380"/>
      <c r="I391" s="399"/>
      <c r="J391" s="334"/>
      <c r="K391" s="382"/>
      <c r="L391" s="380"/>
      <c r="M391" s="380"/>
      <c r="N391" s="380"/>
      <c r="O391" s="380"/>
      <c r="P391" s="380"/>
      <c r="Q391" s="380"/>
    </row>
    <row r="392" spans="1:17" x14ac:dyDescent="0.2">
      <c r="A392" s="334" t="s">
        <v>1580</v>
      </c>
      <c r="B392" s="380"/>
      <c r="C392" s="334" t="s">
        <v>1936</v>
      </c>
      <c r="D392" s="334"/>
      <c r="E392" s="384"/>
      <c r="F392" s="380"/>
      <c r="G392" s="380"/>
      <c r="H392" s="380"/>
      <c r="I392" s="399"/>
      <c r="J392" s="334"/>
      <c r="K392" s="382"/>
      <c r="L392" s="380"/>
      <c r="M392" s="380"/>
      <c r="N392" s="380"/>
      <c r="O392" s="380"/>
      <c r="P392" s="380"/>
      <c r="Q392" s="380"/>
    </row>
    <row r="393" spans="1:17" x14ac:dyDescent="0.2">
      <c r="A393" s="334" t="s">
        <v>1572</v>
      </c>
      <c r="B393" s="380"/>
      <c r="C393" s="334" t="s">
        <v>3134</v>
      </c>
      <c r="D393" s="334">
        <v>600</v>
      </c>
      <c r="E393" s="384"/>
      <c r="F393" s="380"/>
      <c r="G393" s="380"/>
      <c r="H393" s="380"/>
      <c r="I393" s="399"/>
      <c r="J393" s="334">
        <v>600</v>
      </c>
      <c r="K393" s="382"/>
      <c r="L393" s="380"/>
      <c r="M393" s="380"/>
      <c r="N393" s="380"/>
      <c r="O393" s="380"/>
      <c r="P393" s="380"/>
      <c r="Q393" s="380"/>
    </row>
    <row r="394" spans="1:17" x14ac:dyDescent="0.2">
      <c r="A394" s="334" t="s">
        <v>1730</v>
      </c>
      <c r="B394" s="380"/>
      <c r="C394" s="334" t="s">
        <v>1985</v>
      </c>
      <c r="D394" s="334">
        <v>7000</v>
      </c>
      <c r="E394" s="384"/>
      <c r="F394" s="380"/>
      <c r="G394" s="380"/>
      <c r="H394" s="380"/>
      <c r="I394" s="399"/>
      <c r="J394" s="334">
        <v>7000</v>
      </c>
      <c r="K394" s="382"/>
      <c r="L394" s="380"/>
      <c r="M394" s="380"/>
      <c r="N394" s="380"/>
      <c r="O394" s="380"/>
      <c r="P394" s="380"/>
      <c r="Q394" s="380"/>
    </row>
    <row r="395" spans="1:17" x14ac:dyDescent="0.2">
      <c r="A395" s="334" t="s">
        <v>1566</v>
      </c>
      <c r="B395" s="380"/>
      <c r="C395" s="334" t="s">
        <v>366</v>
      </c>
      <c r="D395" s="334"/>
      <c r="E395" s="384"/>
      <c r="F395" s="380"/>
      <c r="G395" s="380"/>
      <c r="H395" s="380"/>
      <c r="I395" s="399"/>
      <c r="J395" s="334"/>
      <c r="K395" s="382"/>
      <c r="L395" s="380"/>
      <c r="M395" s="380"/>
      <c r="N395" s="380"/>
      <c r="O395" s="380"/>
      <c r="P395" s="380"/>
      <c r="Q395" s="380"/>
    </row>
    <row r="396" spans="1:17" x14ac:dyDescent="0.2">
      <c r="A396" s="334" t="s">
        <v>1587</v>
      </c>
      <c r="B396" s="380"/>
      <c r="C396" s="334" t="s">
        <v>34</v>
      </c>
      <c r="D396" s="334"/>
      <c r="E396" s="384"/>
      <c r="F396" s="380"/>
      <c r="G396" s="380"/>
      <c r="H396" s="380"/>
      <c r="I396" s="399"/>
      <c r="J396" s="334"/>
      <c r="K396" s="382"/>
      <c r="L396" s="380"/>
      <c r="M396" s="380"/>
      <c r="N396" s="380"/>
      <c r="O396" s="380"/>
      <c r="P396" s="380"/>
      <c r="Q396" s="380"/>
    </row>
    <row r="397" spans="1:17" x14ac:dyDescent="0.2">
      <c r="A397" s="334" t="s">
        <v>1588</v>
      </c>
      <c r="B397" s="380"/>
      <c r="C397" s="334" t="s">
        <v>191</v>
      </c>
      <c r="D397" s="334"/>
      <c r="E397" s="384"/>
      <c r="F397" s="380"/>
      <c r="G397" s="380"/>
      <c r="H397" s="380"/>
      <c r="I397" s="399"/>
      <c r="J397" s="334"/>
      <c r="K397" s="382"/>
      <c r="L397" s="380"/>
      <c r="M397" s="380"/>
      <c r="N397" s="380"/>
      <c r="O397" s="380"/>
      <c r="P397" s="380"/>
      <c r="Q397" s="380"/>
    </row>
    <row r="398" spans="1:17" x14ac:dyDescent="0.2">
      <c r="A398" s="384" t="s">
        <v>1962</v>
      </c>
      <c r="B398" s="380"/>
      <c r="C398" s="380" t="s">
        <v>572</v>
      </c>
      <c r="D398" s="334">
        <v>2600</v>
      </c>
      <c r="E398" s="384"/>
      <c r="F398" s="380"/>
      <c r="G398" s="380"/>
      <c r="H398" s="380"/>
      <c r="I398" s="399"/>
      <c r="J398" s="334">
        <v>2600</v>
      </c>
      <c r="K398" s="382"/>
      <c r="L398" s="380"/>
      <c r="M398" s="380"/>
      <c r="N398" s="380"/>
      <c r="O398" s="380"/>
      <c r="P398" s="380"/>
      <c r="Q398" s="380"/>
    </row>
    <row r="399" spans="1:17" x14ac:dyDescent="0.2">
      <c r="A399" s="380"/>
      <c r="B399" s="380"/>
      <c r="C399" s="380"/>
      <c r="D399" s="394"/>
      <c r="E399" s="380"/>
      <c r="F399" s="380"/>
      <c r="G399" s="380"/>
      <c r="H399" s="380"/>
      <c r="I399" s="383"/>
      <c r="J399" s="394"/>
      <c r="K399" s="382"/>
      <c r="L399" s="380"/>
      <c r="M399" s="380"/>
      <c r="N399" s="380"/>
      <c r="O399" s="380"/>
      <c r="P399" s="380"/>
      <c r="Q399" s="380"/>
    </row>
    <row r="400" spans="1:17" x14ac:dyDescent="0.2">
      <c r="A400" s="380"/>
      <c r="B400" s="380"/>
      <c r="C400" s="380"/>
      <c r="D400" s="334">
        <f>SUM(D368:D398)</f>
        <v>32000</v>
      </c>
      <c r="E400" s="380"/>
      <c r="F400" s="380"/>
      <c r="G400" s="380"/>
      <c r="H400" s="380"/>
      <c r="I400" s="383"/>
      <c r="J400" s="334">
        <f>SUM(J368:J398)</f>
        <v>35000</v>
      </c>
      <c r="K400" s="382"/>
      <c r="L400" s="380"/>
      <c r="M400" s="380"/>
      <c r="N400" s="380"/>
      <c r="O400" s="380"/>
      <c r="P400" s="380"/>
      <c r="Q400" s="380"/>
    </row>
    <row r="401" spans="1:17" ht="15.75" thickTop="1" x14ac:dyDescent="0.2">
      <c r="A401" s="380"/>
      <c r="B401" s="380"/>
      <c r="C401" s="380"/>
      <c r="D401" s="395">
        <f>D400-D368</f>
        <v>32000</v>
      </c>
      <c r="E401" s="380"/>
      <c r="F401" s="380"/>
      <c r="G401" s="380"/>
      <c r="H401" s="380"/>
      <c r="I401" s="383"/>
      <c r="J401" s="395">
        <f>J400-J368</f>
        <v>35000</v>
      </c>
      <c r="K401" s="382"/>
      <c r="L401" s="380"/>
      <c r="M401" s="380"/>
      <c r="N401" s="380"/>
      <c r="O401" s="380"/>
      <c r="P401" s="380"/>
      <c r="Q401" s="380"/>
    </row>
    <row r="402" spans="1:17" ht="15.75" x14ac:dyDescent="0.25">
      <c r="A402" s="377"/>
      <c r="B402" s="377"/>
      <c r="C402" s="377"/>
      <c r="D402" s="377"/>
      <c r="E402" s="377"/>
      <c r="F402" s="377"/>
      <c r="G402" s="377"/>
      <c r="H402" s="377"/>
      <c r="I402" s="397"/>
      <c r="J402" s="377"/>
      <c r="K402" s="382"/>
      <c r="L402" s="380"/>
      <c r="M402" s="380"/>
      <c r="N402" s="380"/>
      <c r="O402" s="380"/>
      <c r="P402" s="380"/>
      <c r="Q402" s="380"/>
    </row>
    <row r="403" spans="1:17" x14ac:dyDescent="0.2">
      <c r="A403" s="380"/>
      <c r="B403" s="380"/>
      <c r="C403" s="380"/>
      <c r="D403" s="380"/>
      <c r="E403" s="380"/>
      <c r="F403" s="380"/>
      <c r="G403" s="380"/>
      <c r="H403" s="380"/>
      <c r="I403" s="383"/>
      <c r="J403" s="380"/>
      <c r="K403" s="382"/>
      <c r="L403" s="380"/>
      <c r="M403" s="380"/>
      <c r="N403" s="380"/>
      <c r="O403" s="380"/>
      <c r="P403" s="380"/>
      <c r="Q403" s="380"/>
    </row>
    <row r="404" spans="1:17" x14ac:dyDescent="0.2">
      <c r="A404" s="334" t="s">
        <v>1749</v>
      </c>
      <c r="B404" s="380"/>
      <c r="C404" s="380"/>
      <c r="D404" s="380"/>
      <c r="E404" s="380"/>
      <c r="F404" s="380"/>
      <c r="G404" s="380"/>
      <c r="H404" s="380"/>
      <c r="I404" s="383"/>
      <c r="J404" s="380"/>
      <c r="K404" s="382"/>
      <c r="L404" s="380"/>
      <c r="M404" s="380"/>
      <c r="N404" s="380"/>
      <c r="O404" s="380"/>
      <c r="P404" s="380"/>
      <c r="Q404" s="380"/>
    </row>
    <row r="405" spans="1:17" x14ac:dyDescent="0.2">
      <c r="A405" s="380"/>
      <c r="B405" s="380"/>
      <c r="C405" s="384" t="s">
        <v>2099</v>
      </c>
      <c r="D405" s="380"/>
      <c r="E405" s="380"/>
      <c r="F405" s="380"/>
      <c r="G405" s="380"/>
      <c r="H405" s="380"/>
      <c r="I405" s="383"/>
      <c r="J405" s="380"/>
      <c r="K405" s="382"/>
      <c r="L405" s="380"/>
      <c r="M405" s="380"/>
      <c r="N405" s="380"/>
      <c r="O405" s="380"/>
      <c r="P405" s="380"/>
      <c r="Q405" s="380"/>
    </row>
    <row r="406" spans="1:17" x14ac:dyDescent="0.2">
      <c r="A406" s="380"/>
      <c r="B406" s="380"/>
      <c r="C406" s="380"/>
      <c r="D406" s="380"/>
      <c r="E406" s="380"/>
      <c r="F406" s="380"/>
      <c r="G406" s="380"/>
      <c r="H406" s="380"/>
      <c r="I406" s="383"/>
      <c r="J406" s="380"/>
      <c r="K406" s="382"/>
      <c r="L406" s="380"/>
      <c r="M406" s="380"/>
      <c r="N406" s="380"/>
      <c r="O406" s="380"/>
      <c r="P406" s="380"/>
      <c r="Q406" s="380"/>
    </row>
    <row r="407" spans="1:17" x14ac:dyDescent="0.2">
      <c r="A407" s="334" t="s">
        <v>1723</v>
      </c>
      <c r="B407" s="380"/>
      <c r="C407" s="334" t="s">
        <v>1880</v>
      </c>
      <c r="D407" s="334" t="s">
        <v>181</v>
      </c>
      <c r="E407" s="380"/>
      <c r="F407" s="380"/>
      <c r="G407" s="380"/>
      <c r="H407" s="380"/>
      <c r="I407" s="383"/>
      <c r="J407" s="334" t="s">
        <v>181</v>
      </c>
      <c r="K407" s="382"/>
      <c r="L407" s="380"/>
      <c r="M407" s="380"/>
      <c r="N407" s="380"/>
      <c r="O407" s="380"/>
      <c r="P407" s="380"/>
      <c r="Q407" s="380"/>
    </row>
    <row r="408" spans="1:17" x14ac:dyDescent="0.2">
      <c r="A408" s="380"/>
      <c r="B408" s="380"/>
      <c r="C408" s="380"/>
      <c r="D408" s="380"/>
      <c r="E408" s="380"/>
      <c r="F408" s="380"/>
      <c r="G408" s="380"/>
      <c r="H408" s="380"/>
      <c r="I408" s="383"/>
      <c r="J408" s="380"/>
      <c r="K408" s="396"/>
      <c r="L408" s="380"/>
      <c r="M408" s="380"/>
      <c r="N408" s="380"/>
      <c r="O408" s="380"/>
      <c r="P408" s="380"/>
      <c r="Q408" s="380"/>
    </row>
    <row r="409" spans="1:17" x14ac:dyDescent="0.2">
      <c r="A409" s="334" t="s">
        <v>1733</v>
      </c>
      <c r="B409" s="380"/>
      <c r="C409" s="334" t="s">
        <v>27</v>
      </c>
      <c r="D409" s="377"/>
      <c r="E409" s="384"/>
      <c r="F409" s="380"/>
      <c r="G409" s="380"/>
      <c r="H409" s="380"/>
      <c r="I409" s="399"/>
      <c r="J409" s="377"/>
      <c r="K409" s="382"/>
      <c r="L409" s="380"/>
      <c r="M409" s="380"/>
      <c r="N409" s="380"/>
      <c r="O409" s="380"/>
      <c r="P409" s="380"/>
      <c r="Q409" s="380"/>
    </row>
    <row r="410" spans="1:17" x14ac:dyDescent="0.2">
      <c r="A410" s="384" t="s">
        <v>1569</v>
      </c>
      <c r="B410" s="380"/>
      <c r="C410" s="334" t="s">
        <v>1888</v>
      </c>
      <c r="D410" s="380"/>
      <c r="E410" s="384"/>
      <c r="F410" s="380"/>
      <c r="G410" s="380"/>
      <c r="H410" s="380"/>
      <c r="I410" s="399"/>
      <c r="J410" s="380">
        <v>200</v>
      </c>
      <c r="K410" s="382"/>
      <c r="L410" s="380"/>
      <c r="M410" s="380"/>
      <c r="N410" s="380"/>
      <c r="O410" s="380"/>
      <c r="P410" s="380"/>
      <c r="Q410" s="380"/>
    </row>
    <row r="411" spans="1:17" x14ac:dyDescent="0.2">
      <c r="A411" s="334" t="s">
        <v>1724</v>
      </c>
      <c r="B411" s="380"/>
      <c r="C411" s="334" t="s">
        <v>1881</v>
      </c>
      <c r="D411" s="380"/>
      <c r="E411" s="384"/>
      <c r="F411" s="380"/>
      <c r="G411" s="380"/>
      <c r="H411" s="380"/>
      <c r="I411" s="399"/>
      <c r="J411" s="380">
        <v>2000</v>
      </c>
      <c r="K411" s="382"/>
      <c r="L411" s="380"/>
      <c r="M411" s="380"/>
      <c r="N411" s="380"/>
      <c r="O411" s="380"/>
      <c r="P411" s="380"/>
      <c r="Q411" s="380"/>
    </row>
    <row r="412" spans="1:17" x14ac:dyDescent="0.2">
      <c r="A412" s="334" t="s">
        <v>1736</v>
      </c>
      <c r="B412" s="380"/>
      <c r="C412" s="334" t="s">
        <v>1747</v>
      </c>
      <c r="D412" s="380"/>
      <c r="E412" s="384"/>
      <c r="F412" s="380"/>
      <c r="G412" s="380"/>
      <c r="H412" s="380"/>
      <c r="I412" s="399"/>
      <c r="J412" s="380"/>
      <c r="K412" s="382"/>
      <c r="L412" s="380"/>
      <c r="M412" s="380"/>
      <c r="N412" s="380"/>
      <c r="O412" s="380"/>
      <c r="P412" s="380"/>
      <c r="Q412" s="380"/>
    </row>
    <row r="413" spans="1:17" x14ac:dyDescent="0.2">
      <c r="A413" s="334" t="s">
        <v>1744</v>
      </c>
      <c r="B413" s="380"/>
      <c r="C413" s="334" t="s">
        <v>1254</v>
      </c>
      <c r="D413" s="380"/>
      <c r="E413" s="384"/>
      <c r="F413" s="380"/>
      <c r="G413" s="380"/>
      <c r="H413" s="380"/>
      <c r="I413" s="399"/>
      <c r="J413" s="380">
        <v>100</v>
      </c>
      <c r="K413" s="382"/>
      <c r="L413" s="380"/>
      <c r="M413" s="380"/>
      <c r="N413" s="380"/>
      <c r="O413" s="380"/>
      <c r="P413" s="380"/>
      <c r="Q413" s="380"/>
    </row>
    <row r="414" spans="1:17" x14ac:dyDescent="0.2">
      <c r="A414" s="384" t="s">
        <v>1582</v>
      </c>
      <c r="B414" s="380"/>
      <c r="C414" s="334" t="s">
        <v>3135</v>
      </c>
      <c r="D414" s="380"/>
      <c r="E414" s="384"/>
      <c r="F414" s="380"/>
      <c r="G414" s="380"/>
      <c r="H414" s="380"/>
      <c r="I414" s="399"/>
      <c r="J414" s="380">
        <v>200</v>
      </c>
      <c r="K414" s="382"/>
      <c r="L414" s="380"/>
      <c r="M414" s="380"/>
      <c r="N414" s="380"/>
      <c r="O414" s="380"/>
      <c r="P414" s="380"/>
      <c r="Q414" s="380"/>
    </row>
    <row r="415" spans="1:17" x14ac:dyDescent="0.2">
      <c r="A415" s="384" t="s">
        <v>1575</v>
      </c>
      <c r="B415" s="380"/>
      <c r="C415" s="334" t="s">
        <v>1889</v>
      </c>
      <c r="D415" s="380"/>
      <c r="E415" s="384"/>
      <c r="F415" s="380"/>
      <c r="G415" s="380"/>
      <c r="H415" s="380"/>
      <c r="I415" s="399"/>
      <c r="J415" s="380">
        <v>150</v>
      </c>
      <c r="K415" s="382"/>
      <c r="L415" s="380"/>
      <c r="M415" s="380"/>
      <c r="N415" s="380"/>
      <c r="O415" s="380"/>
      <c r="P415" s="380"/>
      <c r="Q415" s="380"/>
    </row>
    <row r="416" spans="1:17" x14ac:dyDescent="0.2">
      <c r="A416" s="334" t="s">
        <v>1725</v>
      </c>
      <c r="B416" s="380"/>
      <c r="C416" s="334" t="s">
        <v>1890</v>
      </c>
      <c r="D416" s="380"/>
      <c r="E416" s="384"/>
      <c r="F416" s="380"/>
      <c r="G416" s="380"/>
      <c r="H416" s="380"/>
      <c r="I416" s="399"/>
      <c r="J416" s="380">
        <v>100</v>
      </c>
      <c r="K416" s="382"/>
      <c r="L416" s="380"/>
      <c r="M416" s="380"/>
      <c r="N416" s="380"/>
      <c r="O416" s="380"/>
      <c r="P416" s="380"/>
      <c r="Q416" s="380"/>
    </row>
    <row r="417" spans="1:17" x14ac:dyDescent="0.2">
      <c r="A417" s="384" t="s">
        <v>1745</v>
      </c>
      <c r="B417" s="380"/>
      <c r="C417" s="334" t="s">
        <v>1887</v>
      </c>
      <c r="D417" s="380"/>
      <c r="E417" s="384"/>
      <c r="F417" s="380"/>
      <c r="G417" s="380"/>
      <c r="H417" s="380"/>
      <c r="I417" s="399"/>
      <c r="J417" s="380">
        <v>50</v>
      </c>
      <c r="K417" s="382"/>
      <c r="L417" s="380"/>
      <c r="M417" s="380"/>
      <c r="N417" s="380"/>
      <c r="O417" s="380"/>
      <c r="P417" s="380"/>
      <c r="Q417" s="380"/>
    </row>
    <row r="418" spans="1:17" x14ac:dyDescent="0.2">
      <c r="A418" s="334" t="s">
        <v>1565</v>
      </c>
      <c r="B418" s="380"/>
      <c r="C418" s="334" t="s">
        <v>1927</v>
      </c>
      <c r="D418" s="380"/>
      <c r="E418" s="384"/>
      <c r="F418" s="380"/>
      <c r="G418" s="380"/>
      <c r="H418" s="380"/>
      <c r="I418" s="399"/>
      <c r="J418" s="380"/>
      <c r="K418" s="382"/>
      <c r="L418" s="380"/>
      <c r="M418" s="380"/>
      <c r="N418" s="380"/>
      <c r="O418" s="380"/>
      <c r="P418" s="380"/>
      <c r="Q418" s="380"/>
    </row>
    <row r="419" spans="1:17" x14ac:dyDescent="0.2">
      <c r="A419" s="334" t="s">
        <v>1737</v>
      </c>
      <c r="B419" s="380"/>
      <c r="C419" s="334" t="s">
        <v>1928</v>
      </c>
      <c r="D419" s="380"/>
      <c r="E419" s="384"/>
      <c r="F419" s="380"/>
      <c r="G419" s="380"/>
      <c r="H419" s="380"/>
      <c r="I419" s="399"/>
      <c r="J419" s="380">
        <v>300</v>
      </c>
      <c r="K419" s="382"/>
      <c r="L419" s="380"/>
      <c r="M419" s="380"/>
      <c r="N419" s="380"/>
      <c r="O419" s="380"/>
      <c r="P419" s="380"/>
      <c r="Q419" s="380"/>
    </row>
    <row r="420" spans="1:17" x14ac:dyDescent="0.2">
      <c r="A420" s="334" t="s">
        <v>1726</v>
      </c>
      <c r="B420" s="380"/>
      <c r="C420" s="334" t="s">
        <v>1117</v>
      </c>
      <c r="D420" s="380"/>
      <c r="E420" s="384"/>
      <c r="F420" s="380"/>
      <c r="G420" s="380"/>
      <c r="H420" s="380"/>
      <c r="I420" s="399"/>
      <c r="J420" s="380">
        <v>200</v>
      </c>
      <c r="K420" s="382"/>
      <c r="L420" s="380"/>
      <c r="M420" s="380"/>
      <c r="N420" s="380"/>
      <c r="O420" s="380"/>
      <c r="P420" s="380"/>
      <c r="Q420" s="380"/>
    </row>
    <row r="421" spans="1:17" x14ac:dyDescent="0.2">
      <c r="A421" s="334" t="s">
        <v>1734</v>
      </c>
      <c r="B421" s="380"/>
      <c r="C421" s="334" t="s">
        <v>1746</v>
      </c>
      <c r="D421" s="380"/>
      <c r="E421" s="384"/>
      <c r="F421" s="380"/>
      <c r="G421" s="380"/>
      <c r="H421" s="380"/>
      <c r="I421" s="399"/>
      <c r="J421" s="380">
        <v>150</v>
      </c>
      <c r="K421" s="382"/>
      <c r="L421" s="380"/>
      <c r="M421" s="380"/>
      <c r="N421" s="380"/>
      <c r="O421" s="380"/>
      <c r="P421" s="380"/>
      <c r="Q421" s="380"/>
    </row>
    <row r="422" spans="1:17" x14ac:dyDescent="0.2">
      <c r="A422" s="334" t="s">
        <v>1571</v>
      </c>
      <c r="B422" s="380"/>
      <c r="C422" s="334" t="s">
        <v>3</v>
      </c>
      <c r="D422" s="380"/>
      <c r="E422" s="384"/>
      <c r="F422" s="380"/>
      <c r="G422" s="380"/>
      <c r="H422" s="380"/>
      <c r="I422" s="399"/>
      <c r="J422" s="380">
        <v>200</v>
      </c>
      <c r="K422" s="382"/>
      <c r="L422" s="380"/>
      <c r="M422" s="380"/>
      <c r="N422" s="380"/>
      <c r="O422" s="380"/>
      <c r="P422" s="380"/>
      <c r="Q422" s="380"/>
    </row>
    <row r="423" spans="1:17" x14ac:dyDescent="0.2">
      <c r="A423" s="334" t="s">
        <v>1578</v>
      </c>
      <c r="B423" s="380"/>
      <c r="C423" s="334" t="s">
        <v>22</v>
      </c>
      <c r="D423" s="380"/>
      <c r="E423" s="384"/>
      <c r="F423" s="380"/>
      <c r="G423" s="380"/>
      <c r="H423" s="380"/>
      <c r="I423" s="399"/>
      <c r="J423" s="380"/>
      <c r="K423" s="382"/>
      <c r="L423" s="380"/>
      <c r="M423" s="380"/>
      <c r="N423" s="380"/>
      <c r="O423" s="380"/>
      <c r="P423" s="380"/>
      <c r="Q423" s="380"/>
    </row>
    <row r="424" spans="1:17" x14ac:dyDescent="0.2">
      <c r="A424" s="334" t="s">
        <v>1738</v>
      </c>
      <c r="B424" s="380"/>
      <c r="C424" s="334" t="s">
        <v>1591</v>
      </c>
      <c r="D424" s="380"/>
      <c r="E424" s="384"/>
      <c r="F424" s="380"/>
      <c r="G424" s="380"/>
      <c r="H424" s="380"/>
      <c r="I424" s="399"/>
      <c r="J424" s="380">
        <v>100</v>
      </c>
      <c r="K424" s="382"/>
      <c r="L424" s="380"/>
      <c r="M424" s="380"/>
      <c r="N424" s="380"/>
      <c r="O424" s="380"/>
      <c r="P424" s="380"/>
      <c r="Q424" s="380"/>
    </row>
    <row r="425" spans="1:17" x14ac:dyDescent="0.2">
      <c r="A425" s="334" t="s">
        <v>1727</v>
      </c>
      <c r="B425" s="380"/>
      <c r="C425" s="334" t="s">
        <v>307</v>
      </c>
      <c r="D425" s="380"/>
      <c r="E425" s="384"/>
      <c r="F425" s="380"/>
      <c r="G425" s="380"/>
      <c r="H425" s="380"/>
      <c r="I425" s="399"/>
      <c r="J425" s="380">
        <v>100</v>
      </c>
      <c r="K425" s="382"/>
      <c r="L425" s="380"/>
      <c r="M425" s="380"/>
      <c r="N425" s="380"/>
      <c r="O425" s="380"/>
      <c r="P425" s="380"/>
      <c r="Q425" s="380"/>
    </row>
    <row r="426" spans="1:17" x14ac:dyDescent="0.2">
      <c r="A426" s="334" t="s">
        <v>1728</v>
      </c>
      <c r="B426" s="380"/>
      <c r="C426" s="334" t="s">
        <v>310</v>
      </c>
      <c r="D426" s="380"/>
      <c r="E426" s="384"/>
      <c r="F426" s="380"/>
      <c r="G426" s="380"/>
      <c r="H426" s="380"/>
      <c r="I426" s="399"/>
      <c r="J426" s="380">
        <v>100</v>
      </c>
      <c r="K426" s="382"/>
      <c r="L426" s="380"/>
      <c r="M426" s="380"/>
      <c r="N426" s="380"/>
      <c r="O426" s="380"/>
      <c r="P426" s="380"/>
      <c r="Q426" s="380"/>
    </row>
    <row r="427" spans="1:17" x14ac:dyDescent="0.2">
      <c r="A427" s="334" t="s">
        <v>1729</v>
      </c>
      <c r="B427" s="380"/>
      <c r="C427" s="380" t="s">
        <v>1551</v>
      </c>
      <c r="D427" s="380"/>
      <c r="E427" s="384"/>
      <c r="F427" s="380"/>
      <c r="G427" s="380"/>
      <c r="H427" s="380"/>
      <c r="I427" s="399"/>
      <c r="J427" s="380">
        <v>50</v>
      </c>
      <c r="K427" s="382"/>
      <c r="L427" s="380"/>
      <c r="M427" s="380"/>
      <c r="N427" s="380"/>
      <c r="O427" s="380"/>
      <c r="P427" s="380"/>
      <c r="Q427" s="380"/>
    </row>
    <row r="428" spans="1:17" x14ac:dyDescent="0.2">
      <c r="A428" s="334" t="s">
        <v>1735</v>
      </c>
      <c r="B428" s="380"/>
      <c r="C428" s="380" t="s">
        <v>194</v>
      </c>
      <c r="D428" s="380"/>
      <c r="E428" s="384"/>
      <c r="F428" s="380"/>
      <c r="G428" s="380"/>
      <c r="H428" s="380"/>
      <c r="I428" s="399"/>
      <c r="J428" s="380">
        <v>50</v>
      </c>
      <c r="K428" s="382"/>
      <c r="L428" s="380"/>
      <c r="M428" s="380"/>
      <c r="N428" s="380"/>
      <c r="O428" s="380"/>
      <c r="P428" s="380"/>
      <c r="Q428" s="380"/>
    </row>
    <row r="429" spans="1:17" x14ac:dyDescent="0.2">
      <c r="A429" s="384" t="s">
        <v>1754</v>
      </c>
      <c r="B429" s="380"/>
      <c r="C429" s="334" t="s">
        <v>1929</v>
      </c>
      <c r="D429" s="380"/>
      <c r="E429" s="384"/>
      <c r="F429" s="380"/>
      <c r="G429" s="380"/>
      <c r="H429" s="380"/>
      <c r="I429" s="399"/>
      <c r="J429" s="380"/>
      <c r="K429" s="382"/>
      <c r="L429" s="380"/>
      <c r="M429" s="380"/>
      <c r="N429" s="380"/>
      <c r="O429" s="380"/>
      <c r="P429" s="380"/>
      <c r="Q429" s="380"/>
    </row>
    <row r="430" spans="1:17" x14ac:dyDescent="0.2">
      <c r="A430" s="334" t="s">
        <v>1584</v>
      </c>
      <c r="B430" s="380"/>
      <c r="C430" s="334" t="s">
        <v>0</v>
      </c>
      <c r="D430" s="380"/>
      <c r="E430" s="384"/>
      <c r="F430" s="380"/>
      <c r="G430" s="380"/>
      <c r="H430" s="380"/>
      <c r="I430" s="399"/>
      <c r="J430" s="380">
        <v>40</v>
      </c>
      <c r="K430" s="382"/>
      <c r="L430" s="380"/>
      <c r="M430" s="380"/>
      <c r="N430" s="380"/>
      <c r="O430" s="380"/>
      <c r="P430" s="380"/>
      <c r="Q430" s="380"/>
    </row>
    <row r="431" spans="1:17" x14ac:dyDescent="0.2">
      <c r="A431" s="334" t="s">
        <v>1572</v>
      </c>
      <c r="B431" s="380"/>
      <c r="C431" s="334" t="s">
        <v>3134</v>
      </c>
      <c r="D431" s="380"/>
      <c r="E431" s="384"/>
      <c r="F431" s="380"/>
      <c r="G431" s="380"/>
      <c r="H431" s="380"/>
      <c r="I431" s="399"/>
      <c r="J431" s="380">
        <v>25</v>
      </c>
      <c r="K431" s="382"/>
      <c r="L431" s="380"/>
      <c r="M431" s="380"/>
      <c r="N431" s="380"/>
      <c r="O431" s="380"/>
      <c r="P431" s="380"/>
      <c r="Q431" s="380"/>
    </row>
    <row r="432" spans="1:17" x14ac:dyDescent="0.2">
      <c r="A432" s="334" t="s">
        <v>1730</v>
      </c>
      <c r="B432" s="380"/>
      <c r="C432" s="334" t="s">
        <v>1985</v>
      </c>
      <c r="D432" s="380"/>
      <c r="E432" s="384"/>
      <c r="F432" s="380"/>
      <c r="G432" s="380"/>
      <c r="H432" s="380"/>
      <c r="I432" s="399"/>
      <c r="J432" s="380">
        <v>100</v>
      </c>
      <c r="K432" s="382"/>
      <c r="L432" s="380"/>
      <c r="M432" s="380"/>
      <c r="N432" s="380"/>
      <c r="O432" s="380"/>
      <c r="P432" s="380"/>
      <c r="Q432" s="380"/>
    </row>
    <row r="433" spans="1:17" x14ac:dyDescent="0.2">
      <c r="A433" s="334" t="s">
        <v>1566</v>
      </c>
      <c r="B433" s="380"/>
      <c r="C433" s="334" t="s">
        <v>366</v>
      </c>
      <c r="D433" s="380"/>
      <c r="E433" s="384"/>
      <c r="F433" s="380"/>
      <c r="G433" s="380"/>
      <c r="H433" s="380"/>
      <c r="I433" s="399"/>
      <c r="J433" s="380"/>
      <c r="K433" s="382"/>
      <c r="L433" s="380"/>
      <c r="M433" s="380"/>
      <c r="N433" s="380"/>
      <c r="O433" s="380"/>
      <c r="P433" s="380"/>
      <c r="Q433" s="380"/>
    </row>
    <row r="434" spans="1:17" x14ac:dyDescent="0.2">
      <c r="A434" s="380"/>
      <c r="B434" s="380"/>
      <c r="C434" s="380"/>
      <c r="D434" s="394"/>
      <c r="E434" s="380"/>
      <c r="F434" s="380"/>
      <c r="G434" s="380"/>
      <c r="H434" s="380"/>
      <c r="I434" s="383"/>
      <c r="J434" s="394"/>
      <c r="K434" s="382"/>
      <c r="L434" s="380"/>
      <c r="M434" s="380"/>
      <c r="N434" s="380"/>
      <c r="O434" s="380"/>
      <c r="P434" s="380"/>
      <c r="Q434" s="380"/>
    </row>
    <row r="435" spans="1:17" x14ac:dyDescent="0.2">
      <c r="A435" s="380"/>
      <c r="B435" s="380"/>
      <c r="C435" s="380"/>
      <c r="D435" s="334">
        <f>SUM(D409:D433)</f>
        <v>0</v>
      </c>
      <c r="E435" s="380"/>
      <c r="F435" s="380"/>
      <c r="G435" s="380"/>
      <c r="H435" s="380"/>
      <c r="I435" s="383"/>
      <c r="J435" s="334">
        <f>SUM(J409:J433)</f>
        <v>4215</v>
      </c>
      <c r="K435" s="382"/>
      <c r="L435" s="380"/>
      <c r="M435" s="380"/>
      <c r="N435" s="380"/>
      <c r="O435" s="380"/>
      <c r="P435" s="380"/>
      <c r="Q435" s="380"/>
    </row>
    <row r="436" spans="1:17" ht="15.75" thickTop="1" x14ac:dyDescent="0.2">
      <c r="A436" s="380"/>
      <c r="B436" s="380"/>
      <c r="C436" s="380"/>
      <c r="D436" s="395">
        <f>D435-D409</f>
        <v>0</v>
      </c>
      <c r="E436" s="380"/>
      <c r="F436" s="380"/>
      <c r="G436" s="380"/>
      <c r="H436" s="380"/>
      <c r="I436" s="383"/>
      <c r="J436" s="395">
        <f>J435-J409</f>
        <v>4215</v>
      </c>
      <c r="K436" s="382"/>
      <c r="L436" s="380"/>
      <c r="M436" s="380"/>
      <c r="N436" s="380"/>
      <c r="O436" s="380"/>
      <c r="P436" s="380"/>
      <c r="Q436" s="380"/>
    </row>
    <row r="437" spans="1:17" ht="15.75" x14ac:dyDescent="0.25">
      <c r="A437" s="377"/>
      <c r="B437" s="377"/>
      <c r="C437" s="377"/>
      <c r="D437" s="377"/>
      <c r="E437" s="377"/>
      <c r="F437" s="377"/>
      <c r="G437" s="377"/>
      <c r="H437" s="377"/>
      <c r="I437" s="397"/>
      <c r="J437" s="377"/>
      <c r="K437" s="382"/>
      <c r="L437" s="380"/>
      <c r="M437" s="380"/>
      <c r="N437" s="380"/>
      <c r="O437" s="380"/>
      <c r="P437" s="380"/>
      <c r="Q437" s="380"/>
    </row>
    <row r="438" spans="1:17" x14ac:dyDescent="0.2">
      <c r="A438" s="380"/>
      <c r="B438" s="380"/>
      <c r="C438" s="380"/>
      <c r="D438" s="380"/>
      <c r="E438" s="380"/>
      <c r="F438" s="380"/>
      <c r="G438" s="380"/>
      <c r="H438" s="380"/>
      <c r="I438" s="383"/>
      <c r="J438" s="380"/>
      <c r="K438" s="382"/>
      <c r="L438" s="380"/>
      <c r="M438" s="380"/>
      <c r="N438" s="380"/>
      <c r="O438" s="380"/>
      <c r="P438" s="380"/>
      <c r="Q438" s="380"/>
    </row>
    <row r="439" spans="1:17" x14ac:dyDescent="0.2">
      <c r="A439" s="334" t="s">
        <v>1750</v>
      </c>
      <c r="B439" s="380"/>
      <c r="C439" s="380"/>
      <c r="D439" s="380"/>
      <c r="E439" s="380"/>
      <c r="F439" s="380"/>
      <c r="G439" s="380"/>
      <c r="H439" s="380"/>
      <c r="I439" s="383"/>
      <c r="J439" s="380"/>
      <c r="K439" s="382"/>
      <c r="L439" s="380"/>
      <c r="M439" s="380"/>
      <c r="N439" s="380"/>
      <c r="O439" s="380"/>
      <c r="P439" s="380"/>
      <c r="Q439" s="380"/>
    </row>
    <row r="440" spans="1:17" x14ac:dyDescent="0.2">
      <c r="A440" s="380"/>
      <c r="B440" s="380"/>
      <c r="C440" s="384" t="s">
        <v>436</v>
      </c>
      <c r="D440" s="334" t="s">
        <v>102</v>
      </c>
      <c r="E440" s="380"/>
      <c r="F440" s="380"/>
      <c r="G440" s="380"/>
      <c r="H440" s="380"/>
      <c r="I440" s="383"/>
      <c r="J440" s="334" t="s">
        <v>102</v>
      </c>
      <c r="K440" s="382"/>
      <c r="L440" s="380"/>
      <c r="M440" s="380"/>
      <c r="N440" s="380"/>
      <c r="O440" s="380"/>
      <c r="P440" s="380"/>
      <c r="Q440" s="380"/>
    </row>
    <row r="441" spans="1:17" x14ac:dyDescent="0.2">
      <c r="A441" s="380"/>
      <c r="B441" s="380"/>
      <c r="C441" s="380"/>
      <c r="D441" s="384" t="s">
        <v>3714</v>
      </c>
      <c r="E441" s="334"/>
      <c r="F441" s="380"/>
      <c r="G441" s="380"/>
      <c r="H441" s="380"/>
      <c r="I441" s="383"/>
      <c r="J441" s="384" t="s">
        <v>3714</v>
      </c>
      <c r="K441" s="382"/>
      <c r="L441" s="380"/>
      <c r="M441" s="380"/>
      <c r="N441" s="380"/>
      <c r="O441" s="380"/>
      <c r="P441" s="380"/>
      <c r="Q441" s="380"/>
    </row>
    <row r="442" spans="1:17" x14ac:dyDescent="0.2">
      <c r="A442" s="334" t="s">
        <v>342</v>
      </c>
      <c r="B442" s="380"/>
      <c r="C442" s="334" t="s">
        <v>342</v>
      </c>
      <c r="D442" s="334" t="s">
        <v>342</v>
      </c>
      <c r="E442" s="334"/>
      <c r="F442" s="380"/>
      <c r="G442" s="380"/>
      <c r="H442" s="380"/>
      <c r="I442" s="383"/>
      <c r="J442" s="334" t="s">
        <v>342</v>
      </c>
      <c r="K442" s="382"/>
      <c r="L442" s="380"/>
      <c r="M442" s="380"/>
      <c r="N442" s="380"/>
      <c r="O442" s="380"/>
      <c r="P442" s="380"/>
      <c r="Q442" s="380"/>
    </row>
    <row r="443" spans="1:17" x14ac:dyDescent="0.2">
      <c r="A443" s="334" t="s">
        <v>1723</v>
      </c>
      <c r="B443" s="380"/>
      <c r="C443" s="334" t="s">
        <v>1880</v>
      </c>
      <c r="D443" s="334" t="s">
        <v>181</v>
      </c>
      <c r="E443" s="380"/>
      <c r="F443" s="380"/>
      <c r="G443" s="380"/>
      <c r="H443" s="334" t="s">
        <v>342</v>
      </c>
      <c r="I443" s="383"/>
      <c r="J443" s="334" t="s">
        <v>181</v>
      </c>
      <c r="K443" s="382"/>
      <c r="L443" s="380"/>
      <c r="M443" s="380"/>
      <c r="N443" s="380"/>
      <c r="O443" s="380"/>
      <c r="P443" s="380"/>
      <c r="Q443" s="380"/>
    </row>
    <row r="444" spans="1:17" x14ac:dyDescent="0.2">
      <c r="A444" s="380"/>
      <c r="B444" s="380"/>
      <c r="C444" s="380"/>
      <c r="D444" s="380"/>
      <c r="E444" s="380"/>
      <c r="F444" s="380"/>
      <c r="G444" s="380"/>
      <c r="H444" s="380"/>
      <c r="I444" s="383"/>
      <c r="J444" s="380"/>
      <c r="K444" s="382"/>
      <c r="L444" s="380"/>
      <c r="M444" s="380"/>
      <c r="N444" s="380"/>
      <c r="O444" s="380"/>
      <c r="P444" s="380"/>
      <c r="Q444" s="380"/>
    </row>
    <row r="445" spans="1:17" x14ac:dyDescent="0.2">
      <c r="A445" s="334" t="s">
        <v>1733</v>
      </c>
      <c r="B445" s="380"/>
      <c r="C445" s="334" t="s">
        <v>27</v>
      </c>
      <c r="D445" s="380"/>
      <c r="E445" s="334"/>
      <c r="F445" s="380"/>
      <c r="G445" s="380"/>
      <c r="H445" s="380"/>
      <c r="I445" s="399"/>
      <c r="J445" s="380"/>
      <c r="K445" s="382"/>
      <c r="L445" s="380"/>
      <c r="M445" s="380"/>
      <c r="N445" s="380"/>
      <c r="O445" s="380"/>
      <c r="P445" s="380"/>
      <c r="Q445" s="380"/>
    </row>
    <row r="446" spans="1:17" x14ac:dyDescent="0.2">
      <c r="A446" s="334" t="s">
        <v>1743</v>
      </c>
      <c r="B446" s="380"/>
      <c r="C446" s="334" t="s">
        <v>1886</v>
      </c>
      <c r="D446" s="380"/>
      <c r="E446" s="334"/>
      <c r="F446" s="380"/>
      <c r="G446" s="380"/>
      <c r="H446" s="380"/>
      <c r="I446" s="399"/>
      <c r="J446" s="380"/>
      <c r="K446" s="382"/>
      <c r="L446" s="380"/>
      <c r="M446" s="380"/>
      <c r="N446" s="380"/>
      <c r="O446" s="380"/>
      <c r="P446" s="380"/>
      <c r="Q446" s="380"/>
    </row>
    <row r="447" spans="1:17" x14ac:dyDescent="0.2">
      <c r="A447" s="334" t="s">
        <v>1569</v>
      </c>
      <c r="B447" s="380"/>
      <c r="C447" s="334" t="s">
        <v>1888</v>
      </c>
      <c r="D447" s="380">
        <v>3000</v>
      </c>
      <c r="E447" s="334"/>
      <c r="F447" s="380"/>
      <c r="G447" s="380"/>
      <c r="H447" s="380"/>
      <c r="I447" s="399"/>
      <c r="J447" s="380">
        <v>3000</v>
      </c>
      <c r="K447" s="382"/>
      <c r="L447" s="380"/>
      <c r="M447" s="380"/>
      <c r="N447" s="380"/>
      <c r="O447" s="380"/>
      <c r="P447" s="380"/>
      <c r="Q447" s="380"/>
    </row>
    <row r="448" spans="1:17" x14ac:dyDescent="0.2">
      <c r="A448" s="334" t="s">
        <v>1724</v>
      </c>
      <c r="B448" s="380"/>
      <c r="C448" s="334" t="s">
        <v>1881</v>
      </c>
      <c r="D448" s="380">
        <v>8000</v>
      </c>
      <c r="E448" s="334"/>
      <c r="F448" s="380"/>
      <c r="G448" s="380"/>
      <c r="H448" s="380"/>
      <c r="I448" s="399"/>
      <c r="J448" s="380">
        <v>3500</v>
      </c>
      <c r="K448" s="382"/>
      <c r="L448" s="380"/>
      <c r="M448" s="380"/>
      <c r="N448" s="380"/>
      <c r="O448" s="380"/>
      <c r="P448" s="380"/>
      <c r="Q448" s="380"/>
    </row>
    <row r="449" spans="1:17" x14ac:dyDescent="0.2">
      <c r="A449" s="334" t="s">
        <v>1736</v>
      </c>
      <c r="B449" s="380"/>
      <c r="C449" s="334" t="s">
        <v>1747</v>
      </c>
      <c r="D449" s="380"/>
      <c r="E449" s="334"/>
      <c r="F449" s="380"/>
      <c r="G449" s="380"/>
      <c r="H449" s="380"/>
      <c r="I449" s="399"/>
      <c r="J449" s="380"/>
      <c r="K449" s="382"/>
      <c r="L449" s="380"/>
      <c r="M449" s="380"/>
      <c r="N449" s="380"/>
      <c r="O449" s="380"/>
      <c r="P449" s="380"/>
      <c r="Q449" s="380"/>
    </row>
    <row r="450" spans="1:17" x14ac:dyDescent="0.2">
      <c r="A450" s="334" t="s">
        <v>1744</v>
      </c>
      <c r="B450" s="380"/>
      <c r="C450" s="334" t="s">
        <v>1254</v>
      </c>
      <c r="D450" s="380">
        <v>1000</v>
      </c>
      <c r="E450" s="334"/>
      <c r="F450" s="380"/>
      <c r="G450" s="380"/>
      <c r="H450" s="380"/>
      <c r="I450" s="399"/>
      <c r="J450" s="380">
        <v>1000</v>
      </c>
      <c r="K450" s="382"/>
      <c r="L450" s="380"/>
      <c r="M450" s="380"/>
      <c r="N450" s="380"/>
      <c r="O450" s="380"/>
      <c r="P450" s="380"/>
      <c r="Q450" s="380"/>
    </row>
    <row r="451" spans="1:17" x14ac:dyDescent="0.2">
      <c r="A451" s="334" t="s">
        <v>1725</v>
      </c>
      <c r="B451" s="380"/>
      <c r="C451" s="334" t="s">
        <v>1890</v>
      </c>
      <c r="D451" s="380"/>
      <c r="E451" s="334"/>
      <c r="F451" s="380"/>
      <c r="G451" s="380"/>
      <c r="H451" s="380"/>
      <c r="I451" s="399"/>
      <c r="J451" s="380"/>
      <c r="K451" s="382"/>
      <c r="L451" s="380"/>
      <c r="M451" s="380"/>
      <c r="N451" s="380"/>
      <c r="O451" s="380"/>
      <c r="P451" s="380"/>
      <c r="Q451" s="380"/>
    </row>
    <row r="452" spans="1:17" x14ac:dyDescent="0.2">
      <c r="A452" s="334" t="s">
        <v>1565</v>
      </c>
      <c r="B452" s="380"/>
      <c r="C452" s="334" t="s">
        <v>1927</v>
      </c>
      <c r="D452" s="380"/>
      <c r="E452" s="334"/>
      <c r="F452" s="380"/>
      <c r="G452" s="380"/>
      <c r="H452" s="380"/>
      <c r="I452" s="399"/>
      <c r="J452" s="380"/>
      <c r="K452" s="382"/>
      <c r="L452" s="380"/>
      <c r="M452" s="380"/>
      <c r="N452" s="380"/>
      <c r="O452" s="380"/>
      <c r="P452" s="380"/>
      <c r="Q452" s="380"/>
    </row>
    <row r="453" spans="1:17" x14ac:dyDescent="0.2">
      <c r="A453" s="334" t="s">
        <v>1737</v>
      </c>
      <c r="B453" s="380"/>
      <c r="C453" s="334" t="s">
        <v>1928</v>
      </c>
      <c r="D453" s="380"/>
      <c r="E453" s="334"/>
      <c r="F453" s="380"/>
      <c r="G453" s="380"/>
      <c r="H453" s="380"/>
      <c r="I453" s="399"/>
      <c r="J453" s="380"/>
      <c r="K453" s="382"/>
      <c r="L453" s="380"/>
      <c r="M453" s="380"/>
      <c r="N453" s="380"/>
      <c r="O453" s="380"/>
      <c r="P453" s="380"/>
      <c r="Q453" s="380"/>
    </row>
    <row r="454" spans="1:17" x14ac:dyDescent="0.2">
      <c r="A454" s="334" t="s">
        <v>1726</v>
      </c>
      <c r="B454" s="380"/>
      <c r="C454" s="334" t="s">
        <v>1117</v>
      </c>
      <c r="D454" s="380">
        <v>500</v>
      </c>
      <c r="E454" s="334"/>
      <c r="F454" s="380"/>
      <c r="G454" s="380"/>
      <c r="H454" s="380"/>
      <c r="I454" s="399"/>
      <c r="J454" s="380">
        <v>500</v>
      </c>
      <c r="K454" s="382"/>
      <c r="L454" s="380"/>
      <c r="M454" s="380"/>
      <c r="N454" s="380"/>
      <c r="O454" s="380"/>
      <c r="P454" s="380"/>
      <c r="Q454" s="380"/>
    </row>
    <row r="455" spans="1:17" x14ac:dyDescent="0.2">
      <c r="A455" s="334" t="s">
        <v>1751</v>
      </c>
      <c r="B455" s="380"/>
      <c r="C455" s="334" t="s">
        <v>3138</v>
      </c>
      <c r="D455" s="380"/>
      <c r="E455" s="334"/>
      <c r="F455" s="380"/>
      <c r="G455" s="380"/>
      <c r="H455" s="380"/>
      <c r="I455" s="399"/>
      <c r="J455" s="380"/>
      <c r="K455" s="382"/>
      <c r="L455" s="380"/>
      <c r="M455" s="380"/>
      <c r="N455" s="380"/>
      <c r="O455" s="380"/>
      <c r="P455" s="380"/>
      <c r="Q455" s="380"/>
    </row>
    <row r="456" spans="1:17" x14ac:dyDescent="0.2">
      <c r="A456" s="334" t="s">
        <v>1752</v>
      </c>
      <c r="B456" s="380"/>
      <c r="C456" s="334" t="s">
        <v>367</v>
      </c>
      <c r="D456" s="380"/>
      <c r="E456" s="334"/>
      <c r="F456" s="380"/>
      <c r="G456" s="380"/>
      <c r="H456" s="380"/>
      <c r="I456" s="399"/>
      <c r="J456" s="380"/>
      <c r="K456" s="382"/>
      <c r="L456" s="380"/>
      <c r="M456" s="380"/>
      <c r="N456" s="380"/>
      <c r="O456" s="380"/>
      <c r="P456" s="380"/>
      <c r="Q456" s="380"/>
    </row>
    <row r="457" spans="1:17" x14ac:dyDescent="0.2">
      <c r="A457" s="334" t="s">
        <v>1577</v>
      </c>
      <c r="B457" s="380"/>
      <c r="C457" s="334" t="s">
        <v>1815</v>
      </c>
      <c r="D457" s="380"/>
      <c r="E457" s="334"/>
      <c r="F457" s="380"/>
      <c r="G457" s="380"/>
      <c r="H457" s="380"/>
      <c r="I457" s="399"/>
      <c r="J457" s="380"/>
      <c r="K457" s="382"/>
      <c r="L457" s="380"/>
      <c r="M457" s="380"/>
      <c r="N457" s="380"/>
      <c r="O457" s="380"/>
      <c r="P457" s="380"/>
      <c r="Q457" s="380"/>
    </row>
    <row r="458" spans="1:17" x14ac:dyDescent="0.2">
      <c r="A458" s="334" t="s">
        <v>1753</v>
      </c>
      <c r="B458" s="380"/>
      <c r="C458" s="334" t="s">
        <v>1816</v>
      </c>
      <c r="D458" s="380"/>
      <c r="E458" s="334"/>
      <c r="F458" s="380"/>
      <c r="G458" s="380"/>
      <c r="H458" s="380"/>
      <c r="I458" s="399"/>
      <c r="J458" s="380"/>
      <c r="K458" s="382"/>
      <c r="L458" s="380"/>
      <c r="M458" s="380"/>
      <c r="N458" s="380"/>
      <c r="O458" s="380"/>
      <c r="P458" s="380"/>
      <c r="Q458" s="380"/>
    </row>
    <row r="459" spans="1:17" x14ac:dyDescent="0.2">
      <c r="A459" s="334" t="s">
        <v>1734</v>
      </c>
      <c r="B459" s="380"/>
      <c r="C459" s="334" t="s">
        <v>1746</v>
      </c>
      <c r="D459" s="380"/>
      <c r="E459" s="334"/>
      <c r="F459" s="380"/>
      <c r="G459" s="380"/>
      <c r="H459" s="380"/>
      <c r="I459" s="399"/>
      <c r="J459" s="380"/>
      <c r="K459" s="382"/>
      <c r="L459" s="380"/>
      <c r="M459" s="380"/>
      <c r="N459" s="380"/>
      <c r="O459" s="380"/>
      <c r="P459" s="380"/>
      <c r="Q459" s="380"/>
    </row>
    <row r="460" spans="1:17" x14ac:dyDescent="0.2">
      <c r="A460" s="334" t="s">
        <v>1571</v>
      </c>
      <c r="B460" s="380"/>
      <c r="C460" s="334" t="s">
        <v>3</v>
      </c>
      <c r="D460" s="380"/>
      <c r="E460" s="334"/>
      <c r="F460" s="380"/>
      <c r="G460" s="380"/>
      <c r="H460" s="380"/>
      <c r="I460" s="399"/>
      <c r="J460" s="380"/>
      <c r="K460" s="382"/>
      <c r="L460" s="380"/>
      <c r="M460" s="380"/>
      <c r="N460" s="380"/>
      <c r="O460" s="380"/>
      <c r="P460" s="380"/>
      <c r="Q460" s="380"/>
    </row>
    <row r="461" spans="1:17" x14ac:dyDescent="0.2">
      <c r="A461" s="334" t="s">
        <v>1738</v>
      </c>
      <c r="B461" s="380"/>
      <c r="C461" s="334" t="s">
        <v>1591</v>
      </c>
      <c r="D461" s="380"/>
      <c r="E461" s="334"/>
      <c r="F461" s="380"/>
      <c r="G461" s="380"/>
      <c r="H461" s="380"/>
      <c r="I461" s="399"/>
      <c r="J461" s="380"/>
      <c r="K461" s="382"/>
      <c r="L461" s="380"/>
      <c r="M461" s="380"/>
      <c r="N461" s="380"/>
      <c r="O461" s="380"/>
      <c r="P461" s="380"/>
      <c r="Q461" s="380"/>
    </row>
    <row r="462" spans="1:17" x14ac:dyDescent="0.2">
      <c r="A462" s="334" t="s">
        <v>1727</v>
      </c>
      <c r="B462" s="380"/>
      <c r="C462" s="334" t="s">
        <v>307</v>
      </c>
      <c r="D462" s="380">
        <v>200</v>
      </c>
      <c r="E462" s="334"/>
      <c r="F462" s="380"/>
      <c r="G462" s="380"/>
      <c r="H462" s="380"/>
      <c r="I462" s="399"/>
      <c r="J462" s="380">
        <v>200</v>
      </c>
      <c r="K462" s="382"/>
      <c r="L462" s="380"/>
      <c r="M462" s="380"/>
      <c r="N462" s="380"/>
      <c r="O462" s="380"/>
      <c r="P462" s="380"/>
      <c r="Q462" s="380"/>
    </row>
    <row r="463" spans="1:17" x14ac:dyDescent="0.2">
      <c r="A463" s="334" t="s">
        <v>1728</v>
      </c>
      <c r="B463" s="380"/>
      <c r="C463" s="334" t="s">
        <v>310</v>
      </c>
      <c r="D463" s="380">
        <v>600</v>
      </c>
      <c r="E463" s="334"/>
      <c r="F463" s="380"/>
      <c r="G463" s="380"/>
      <c r="H463" s="380"/>
      <c r="I463" s="399"/>
      <c r="J463" s="380">
        <v>600</v>
      </c>
      <c r="K463" s="382"/>
      <c r="L463" s="380"/>
      <c r="M463" s="380"/>
      <c r="N463" s="380"/>
      <c r="O463" s="380"/>
      <c r="P463" s="380"/>
      <c r="Q463" s="380"/>
    </row>
    <row r="464" spans="1:17" x14ac:dyDescent="0.2">
      <c r="A464" s="334" t="s">
        <v>1729</v>
      </c>
      <c r="B464" s="380"/>
      <c r="C464" s="380" t="s">
        <v>1551</v>
      </c>
      <c r="D464" s="380">
        <v>-4160</v>
      </c>
      <c r="E464" s="334"/>
      <c r="F464" s="380"/>
      <c r="G464" s="380"/>
      <c r="H464" s="380"/>
      <c r="I464" s="399"/>
      <c r="J464" s="380">
        <v>3000</v>
      </c>
      <c r="K464" s="382"/>
      <c r="L464" s="380"/>
      <c r="M464" s="380"/>
      <c r="N464" s="380"/>
      <c r="O464" s="380"/>
      <c r="P464" s="380"/>
      <c r="Q464" s="380"/>
    </row>
    <row r="465" spans="1:17" x14ac:dyDescent="0.2">
      <c r="A465" s="334" t="s">
        <v>1735</v>
      </c>
      <c r="B465" s="380"/>
      <c r="C465" s="380" t="s">
        <v>194</v>
      </c>
      <c r="D465" s="380"/>
      <c r="E465" s="334"/>
      <c r="F465" s="380"/>
      <c r="G465" s="380"/>
      <c r="H465" s="380"/>
      <c r="I465" s="399"/>
      <c r="J465" s="380"/>
      <c r="K465" s="382"/>
      <c r="L465" s="380"/>
      <c r="M465" s="380"/>
      <c r="N465" s="380"/>
      <c r="O465" s="380"/>
      <c r="P465" s="380"/>
      <c r="Q465" s="380"/>
    </row>
    <row r="466" spans="1:17" x14ac:dyDescent="0.2">
      <c r="A466" s="334" t="s">
        <v>1741</v>
      </c>
      <c r="B466" s="380"/>
      <c r="C466" s="334" t="s">
        <v>1748</v>
      </c>
      <c r="D466" s="380"/>
      <c r="E466" s="334"/>
      <c r="F466" s="380"/>
      <c r="G466" s="380"/>
      <c r="H466" s="380"/>
      <c r="I466" s="399"/>
      <c r="J466" s="380"/>
      <c r="K466" s="382"/>
      <c r="L466" s="380"/>
      <c r="M466" s="380"/>
      <c r="N466" s="380"/>
      <c r="O466" s="380"/>
      <c r="P466" s="380"/>
      <c r="Q466" s="380"/>
    </row>
    <row r="467" spans="1:17" x14ac:dyDescent="0.2">
      <c r="A467" s="334" t="s">
        <v>1742</v>
      </c>
      <c r="B467" s="380"/>
      <c r="C467" s="334" t="s">
        <v>1553</v>
      </c>
      <c r="D467" s="380"/>
      <c r="E467" s="334"/>
      <c r="F467" s="380"/>
      <c r="G467" s="380"/>
      <c r="H467" s="380"/>
      <c r="I467" s="399"/>
      <c r="J467" s="380"/>
      <c r="K467" s="382"/>
      <c r="L467" s="380"/>
      <c r="M467" s="380"/>
      <c r="N467" s="380"/>
      <c r="O467" s="380"/>
      <c r="P467" s="380"/>
      <c r="Q467" s="380"/>
    </row>
    <row r="468" spans="1:17" x14ac:dyDescent="0.2">
      <c r="A468" s="334" t="s">
        <v>1754</v>
      </c>
      <c r="B468" s="380"/>
      <c r="C468" s="334" t="s">
        <v>1929</v>
      </c>
      <c r="D468" s="380">
        <v>5000</v>
      </c>
      <c r="E468" s="334"/>
      <c r="F468" s="380"/>
      <c r="G468" s="380"/>
      <c r="H468" s="380"/>
      <c r="I468" s="399"/>
      <c r="J468" s="380"/>
      <c r="K468" s="382"/>
      <c r="L468" s="380"/>
      <c r="M468" s="380"/>
      <c r="N468" s="380"/>
      <c r="O468" s="380"/>
      <c r="P468" s="380"/>
      <c r="Q468" s="380"/>
    </row>
    <row r="469" spans="1:17" x14ac:dyDescent="0.2">
      <c r="A469" s="334" t="s">
        <v>1584</v>
      </c>
      <c r="B469" s="380"/>
      <c r="C469" s="334" t="s">
        <v>0</v>
      </c>
      <c r="D469" s="380"/>
      <c r="E469" s="334"/>
      <c r="F469" s="380"/>
      <c r="G469" s="380"/>
      <c r="H469" s="380"/>
      <c r="I469" s="399"/>
      <c r="J469" s="380"/>
      <c r="K469" s="382"/>
      <c r="L469" s="380"/>
      <c r="M469" s="380"/>
      <c r="N469" s="380"/>
      <c r="O469" s="380"/>
      <c r="P469" s="380"/>
      <c r="Q469" s="380"/>
    </row>
    <row r="470" spans="1:17" x14ac:dyDescent="0.2">
      <c r="A470" s="334" t="s">
        <v>1580</v>
      </c>
      <c r="B470" s="380"/>
      <c r="C470" s="334" t="s">
        <v>1936</v>
      </c>
      <c r="D470" s="380"/>
      <c r="E470" s="334"/>
      <c r="F470" s="380"/>
      <c r="G470" s="380"/>
      <c r="H470" s="380"/>
      <c r="I470" s="399"/>
      <c r="J470" s="380"/>
      <c r="K470" s="382"/>
      <c r="L470" s="380"/>
      <c r="M470" s="380"/>
      <c r="N470" s="380"/>
      <c r="O470" s="380"/>
      <c r="P470" s="380"/>
      <c r="Q470" s="380"/>
    </row>
    <row r="471" spans="1:17" x14ac:dyDescent="0.2">
      <c r="A471" s="334" t="s">
        <v>1572</v>
      </c>
      <c r="B471" s="380"/>
      <c r="C471" s="334" t="s">
        <v>3134</v>
      </c>
      <c r="D471" s="380"/>
      <c r="E471" s="334"/>
      <c r="F471" s="380"/>
      <c r="G471" s="380"/>
      <c r="H471" s="380"/>
      <c r="I471" s="399"/>
      <c r="J471" s="380"/>
      <c r="K471" s="382"/>
      <c r="L471" s="380"/>
      <c r="M471" s="380"/>
      <c r="N471" s="380"/>
      <c r="O471" s="380"/>
      <c r="P471" s="380"/>
      <c r="Q471" s="380"/>
    </row>
    <row r="472" spans="1:17" x14ac:dyDescent="0.2">
      <c r="A472" s="334" t="s">
        <v>1730</v>
      </c>
      <c r="B472" s="380"/>
      <c r="C472" s="334" t="s">
        <v>1985</v>
      </c>
      <c r="D472" s="380"/>
      <c r="E472" s="334"/>
      <c r="F472" s="380"/>
      <c r="G472" s="380"/>
      <c r="H472" s="380"/>
      <c r="I472" s="399"/>
      <c r="J472" s="380"/>
      <c r="K472" s="382"/>
      <c r="L472" s="380"/>
      <c r="M472" s="380"/>
      <c r="N472" s="380"/>
      <c r="O472" s="380"/>
      <c r="P472" s="380"/>
      <c r="Q472" s="380"/>
    </row>
    <row r="473" spans="1:17" x14ac:dyDescent="0.2">
      <c r="A473" s="334" t="s">
        <v>1566</v>
      </c>
      <c r="B473" s="380"/>
      <c r="C473" s="334" t="s">
        <v>366</v>
      </c>
      <c r="D473" s="380">
        <v>1000</v>
      </c>
      <c r="E473" s="334"/>
      <c r="F473" s="380"/>
      <c r="G473" s="380"/>
      <c r="H473" s="380"/>
      <c r="I473" s="399"/>
      <c r="J473" s="380">
        <v>500</v>
      </c>
      <c r="K473" s="382"/>
      <c r="L473" s="380"/>
      <c r="M473" s="380"/>
      <c r="N473" s="380"/>
      <c r="O473" s="380"/>
      <c r="P473" s="380"/>
      <c r="Q473" s="380"/>
    </row>
    <row r="474" spans="1:17" x14ac:dyDescent="0.2">
      <c r="A474" s="334" t="s">
        <v>1755</v>
      </c>
      <c r="B474" s="380"/>
      <c r="C474" s="380" t="s">
        <v>1986</v>
      </c>
      <c r="D474" s="380">
        <v>1500</v>
      </c>
      <c r="E474" s="334"/>
      <c r="F474" s="380"/>
      <c r="G474" s="380"/>
      <c r="H474" s="380"/>
      <c r="I474" s="399"/>
      <c r="J474" s="380">
        <v>500</v>
      </c>
      <c r="K474" s="382"/>
      <c r="L474" s="380"/>
      <c r="M474" s="380"/>
      <c r="N474" s="380"/>
      <c r="O474" s="380"/>
      <c r="P474" s="380"/>
      <c r="Q474" s="380"/>
    </row>
    <row r="475" spans="1:17" x14ac:dyDescent="0.2">
      <c r="A475" s="334" t="s">
        <v>1567</v>
      </c>
      <c r="B475" s="380"/>
      <c r="C475" s="334" t="s">
        <v>3142</v>
      </c>
      <c r="D475" s="377"/>
      <c r="E475" s="334"/>
      <c r="F475" s="380"/>
      <c r="G475" s="380"/>
      <c r="H475" s="380"/>
      <c r="I475" s="399"/>
      <c r="J475" s="377"/>
      <c r="K475" s="382"/>
      <c r="L475" s="380"/>
      <c r="M475" s="380"/>
      <c r="N475" s="380"/>
      <c r="O475" s="380"/>
      <c r="P475" s="380"/>
      <c r="Q475" s="380"/>
    </row>
    <row r="476" spans="1:17" x14ac:dyDescent="0.2">
      <c r="A476" s="380"/>
      <c r="B476" s="380"/>
      <c r="C476" s="380"/>
      <c r="D476" s="394"/>
      <c r="E476" s="380"/>
      <c r="F476" s="380"/>
      <c r="G476" s="380"/>
      <c r="H476" s="380"/>
      <c r="I476" s="383"/>
      <c r="J476" s="394"/>
      <c r="K476" s="382"/>
      <c r="L476" s="380"/>
      <c r="M476" s="380"/>
      <c r="N476" s="380"/>
      <c r="O476" s="380"/>
      <c r="P476" s="380"/>
      <c r="Q476" s="380"/>
    </row>
    <row r="477" spans="1:17" ht="15.75" thickBot="1" x14ac:dyDescent="0.25">
      <c r="A477" s="380"/>
      <c r="B477" s="380"/>
      <c r="C477" s="380"/>
      <c r="D477" s="411">
        <f>SUM(D445:D475)</f>
        <v>16640</v>
      </c>
      <c r="E477" s="380"/>
      <c r="F477" s="380"/>
      <c r="G477" s="380"/>
      <c r="H477" s="380"/>
      <c r="I477" s="383"/>
      <c r="J477" s="411">
        <f>SUM(J445:J475)</f>
        <v>12800</v>
      </c>
      <c r="K477" s="382"/>
      <c r="L477" s="380"/>
      <c r="M477" s="380"/>
      <c r="N477" s="380"/>
      <c r="O477" s="380"/>
      <c r="P477" s="380"/>
      <c r="Q477" s="380"/>
    </row>
    <row r="478" spans="1:17" x14ac:dyDescent="0.2">
      <c r="A478" s="380"/>
      <c r="B478" s="380"/>
      <c r="C478" s="380"/>
      <c r="D478" s="399">
        <f>D477-I445</f>
        <v>16640</v>
      </c>
      <c r="E478" s="380"/>
      <c r="F478" s="399"/>
      <c r="G478" s="380"/>
      <c r="H478" s="380"/>
      <c r="I478" s="383"/>
      <c r="J478" s="399">
        <f>J477-O445</f>
        <v>12800</v>
      </c>
      <c r="K478" s="382"/>
      <c r="L478" s="380"/>
      <c r="M478" s="380"/>
      <c r="N478" s="380"/>
      <c r="O478" s="380"/>
      <c r="P478" s="380"/>
      <c r="Q478" s="380"/>
    </row>
    <row r="479" spans="1:17" ht="15.75" x14ac:dyDescent="0.25">
      <c r="A479" s="377"/>
      <c r="B479" s="377"/>
      <c r="C479" s="377"/>
      <c r="D479" s="399"/>
      <c r="E479" s="377"/>
      <c r="F479" s="378"/>
      <c r="G479" s="377"/>
      <c r="H479" s="377"/>
      <c r="I479" s="397"/>
      <c r="J479" s="382"/>
      <c r="K479" s="382"/>
      <c r="L479" s="380"/>
      <c r="M479" s="380"/>
      <c r="N479" s="380"/>
      <c r="O479" s="380"/>
      <c r="P479" s="380"/>
      <c r="Q479" s="380"/>
    </row>
    <row r="480" spans="1:17" x14ac:dyDescent="0.2">
      <c r="A480" s="380"/>
      <c r="B480" s="380"/>
      <c r="C480" s="380"/>
      <c r="D480" s="380"/>
      <c r="E480" s="380"/>
      <c r="F480" s="378"/>
      <c r="G480" s="380"/>
      <c r="H480" s="380"/>
      <c r="I480" s="381"/>
      <c r="J480" s="382"/>
      <c r="K480" s="382"/>
      <c r="L480" s="380"/>
      <c r="M480" s="380"/>
      <c r="N480" s="380"/>
      <c r="O480" s="380"/>
      <c r="P480" s="380"/>
      <c r="Q480" s="380"/>
    </row>
    <row r="481" spans="1:17" x14ac:dyDescent="0.2">
      <c r="A481" s="380"/>
      <c r="B481" s="380"/>
      <c r="C481" s="380"/>
      <c r="D481" s="380"/>
      <c r="E481" s="380"/>
      <c r="F481" s="378"/>
      <c r="G481" s="380"/>
      <c r="H481" s="380"/>
      <c r="I481" s="383"/>
      <c r="J481" s="382"/>
      <c r="K481" s="382"/>
      <c r="L481" s="380"/>
      <c r="M481" s="380"/>
      <c r="N481" s="380"/>
      <c r="O481" s="380"/>
      <c r="P481" s="380"/>
      <c r="Q481" s="380"/>
    </row>
    <row r="482" spans="1:17" x14ac:dyDescent="0.2">
      <c r="A482" s="334" t="s">
        <v>539</v>
      </c>
      <c r="B482" s="380"/>
      <c r="C482" s="380"/>
      <c r="D482" s="334" t="s">
        <v>1631</v>
      </c>
      <c r="E482" s="334" t="s">
        <v>1640</v>
      </c>
      <c r="F482" s="412" t="s">
        <v>1632</v>
      </c>
      <c r="G482" s="334"/>
      <c r="H482" s="334" t="s">
        <v>1489</v>
      </c>
      <c r="I482" s="383"/>
      <c r="J482" s="334" t="s">
        <v>1631</v>
      </c>
      <c r="K482" s="334" t="s">
        <v>1640</v>
      </c>
      <c r="L482" s="412" t="s">
        <v>1632</v>
      </c>
      <c r="M482" s="334"/>
      <c r="N482" s="334" t="s">
        <v>1489</v>
      </c>
      <c r="O482" s="380"/>
      <c r="P482" s="380"/>
      <c r="Q482" s="380"/>
    </row>
    <row r="483" spans="1:17" x14ac:dyDescent="0.2">
      <c r="A483" s="380"/>
      <c r="B483" s="380"/>
      <c r="C483" s="384" t="s">
        <v>436</v>
      </c>
      <c r="D483" s="334" t="s">
        <v>103</v>
      </c>
      <c r="E483" s="334" t="s">
        <v>110</v>
      </c>
      <c r="F483" s="412" t="s">
        <v>236</v>
      </c>
      <c r="G483" s="334"/>
      <c r="H483" s="334" t="s">
        <v>241</v>
      </c>
      <c r="I483" s="383"/>
      <c r="J483" s="334" t="s">
        <v>103</v>
      </c>
      <c r="K483" s="334" t="s">
        <v>110</v>
      </c>
      <c r="L483" s="412" t="s">
        <v>236</v>
      </c>
      <c r="M483" s="334"/>
      <c r="N483" s="334" t="s">
        <v>241</v>
      </c>
      <c r="O483" s="380"/>
      <c r="P483" s="380"/>
      <c r="Q483" s="380"/>
    </row>
    <row r="484" spans="1:17" x14ac:dyDescent="0.2">
      <c r="A484" s="380"/>
      <c r="B484" s="380"/>
      <c r="C484" s="380"/>
      <c r="D484" s="334" t="s">
        <v>104</v>
      </c>
      <c r="E484" s="334" t="s">
        <v>111</v>
      </c>
      <c r="F484" s="412" t="s">
        <v>237</v>
      </c>
      <c r="G484" s="334"/>
      <c r="H484" s="334" t="s">
        <v>118</v>
      </c>
      <c r="I484" s="383"/>
      <c r="J484" s="334" t="s">
        <v>104</v>
      </c>
      <c r="K484" s="334" t="s">
        <v>111</v>
      </c>
      <c r="L484" s="412" t="s">
        <v>237</v>
      </c>
      <c r="M484" s="334"/>
      <c r="N484" s="334" t="s">
        <v>118</v>
      </c>
      <c r="O484" s="380"/>
      <c r="P484" s="380"/>
      <c r="Q484" s="380"/>
    </row>
    <row r="485" spans="1:17" x14ac:dyDescent="0.2">
      <c r="A485" s="334" t="s">
        <v>342</v>
      </c>
      <c r="B485" s="380"/>
      <c r="C485" s="334" t="s">
        <v>342</v>
      </c>
      <c r="D485" s="380"/>
      <c r="E485" s="334" t="s">
        <v>342</v>
      </c>
      <c r="F485" s="378"/>
      <c r="G485" s="380"/>
      <c r="H485" s="380"/>
      <c r="I485" s="383"/>
      <c r="J485" s="380"/>
      <c r="K485" s="334" t="s">
        <v>342</v>
      </c>
      <c r="L485" s="378"/>
      <c r="M485" s="380"/>
      <c r="N485" s="380"/>
      <c r="O485" s="380"/>
      <c r="P485" s="380"/>
      <c r="Q485" s="380"/>
    </row>
    <row r="486" spans="1:17" x14ac:dyDescent="0.2">
      <c r="A486" s="334" t="s">
        <v>1723</v>
      </c>
      <c r="B486" s="380"/>
      <c r="C486" s="334" t="s">
        <v>1880</v>
      </c>
      <c r="D486" s="334" t="s">
        <v>181</v>
      </c>
      <c r="E486" s="334" t="s">
        <v>181</v>
      </c>
      <c r="F486" s="412" t="s">
        <v>181</v>
      </c>
      <c r="G486" s="334"/>
      <c r="H486" s="334" t="s">
        <v>181</v>
      </c>
      <c r="I486" s="383"/>
      <c r="J486" s="334" t="s">
        <v>181</v>
      </c>
      <c r="K486" s="334" t="s">
        <v>181</v>
      </c>
      <c r="L486" s="412" t="s">
        <v>181</v>
      </c>
      <c r="M486" s="334"/>
      <c r="N486" s="334" t="s">
        <v>181</v>
      </c>
      <c r="O486" s="380"/>
      <c r="P486" s="380"/>
      <c r="Q486" s="380"/>
    </row>
    <row r="487" spans="1:17" x14ac:dyDescent="0.2">
      <c r="A487" s="380"/>
      <c r="B487" s="380"/>
      <c r="C487" s="380"/>
      <c r="D487" s="380"/>
      <c r="E487" s="380"/>
      <c r="F487" s="378"/>
      <c r="G487" s="380"/>
      <c r="H487" s="380"/>
      <c r="I487" s="383"/>
      <c r="J487" s="380"/>
      <c r="K487" s="380"/>
      <c r="L487" s="378"/>
      <c r="M487" s="380"/>
      <c r="N487" s="380"/>
      <c r="O487" s="380"/>
      <c r="P487" s="380"/>
      <c r="Q487" s="380"/>
    </row>
    <row r="488" spans="1:17" x14ac:dyDescent="0.2">
      <c r="A488" s="334" t="s">
        <v>1733</v>
      </c>
      <c r="B488" s="380"/>
      <c r="C488" s="334" t="s">
        <v>27</v>
      </c>
      <c r="D488" s="380"/>
      <c r="E488" s="380"/>
      <c r="F488" s="378"/>
      <c r="G488" s="380"/>
      <c r="H488" s="380"/>
      <c r="I488" s="382"/>
      <c r="J488" s="380"/>
      <c r="K488" s="380"/>
      <c r="L488" s="378"/>
      <c r="M488" s="380"/>
      <c r="N488" s="380"/>
      <c r="O488" s="380"/>
      <c r="P488" s="380"/>
      <c r="Q488" s="380"/>
    </row>
    <row r="489" spans="1:17" x14ac:dyDescent="0.2">
      <c r="A489" s="334" t="s">
        <v>1743</v>
      </c>
      <c r="B489" s="380"/>
      <c r="C489" s="334" t="s">
        <v>1886</v>
      </c>
      <c r="D489" s="380"/>
      <c r="E489" s="380"/>
      <c r="F489" s="378"/>
      <c r="G489" s="380"/>
      <c r="H489" s="380"/>
      <c r="I489" s="382"/>
      <c r="J489" s="380"/>
      <c r="K489" s="380"/>
      <c r="L489" s="378"/>
      <c r="M489" s="380"/>
      <c r="N489" s="380"/>
      <c r="O489" s="380"/>
      <c r="P489" s="380"/>
      <c r="Q489" s="380"/>
    </row>
    <row r="490" spans="1:17" x14ac:dyDescent="0.2">
      <c r="A490" s="334" t="s">
        <v>1569</v>
      </c>
      <c r="B490" s="380"/>
      <c r="C490" s="334" t="s">
        <v>1888</v>
      </c>
      <c r="D490" s="380"/>
      <c r="E490" s="380"/>
      <c r="F490" s="378"/>
      <c r="G490" s="380"/>
      <c r="H490" s="380"/>
      <c r="I490" s="382"/>
      <c r="J490" s="380">
        <v>1800</v>
      </c>
      <c r="K490" s="380"/>
      <c r="L490" s="378"/>
      <c r="M490" s="380"/>
      <c r="N490" s="380"/>
      <c r="O490" s="380"/>
      <c r="P490" s="380"/>
      <c r="Q490" s="380"/>
    </row>
    <row r="491" spans="1:17" x14ac:dyDescent="0.2">
      <c r="A491" s="334" t="s">
        <v>1724</v>
      </c>
      <c r="B491" s="380"/>
      <c r="C491" s="334" t="s">
        <v>1881</v>
      </c>
      <c r="D491" s="380">
        <v>100</v>
      </c>
      <c r="E491" s="380">
        <v>100</v>
      </c>
      <c r="F491" s="378">
        <v>900</v>
      </c>
      <c r="G491" s="380"/>
      <c r="H491" s="380"/>
      <c r="I491" s="382"/>
      <c r="J491" s="380">
        <v>100</v>
      </c>
      <c r="K491" s="380">
        <v>100</v>
      </c>
      <c r="L491" s="378">
        <v>900</v>
      </c>
      <c r="M491" s="380"/>
      <c r="N491" s="380"/>
      <c r="O491" s="380"/>
      <c r="P491" s="380"/>
      <c r="Q491" s="380"/>
    </row>
    <row r="492" spans="1:17" x14ac:dyDescent="0.2">
      <c r="A492" s="334" t="s">
        <v>1736</v>
      </c>
      <c r="B492" s="380"/>
      <c r="C492" s="334" t="s">
        <v>1747</v>
      </c>
      <c r="D492" s="380"/>
      <c r="E492" s="380"/>
      <c r="F492" s="378"/>
      <c r="G492" s="380"/>
      <c r="H492" s="380"/>
      <c r="I492" s="382"/>
      <c r="J492" s="380"/>
      <c r="K492" s="380">
        <v>30</v>
      </c>
      <c r="L492" s="378">
        <v>1000</v>
      </c>
      <c r="M492" s="380"/>
      <c r="N492" s="380">
        <v>6400</v>
      </c>
      <c r="O492" s="380"/>
      <c r="P492" s="380"/>
      <c r="Q492" s="380"/>
    </row>
    <row r="493" spans="1:17" x14ac:dyDescent="0.2">
      <c r="A493" s="334" t="s">
        <v>1744</v>
      </c>
      <c r="B493" s="380"/>
      <c r="C493" s="334" t="s">
        <v>1254</v>
      </c>
      <c r="D493" s="380"/>
      <c r="E493" s="380"/>
      <c r="F493" s="378"/>
      <c r="G493" s="380"/>
      <c r="H493" s="380"/>
      <c r="I493" s="382"/>
      <c r="J493" s="380"/>
      <c r="K493" s="380"/>
      <c r="L493" s="378"/>
      <c r="M493" s="380"/>
      <c r="N493" s="380"/>
      <c r="O493" s="380"/>
      <c r="P493" s="380"/>
      <c r="Q493" s="380"/>
    </row>
    <row r="494" spans="1:17" x14ac:dyDescent="0.2">
      <c r="A494" s="334" t="s">
        <v>1575</v>
      </c>
      <c r="B494" s="380"/>
      <c r="C494" s="334" t="s">
        <v>1889</v>
      </c>
      <c r="D494" s="380"/>
      <c r="E494" s="380"/>
      <c r="F494" s="378"/>
      <c r="G494" s="380"/>
      <c r="H494" s="380"/>
      <c r="I494" s="382"/>
      <c r="J494" s="380"/>
      <c r="K494" s="380"/>
      <c r="L494" s="378"/>
      <c r="M494" s="380"/>
      <c r="N494" s="380"/>
      <c r="O494" s="380"/>
      <c r="P494" s="380"/>
      <c r="Q494" s="380"/>
    </row>
    <row r="495" spans="1:17" x14ac:dyDescent="0.2">
      <c r="A495" s="334" t="s">
        <v>1725</v>
      </c>
      <c r="B495" s="380"/>
      <c r="C495" s="334" t="s">
        <v>1890</v>
      </c>
      <c r="D495" s="380"/>
      <c r="E495" s="380"/>
      <c r="F495" s="378"/>
      <c r="G495" s="380"/>
      <c r="H495" s="380"/>
      <c r="I495" s="382"/>
      <c r="J495" s="380"/>
      <c r="K495" s="380"/>
      <c r="L495" s="378"/>
      <c r="M495" s="380"/>
      <c r="N495" s="380"/>
      <c r="O495" s="380"/>
      <c r="P495" s="380"/>
      <c r="Q495" s="380"/>
    </row>
    <row r="496" spans="1:17" x14ac:dyDescent="0.2">
      <c r="A496" s="384" t="s">
        <v>1576</v>
      </c>
      <c r="B496" s="380"/>
      <c r="C496" s="334" t="s">
        <v>1590</v>
      </c>
      <c r="D496" s="380"/>
      <c r="E496" s="380"/>
      <c r="F496" s="378">
        <v>400</v>
      </c>
      <c r="G496" s="380"/>
      <c r="H496" s="380"/>
      <c r="I496" s="382"/>
      <c r="J496" s="380"/>
      <c r="K496" s="380"/>
      <c r="L496" s="378"/>
      <c r="M496" s="380"/>
      <c r="N496" s="380"/>
      <c r="O496" s="380"/>
      <c r="P496" s="380"/>
      <c r="Q496" s="380"/>
    </row>
    <row r="497" spans="1:17" x14ac:dyDescent="0.2">
      <c r="A497" s="334" t="s">
        <v>1737</v>
      </c>
      <c r="B497" s="380"/>
      <c r="C497" s="334" t="s">
        <v>1928</v>
      </c>
      <c r="D497" s="380"/>
      <c r="E497" s="380"/>
      <c r="F497" s="378"/>
      <c r="G497" s="380"/>
      <c r="H497" s="380"/>
      <c r="I497" s="382"/>
      <c r="J497" s="380"/>
      <c r="K497" s="380"/>
      <c r="L497" s="378"/>
      <c r="M497" s="380"/>
      <c r="N497" s="380"/>
      <c r="O497" s="380"/>
      <c r="P497" s="380"/>
      <c r="Q497" s="380"/>
    </row>
    <row r="498" spans="1:17" x14ac:dyDescent="0.2">
      <c r="A498" s="334" t="s">
        <v>1726</v>
      </c>
      <c r="B498" s="380"/>
      <c r="C498" s="334" t="s">
        <v>1117</v>
      </c>
      <c r="D498" s="380"/>
      <c r="E498" s="380">
        <v>30</v>
      </c>
      <c r="F498" s="378">
        <v>1000</v>
      </c>
      <c r="G498" s="380"/>
      <c r="H498" s="380">
        <v>6400</v>
      </c>
      <c r="I498" s="382"/>
      <c r="J498" s="380"/>
      <c r="K498" s="380"/>
      <c r="L498" s="378"/>
      <c r="M498" s="380"/>
      <c r="N498" s="380"/>
      <c r="O498" s="380"/>
      <c r="P498" s="380"/>
      <c r="Q498" s="380"/>
    </row>
    <row r="499" spans="1:17" x14ac:dyDescent="0.2">
      <c r="A499" s="334" t="s">
        <v>1756</v>
      </c>
      <c r="B499" s="380"/>
      <c r="C499" s="334" t="s">
        <v>3137</v>
      </c>
      <c r="D499" s="380"/>
      <c r="E499" s="380"/>
      <c r="F499" s="378"/>
      <c r="G499" s="380"/>
      <c r="H499" s="380"/>
      <c r="I499" s="382"/>
      <c r="J499" s="380"/>
      <c r="K499" s="380"/>
      <c r="L499" s="378"/>
      <c r="M499" s="380"/>
      <c r="N499" s="380"/>
      <c r="O499" s="380"/>
      <c r="P499" s="380"/>
      <c r="Q499" s="380"/>
    </row>
    <row r="500" spans="1:17" x14ac:dyDescent="0.2">
      <c r="A500" s="334" t="s">
        <v>1751</v>
      </c>
      <c r="B500" s="380"/>
      <c r="C500" s="334" t="s">
        <v>3138</v>
      </c>
      <c r="D500" s="380"/>
      <c r="E500" s="380"/>
      <c r="F500" s="378"/>
      <c r="G500" s="380"/>
      <c r="H500" s="380"/>
      <c r="I500" s="382"/>
      <c r="J500" s="380"/>
      <c r="K500" s="380"/>
      <c r="L500" s="378"/>
      <c r="M500" s="380"/>
      <c r="N500" s="380"/>
      <c r="O500" s="380"/>
      <c r="P500" s="380"/>
      <c r="Q500" s="380"/>
    </row>
    <row r="501" spans="1:17" x14ac:dyDescent="0.2">
      <c r="A501" s="334" t="s">
        <v>1752</v>
      </c>
      <c r="B501" s="380"/>
      <c r="C501" s="334" t="s">
        <v>367</v>
      </c>
      <c r="D501" s="380"/>
      <c r="E501" s="380"/>
      <c r="F501" s="378"/>
      <c r="G501" s="380"/>
      <c r="H501" s="380"/>
      <c r="I501" s="382"/>
      <c r="J501" s="380"/>
      <c r="K501" s="380"/>
      <c r="L501" s="378"/>
      <c r="M501" s="380"/>
      <c r="N501" s="380"/>
      <c r="O501" s="380"/>
      <c r="P501" s="380"/>
      <c r="Q501" s="380"/>
    </row>
    <row r="502" spans="1:17" x14ac:dyDescent="0.2">
      <c r="A502" s="334" t="s">
        <v>1577</v>
      </c>
      <c r="B502" s="380"/>
      <c r="C502" s="334" t="s">
        <v>1815</v>
      </c>
      <c r="D502" s="380"/>
      <c r="E502" s="380"/>
      <c r="F502" s="378">
        <v>150</v>
      </c>
      <c r="G502" s="380"/>
      <c r="H502" s="380"/>
      <c r="I502" s="382"/>
      <c r="J502" s="380"/>
      <c r="K502" s="380"/>
      <c r="L502" s="378">
        <v>150</v>
      </c>
      <c r="M502" s="380"/>
      <c r="N502" s="380"/>
      <c r="O502" s="380"/>
      <c r="P502" s="380"/>
      <c r="Q502" s="380"/>
    </row>
    <row r="503" spans="1:17" x14ac:dyDescent="0.2">
      <c r="A503" s="334" t="s">
        <v>1753</v>
      </c>
      <c r="B503" s="380"/>
      <c r="C503" s="334" t="s">
        <v>1816</v>
      </c>
      <c r="D503" s="380"/>
      <c r="E503" s="380"/>
      <c r="F503" s="378"/>
      <c r="G503" s="380"/>
      <c r="H503" s="380"/>
      <c r="I503" s="382"/>
      <c r="J503" s="380"/>
      <c r="K503" s="380"/>
      <c r="L503" s="378"/>
      <c r="M503" s="380"/>
      <c r="N503" s="380"/>
      <c r="O503" s="380"/>
      <c r="P503" s="380"/>
      <c r="Q503" s="380"/>
    </row>
    <row r="504" spans="1:17" x14ac:dyDescent="0.2">
      <c r="A504" s="334" t="s">
        <v>1734</v>
      </c>
      <c r="B504" s="380"/>
      <c r="C504" s="334" t="s">
        <v>1746</v>
      </c>
      <c r="D504" s="380"/>
      <c r="E504" s="380"/>
      <c r="F504" s="378"/>
      <c r="G504" s="380"/>
      <c r="H504" s="380"/>
      <c r="I504" s="382"/>
      <c r="J504" s="380"/>
      <c r="K504" s="380"/>
      <c r="L504" s="378"/>
      <c r="M504" s="380"/>
      <c r="N504" s="380"/>
      <c r="O504" s="380"/>
      <c r="P504" s="380"/>
      <c r="Q504" s="380"/>
    </row>
    <row r="505" spans="1:17" x14ac:dyDescent="0.2">
      <c r="A505" s="334" t="s">
        <v>1571</v>
      </c>
      <c r="B505" s="380"/>
      <c r="C505" s="334" t="s">
        <v>3</v>
      </c>
      <c r="D505" s="380"/>
      <c r="E505" s="380"/>
      <c r="F505" s="378"/>
      <c r="G505" s="380"/>
      <c r="H505" s="380"/>
      <c r="I505" s="382"/>
      <c r="J505" s="380"/>
      <c r="K505" s="380"/>
      <c r="L505" s="378"/>
      <c r="M505" s="380"/>
      <c r="N505" s="380"/>
      <c r="O505" s="380"/>
      <c r="P505" s="380"/>
      <c r="Q505" s="380"/>
    </row>
    <row r="506" spans="1:17" x14ac:dyDescent="0.2">
      <c r="A506" s="334" t="s">
        <v>1738</v>
      </c>
      <c r="B506" s="380"/>
      <c r="C506" s="334" t="s">
        <v>1591</v>
      </c>
      <c r="D506" s="380"/>
      <c r="E506" s="380">
        <v>50</v>
      </c>
      <c r="F506" s="378">
        <v>75</v>
      </c>
      <c r="G506" s="380"/>
      <c r="H506" s="380"/>
      <c r="I506" s="382"/>
      <c r="J506" s="380"/>
      <c r="K506" s="380">
        <v>50</v>
      </c>
      <c r="L506" s="378">
        <v>75</v>
      </c>
      <c r="M506" s="380"/>
      <c r="N506" s="380"/>
      <c r="O506" s="380"/>
      <c r="P506" s="380"/>
      <c r="Q506" s="380"/>
    </row>
    <row r="507" spans="1:17" x14ac:dyDescent="0.2">
      <c r="A507" s="334" t="s">
        <v>1727</v>
      </c>
      <c r="B507" s="380"/>
      <c r="C507" s="334" t="s">
        <v>307</v>
      </c>
      <c r="D507" s="380"/>
      <c r="E507" s="380">
        <v>25</v>
      </c>
      <c r="F507" s="378">
        <v>100</v>
      </c>
      <c r="G507" s="380"/>
      <c r="H507" s="380"/>
      <c r="I507" s="382"/>
      <c r="J507" s="380"/>
      <c r="K507" s="380">
        <v>25</v>
      </c>
      <c r="L507" s="378">
        <v>100</v>
      </c>
      <c r="M507" s="380"/>
      <c r="N507" s="380"/>
      <c r="O507" s="380"/>
      <c r="P507" s="380"/>
      <c r="Q507" s="380"/>
    </row>
    <row r="508" spans="1:17" x14ac:dyDescent="0.2">
      <c r="A508" s="334" t="s">
        <v>1728</v>
      </c>
      <c r="B508" s="380"/>
      <c r="C508" s="334" t="s">
        <v>310</v>
      </c>
      <c r="D508" s="380">
        <v>100</v>
      </c>
      <c r="E508" s="380">
        <v>275</v>
      </c>
      <c r="F508" s="378">
        <v>300</v>
      </c>
      <c r="G508" s="380"/>
      <c r="H508" s="380"/>
      <c r="I508" s="382"/>
      <c r="J508" s="380"/>
      <c r="K508" s="380">
        <v>275</v>
      </c>
      <c r="L508" s="378">
        <v>300</v>
      </c>
      <c r="M508" s="380"/>
      <c r="N508" s="380"/>
      <c r="O508" s="380"/>
      <c r="P508" s="380"/>
      <c r="Q508" s="380"/>
    </row>
    <row r="509" spans="1:17" x14ac:dyDescent="0.2">
      <c r="A509" s="334" t="s">
        <v>1729</v>
      </c>
      <c r="B509" s="380"/>
      <c r="C509" s="380" t="s">
        <v>1551</v>
      </c>
      <c r="D509" s="380">
        <v>-3800</v>
      </c>
      <c r="E509" s="380"/>
      <c r="F509" s="378"/>
      <c r="G509" s="380"/>
      <c r="H509" s="380"/>
      <c r="I509" s="382"/>
      <c r="J509" s="380"/>
      <c r="K509" s="380">
        <v>60</v>
      </c>
      <c r="L509" s="378">
        <v>400</v>
      </c>
      <c r="M509" s="380"/>
      <c r="N509" s="380"/>
      <c r="O509" s="380"/>
      <c r="P509" s="380"/>
      <c r="Q509" s="380"/>
    </row>
    <row r="510" spans="1:17" x14ac:dyDescent="0.2">
      <c r="A510" s="334" t="s">
        <v>1735</v>
      </c>
      <c r="B510" s="380"/>
      <c r="C510" s="380" t="s">
        <v>194</v>
      </c>
      <c r="D510" s="380"/>
      <c r="E510" s="380"/>
      <c r="F510" s="378"/>
      <c r="G510" s="380"/>
      <c r="H510" s="380"/>
      <c r="I510" s="382"/>
      <c r="J510" s="380">
        <v>100</v>
      </c>
      <c r="K510" s="380">
        <v>50</v>
      </c>
      <c r="L510" s="378">
        <v>50</v>
      </c>
      <c r="M510" s="380"/>
      <c r="N510" s="380"/>
      <c r="O510" s="380"/>
      <c r="P510" s="380"/>
      <c r="Q510" s="380"/>
    </row>
    <row r="511" spans="1:17" x14ac:dyDescent="0.2">
      <c r="A511" s="334" t="s">
        <v>1741</v>
      </c>
      <c r="B511" s="380"/>
      <c r="C511" s="334" t="s">
        <v>1748</v>
      </c>
      <c r="D511" s="380"/>
      <c r="E511" s="380"/>
      <c r="F511" s="378"/>
      <c r="G511" s="380"/>
      <c r="H511" s="380"/>
      <c r="I511" s="382"/>
      <c r="J511" s="380"/>
      <c r="K511" s="380"/>
      <c r="L511" s="378"/>
      <c r="M511" s="380"/>
      <c r="N511" s="380"/>
      <c r="O511" s="380"/>
      <c r="P511" s="380"/>
      <c r="Q511" s="380"/>
    </row>
    <row r="512" spans="1:17" x14ac:dyDescent="0.2">
      <c r="A512" s="334" t="s">
        <v>1742</v>
      </c>
      <c r="B512" s="380"/>
      <c r="C512" s="334" t="s">
        <v>1553</v>
      </c>
      <c r="D512" s="380"/>
      <c r="E512" s="380"/>
      <c r="F512" s="378"/>
      <c r="G512" s="380"/>
      <c r="H512" s="380"/>
      <c r="I512" s="382"/>
      <c r="J512" s="380"/>
      <c r="K512" s="380"/>
      <c r="L512" s="378"/>
      <c r="M512" s="380"/>
      <c r="N512" s="380"/>
      <c r="O512" s="380"/>
      <c r="P512" s="380"/>
      <c r="Q512" s="380"/>
    </row>
    <row r="513" spans="1:17" x14ac:dyDescent="0.2">
      <c r="A513" s="334" t="s">
        <v>1754</v>
      </c>
      <c r="B513" s="380"/>
      <c r="C513" s="334" t="s">
        <v>1929</v>
      </c>
      <c r="D513" s="380"/>
      <c r="E513" s="380">
        <v>150</v>
      </c>
      <c r="F513" s="378"/>
      <c r="G513" s="380"/>
      <c r="H513" s="380"/>
      <c r="I513" s="382"/>
      <c r="J513" s="380"/>
      <c r="K513" s="380">
        <v>150</v>
      </c>
      <c r="L513" s="378"/>
      <c r="M513" s="380"/>
      <c r="N513" s="380"/>
      <c r="O513" s="380"/>
      <c r="P513" s="380"/>
      <c r="Q513" s="380"/>
    </row>
    <row r="514" spans="1:17" x14ac:dyDescent="0.2">
      <c r="A514" s="334" t="s">
        <v>1584</v>
      </c>
      <c r="B514" s="380"/>
      <c r="C514" s="334" t="s">
        <v>0</v>
      </c>
      <c r="D514" s="380"/>
      <c r="E514" s="380">
        <v>50</v>
      </c>
      <c r="F514" s="378"/>
      <c r="G514" s="380"/>
      <c r="H514" s="380"/>
      <c r="I514" s="382"/>
      <c r="J514" s="380"/>
      <c r="K514" s="380">
        <v>50</v>
      </c>
      <c r="L514" s="378"/>
      <c r="M514" s="380"/>
      <c r="N514" s="380"/>
      <c r="O514" s="380"/>
      <c r="P514" s="380"/>
      <c r="Q514" s="380"/>
    </row>
    <row r="515" spans="1:17" x14ac:dyDescent="0.2">
      <c r="A515" s="334" t="s">
        <v>1580</v>
      </c>
      <c r="B515" s="380"/>
      <c r="C515" s="334" t="s">
        <v>1936</v>
      </c>
      <c r="D515" s="380"/>
      <c r="E515" s="380"/>
      <c r="F515" s="378"/>
      <c r="G515" s="380"/>
      <c r="H515" s="380"/>
      <c r="I515" s="382"/>
      <c r="J515" s="380"/>
      <c r="K515" s="380"/>
      <c r="L515" s="378"/>
      <c r="M515" s="380"/>
      <c r="N515" s="380"/>
      <c r="O515" s="380"/>
      <c r="P515" s="380"/>
      <c r="Q515" s="380"/>
    </row>
    <row r="516" spans="1:17" x14ac:dyDescent="0.2">
      <c r="A516" s="334" t="s">
        <v>1572</v>
      </c>
      <c r="B516" s="380"/>
      <c r="C516" s="334" t="s">
        <v>3134</v>
      </c>
      <c r="D516" s="380"/>
      <c r="E516" s="380">
        <v>20</v>
      </c>
      <c r="F516" s="378"/>
      <c r="G516" s="380"/>
      <c r="H516" s="380"/>
      <c r="I516" s="382"/>
      <c r="J516" s="380"/>
      <c r="K516" s="380">
        <v>20</v>
      </c>
      <c r="L516" s="378"/>
      <c r="M516" s="380"/>
      <c r="N516" s="380"/>
      <c r="O516" s="380"/>
      <c r="P516" s="380"/>
      <c r="Q516" s="380"/>
    </row>
    <row r="517" spans="1:17" x14ac:dyDescent="0.2">
      <c r="A517" s="334" t="s">
        <v>1730</v>
      </c>
      <c r="B517" s="380"/>
      <c r="C517" s="334" t="s">
        <v>1985</v>
      </c>
      <c r="D517" s="380"/>
      <c r="E517" s="380"/>
      <c r="F517" s="378">
        <v>165</v>
      </c>
      <c r="G517" s="380"/>
      <c r="H517" s="380"/>
      <c r="I517" s="382"/>
      <c r="J517" s="380"/>
      <c r="K517" s="380"/>
      <c r="L517" s="378">
        <v>165</v>
      </c>
      <c r="M517" s="380"/>
      <c r="N517" s="380"/>
      <c r="O517" s="380"/>
      <c r="P517" s="380"/>
      <c r="Q517" s="380"/>
    </row>
    <row r="518" spans="1:17" x14ac:dyDescent="0.2">
      <c r="A518" s="334" t="s">
        <v>1566</v>
      </c>
      <c r="B518" s="380"/>
      <c r="C518" s="334" t="s">
        <v>366</v>
      </c>
      <c r="D518" s="380"/>
      <c r="E518" s="380"/>
      <c r="F518" s="378"/>
      <c r="G518" s="380"/>
      <c r="H518" s="380"/>
      <c r="I518" s="382"/>
      <c r="J518" s="380"/>
      <c r="K518" s="380"/>
      <c r="L518" s="378"/>
      <c r="M518" s="380"/>
      <c r="N518" s="380"/>
      <c r="O518" s="380"/>
      <c r="P518" s="380"/>
      <c r="Q518" s="380"/>
    </row>
    <row r="519" spans="1:17" x14ac:dyDescent="0.2">
      <c r="A519" s="334" t="s">
        <v>1755</v>
      </c>
      <c r="B519" s="380"/>
      <c r="C519" s="380" t="s">
        <v>1986</v>
      </c>
      <c r="D519" s="380">
        <v>3600</v>
      </c>
      <c r="E519" s="380">
        <v>11250</v>
      </c>
      <c r="F519" s="378">
        <v>10220</v>
      </c>
      <c r="G519" s="380"/>
      <c r="H519" s="380"/>
      <c r="I519" s="382"/>
      <c r="J519" s="380"/>
      <c r="K519" s="380"/>
      <c r="L519" s="378"/>
      <c r="M519" s="380"/>
      <c r="N519" s="380"/>
      <c r="O519" s="380"/>
      <c r="P519" s="380"/>
      <c r="Q519" s="380"/>
    </row>
    <row r="520" spans="1:17" x14ac:dyDescent="0.2">
      <c r="A520" s="334" t="s">
        <v>1567</v>
      </c>
      <c r="B520" s="380"/>
      <c r="C520" s="334" t="s">
        <v>3142</v>
      </c>
      <c r="D520" s="380"/>
      <c r="E520" s="380"/>
      <c r="F520" s="378"/>
      <c r="G520" s="380"/>
      <c r="H520" s="380"/>
      <c r="I520" s="382"/>
      <c r="J520" s="380"/>
      <c r="K520" s="380">
        <v>11250</v>
      </c>
      <c r="L520" s="378">
        <v>5000</v>
      </c>
      <c r="M520" s="380"/>
      <c r="N520" s="380"/>
      <c r="O520" s="380"/>
      <c r="P520" s="380"/>
      <c r="Q520" s="380"/>
    </row>
    <row r="521" spans="1:17" x14ac:dyDescent="0.2">
      <c r="A521" s="380"/>
      <c r="B521" s="380"/>
      <c r="C521" s="380"/>
      <c r="D521" s="394"/>
      <c r="E521" s="394"/>
      <c r="F521" s="413"/>
      <c r="G521" s="394"/>
      <c r="H521" s="394"/>
      <c r="I521" s="383"/>
      <c r="J521" s="394"/>
      <c r="K521" s="394"/>
      <c r="L521" s="413"/>
      <c r="M521" s="394"/>
      <c r="N521" s="394"/>
      <c r="O521" s="380"/>
      <c r="P521" s="380"/>
      <c r="Q521" s="380"/>
    </row>
    <row r="522" spans="1:17" ht="15.75" thickBot="1" x14ac:dyDescent="0.25">
      <c r="A522" s="380"/>
      <c r="B522" s="380"/>
      <c r="C522" s="380"/>
      <c r="D522" s="411">
        <f>SUM(D488:D520)</f>
        <v>0</v>
      </c>
      <c r="E522" s="411">
        <f t="shared" ref="E522:H522" si="0">SUM(E488:E520)</f>
        <v>11950</v>
      </c>
      <c r="F522" s="414">
        <f t="shared" si="0"/>
        <v>13310</v>
      </c>
      <c r="G522" s="411"/>
      <c r="H522" s="411">
        <f t="shared" si="0"/>
        <v>6400</v>
      </c>
      <c r="I522" s="383"/>
      <c r="J522" s="334">
        <f>SUM(J488:J520)</f>
        <v>2000</v>
      </c>
      <c r="K522" s="334">
        <f t="shared" ref="K522:L522" si="1">SUM(K488:K520)</f>
        <v>12060</v>
      </c>
      <c r="L522" s="412">
        <f t="shared" si="1"/>
        <v>8140</v>
      </c>
      <c r="M522" s="334"/>
      <c r="N522" s="334">
        <f t="shared" ref="N522" si="2">SUM(N488:N520)</f>
        <v>6400</v>
      </c>
      <c r="O522" s="380"/>
      <c r="P522" s="380"/>
      <c r="Q522" s="380"/>
    </row>
    <row r="523" spans="1:17" x14ac:dyDescent="0.2">
      <c r="A523" s="380"/>
      <c r="B523" s="380"/>
      <c r="C523" s="380"/>
      <c r="D523" s="334"/>
      <c r="E523" s="334"/>
      <c r="F523" s="412"/>
      <c r="G523" s="334"/>
      <c r="H523" s="334"/>
      <c r="I523" s="383"/>
      <c r="J523" s="334"/>
      <c r="K523" s="334"/>
      <c r="L523" s="412"/>
      <c r="M523" s="334"/>
      <c r="N523" s="334"/>
      <c r="O523" s="380"/>
      <c r="P523" s="380"/>
      <c r="Q523" s="380"/>
    </row>
    <row r="524" spans="1:17" ht="15.75" x14ac:dyDescent="0.25">
      <c r="A524" s="380"/>
      <c r="B524" s="380"/>
      <c r="C524" s="380"/>
      <c r="D524" s="385"/>
      <c r="E524" s="385"/>
      <c r="F524" s="415"/>
      <c r="G524" s="385"/>
      <c r="H524" s="385"/>
      <c r="I524" s="409"/>
      <c r="J524" s="334"/>
      <c r="K524" s="334"/>
      <c r="L524" s="412"/>
      <c r="M524" s="334"/>
      <c r="N524" s="334"/>
      <c r="O524" s="380"/>
      <c r="P524" s="380"/>
      <c r="Q524" s="380"/>
    </row>
    <row r="525" spans="1:17" ht="15.75" thickTop="1" x14ac:dyDescent="0.2">
      <c r="A525" s="377"/>
      <c r="B525" s="377"/>
      <c r="C525" s="377"/>
      <c r="D525" s="399"/>
      <c r="E525" s="399"/>
      <c r="F525" s="416"/>
      <c r="G525" s="399"/>
      <c r="H525" s="399"/>
      <c r="I525" s="387"/>
      <c r="J525" s="395"/>
      <c r="K525" s="395"/>
      <c r="L525" s="401"/>
      <c r="M525" s="395"/>
      <c r="N525" s="395"/>
      <c r="O525" s="380"/>
      <c r="P525" s="380"/>
      <c r="Q525" s="380"/>
    </row>
    <row r="526" spans="1:17" x14ac:dyDescent="0.2">
      <c r="A526" s="377"/>
      <c r="B526" s="377"/>
      <c r="C526" s="377"/>
      <c r="D526" s="377"/>
      <c r="E526" s="334"/>
      <c r="F526" s="412"/>
      <c r="G526" s="334"/>
      <c r="H526" s="334"/>
      <c r="I526" s="381"/>
      <c r="J526" s="377"/>
      <c r="K526" s="334"/>
      <c r="L526" s="412"/>
      <c r="M526" s="334"/>
      <c r="N526" s="334"/>
      <c r="O526" s="380"/>
      <c r="P526" s="380"/>
      <c r="Q526" s="380"/>
    </row>
    <row r="527" spans="1:17" x14ac:dyDescent="0.2">
      <c r="A527" s="334" t="s">
        <v>539</v>
      </c>
      <c r="B527" s="380"/>
      <c r="C527" s="380"/>
      <c r="D527" s="334" t="s">
        <v>1633</v>
      </c>
      <c r="E527" s="334" t="s">
        <v>1634</v>
      </c>
      <c r="F527" s="412" t="s">
        <v>1635</v>
      </c>
      <c r="G527" s="334"/>
      <c r="H527" s="334" t="s">
        <v>1636</v>
      </c>
      <c r="I527" s="387"/>
      <c r="J527" s="334" t="s">
        <v>1633</v>
      </c>
      <c r="K527" s="334" t="s">
        <v>1634</v>
      </c>
      <c r="L527" s="412" t="s">
        <v>1635</v>
      </c>
      <c r="M527" s="334"/>
      <c r="N527" s="334" t="s">
        <v>1636</v>
      </c>
      <c r="O527" s="380"/>
      <c r="P527" s="380"/>
      <c r="Q527" s="380"/>
    </row>
    <row r="528" spans="1:17" x14ac:dyDescent="0.2">
      <c r="A528" s="380"/>
      <c r="B528" s="380"/>
      <c r="C528" s="384" t="s">
        <v>436</v>
      </c>
      <c r="D528" s="334" t="s">
        <v>121</v>
      </c>
      <c r="E528" s="334" t="s">
        <v>859</v>
      </c>
      <c r="F528" s="417" t="s">
        <v>949</v>
      </c>
      <c r="G528" s="418"/>
      <c r="H528" s="334" t="s">
        <v>51</v>
      </c>
      <c r="I528" s="387"/>
      <c r="J528" s="334" t="s">
        <v>121</v>
      </c>
      <c r="K528" s="334" t="s">
        <v>859</v>
      </c>
      <c r="L528" s="417" t="s">
        <v>949</v>
      </c>
      <c r="M528" s="418"/>
      <c r="N528" s="334" t="s">
        <v>51</v>
      </c>
      <c r="O528" s="380"/>
      <c r="P528" s="380"/>
      <c r="Q528" s="380"/>
    </row>
    <row r="529" spans="1:17" x14ac:dyDescent="0.2">
      <c r="A529" s="380"/>
      <c r="B529" s="380"/>
      <c r="C529" s="380"/>
      <c r="D529" s="334" t="s">
        <v>122</v>
      </c>
      <c r="E529" s="334" t="s">
        <v>124</v>
      </c>
      <c r="F529" s="412" t="s">
        <v>126</v>
      </c>
      <c r="G529" s="334"/>
      <c r="H529" s="334" t="s">
        <v>52</v>
      </c>
      <c r="I529" s="387"/>
      <c r="J529" s="334" t="s">
        <v>122</v>
      </c>
      <c r="K529" s="334" t="s">
        <v>124</v>
      </c>
      <c r="L529" s="412" t="s">
        <v>126</v>
      </c>
      <c r="M529" s="334"/>
      <c r="N529" s="334" t="s">
        <v>52</v>
      </c>
      <c r="O529" s="380"/>
      <c r="P529" s="380"/>
      <c r="Q529" s="380"/>
    </row>
    <row r="530" spans="1:17" x14ac:dyDescent="0.2">
      <c r="A530" s="334" t="s">
        <v>342</v>
      </c>
      <c r="B530" s="380"/>
      <c r="C530" s="334" t="s">
        <v>342</v>
      </c>
      <c r="D530" s="380"/>
      <c r="E530" s="380"/>
      <c r="F530" s="378"/>
      <c r="G530" s="380"/>
      <c r="H530" s="380"/>
      <c r="I530" s="387"/>
      <c r="J530" s="380"/>
      <c r="K530" s="380"/>
      <c r="L530" s="378"/>
      <c r="M530" s="380"/>
      <c r="N530" s="380"/>
      <c r="O530" s="380"/>
      <c r="P530" s="380"/>
      <c r="Q530" s="380"/>
    </row>
    <row r="531" spans="1:17" x14ac:dyDescent="0.2">
      <c r="A531" s="334" t="s">
        <v>1723</v>
      </c>
      <c r="B531" s="380"/>
      <c r="C531" s="334" t="s">
        <v>1880</v>
      </c>
      <c r="D531" s="334" t="s">
        <v>181</v>
      </c>
      <c r="E531" s="334" t="s">
        <v>181</v>
      </c>
      <c r="F531" s="412" t="s">
        <v>181</v>
      </c>
      <c r="G531" s="334"/>
      <c r="H531" s="334" t="s">
        <v>181</v>
      </c>
      <c r="I531" s="387"/>
      <c r="J531" s="334" t="s">
        <v>181</v>
      </c>
      <c r="K531" s="334" t="s">
        <v>181</v>
      </c>
      <c r="L531" s="412" t="s">
        <v>181</v>
      </c>
      <c r="M531" s="334"/>
      <c r="N531" s="334" t="s">
        <v>181</v>
      </c>
      <c r="O531" s="380"/>
      <c r="P531" s="380"/>
      <c r="Q531" s="380"/>
    </row>
    <row r="532" spans="1:17" x14ac:dyDescent="0.2">
      <c r="A532" s="380"/>
      <c r="B532" s="380"/>
      <c r="C532" s="380"/>
      <c r="D532" s="380"/>
      <c r="E532" s="380"/>
      <c r="F532" s="378"/>
      <c r="G532" s="380"/>
      <c r="H532" s="380"/>
      <c r="I532" s="387"/>
      <c r="J532" s="380"/>
      <c r="K532" s="380"/>
      <c r="L532" s="378"/>
      <c r="M532" s="380"/>
      <c r="N532" s="380"/>
      <c r="O532" s="380"/>
      <c r="P532" s="380"/>
      <c r="Q532" s="380"/>
    </row>
    <row r="533" spans="1:17" x14ac:dyDescent="0.2">
      <c r="A533" s="334" t="s">
        <v>1733</v>
      </c>
      <c r="B533" s="380"/>
      <c r="C533" s="334" t="s">
        <v>27</v>
      </c>
      <c r="D533" s="380"/>
      <c r="E533" s="380"/>
      <c r="F533" s="378"/>
      <c r="G533" s="380"/>
      <c r="H533" s="380"/>
      <c r="I533" s="399"/>
      <c r="J533" s="380"/>
      <c r="K533" s="380"/>
      <c r="L533" s="378"/>
      <c r="M533" s="380"/>
      <c r="N533" s="380"/>
      <c r="O533" s="380"/>
      <c r="P533" s="380"/>
      <c r="Q533" s="380"/>
    </row>
    <row r="534" spans="1:17" x14ac:dyDescent="0.2">
      <c r="A534" s="334" t="s">
        <v>1743</v>
      </c>
      <c r="B534" s="380"/>
      <c r="C534" s="334" t="s">
        <v>1886</v>
      </c>
      <c r="D534" s="380"/>
      <c r="E534" s="380"/>
      <c r="F534" s="378"/>
      <c r="G534" s="380"/>
      <c r="H534" s="380"/>
      <c r="I534" s="399"/>
      <c r="J534" s="380"/>
      <c r="K534" s="380"/>
      <c r="L534" s="378"/>
      <c r="M534" s="380"/>
      <c r="N534" s="380"/>
      <c r="O534" s="380"/>
      <c r="P534" s="380"/>
      <c r="Q534" s="380"/>
    </row>
    <row r="535" spans="1:17" x14ac:dyDescent="0.2">
      <c r="A535" s="334" t="s">
        <v>1569</v>
      </c>
      <c r="B535" s="380"/>
      <c r="C535" s="334" t="s">
        <v>1888</v>
      </c>
      <c r="D535" s="380"/>
      <c r="E535" s="380"/>
      <c r="F535" s="378"/>
      <c r="G535" s="380"/>
      <c r="H535" s="380">
        <v>2000</v>
      </c>
      <c r="I535" s="399"/>
      <c r="J535" s="380"/>
      <c r="K535" s="380"/>
      <c r="L535" s="378"/>
      <c r="M535" s="380"/>
      <c r="N535" s="380">
        <v>1500</v>
      </c>
      <c r="O535" s="380"/>
      <c r="P535" s="380"/>
      <c r="Q535" s="380"/>
    </row>
    <row r="536" spans="1:17" x14ac:dyDescent="0.2">
      <c r="A536" s="334" t="s">
        <v>1724</v>
      </c>
      <c r="B536" s="380"/>
      <c r="C536" s="334" t="s">
        <v>1881</v>
      </c>
      <c r="D536" s="380"/>
      <c r="E536" s="380">
        <v>75</v>
      </c>
      <c r="F536" s="378"/>
      <c r="G536" s="380"/>
      <c r="H536" s="380">
        <v>1000</v>
      </c>
      <c r="I536" s="399"/>
      <c r="J536" s="380">
        <v>0</v>
      </c>
      <c r="K536" s="380">
        <v>50</v>
      </c>
      <c r="L536" s="378">
        <v>0</v>
      </c>
      <c r="M536" s="380"/>
      <c r="N536" s="380">
        <v>550</v>
      </c>
      <c r="O536" s="380"/>
      <c r="P536" s="380"/>
      <c r="Q536" s="380"/>
    </row>
    <row r="537" spans="1:17" x14ac:dyDescent="0.2">
      <c r="A537" s="334" t="s">
        <v>1736</v>
      </c>
      <c r="B537" s="380"/>
      <c r="C537" s="334" t="s">
        <v>1747</v>
      </c>
      <c r="D537" s="380"/>
      <c r="E537" s="380"/>
      <c r="F537" s="378"/>
      <c r="G537" s="380"/>
      <c r="H537" s="380">
        <v>100</v>
      </c>
      <c r="I537" s="399"/>
      <c r="J537" s="380"/>
      <c r="K537" s="380"/>
      <c r="L537" s="378"/>
      <c r="M537" s="380"/>
      <c r="N537" s="380">
        <v>100</v>
      </c>
      <c r="O537" s="380"/>
      <c r="P537" s="380"/>
      <c r="Q537" s="380"/>
    </row>
    <row r="538" spans="1:17" x14ac:dyDescent="0.2">
      <c r="A538" s="334" t="s">
        <v>1744</v>
      </c>
      <c r="B538" s="380"/>
      <c r="C538" s="334" t="s">
        <v>1254</v>
      </c>
      <c r="D538" s="380"/>
      <c r="E538" s="380"/>
      <c r="F538" s="378"/>
      <c r="G538" s="380"/>
      <c r="H538" s="380"/>
      <c r="I538" s="399"/>
      <c r="J538" s="380"/>
      <c r="K538" s="380"/>
      <c r="L538" s="378"/>
      <c r="M538" s="380"/>
      <c r="N538" s="380"/>
      <c r="O538" s="380"/>
      <c r="P538" s="380"/>
      <c r="Q538" s="380"/>
    </row>
    <row r="539" spans="1:17" x14ac:dyDescent="0.2">
      <c r="A539" s="334" t="s">
        <v>1575</v>
      </c>
      <c r="B539" s="380"/>
      <c r="C539" s="334" t="s">
        <v>1889</v>
      </c>
      <c r="D539" s="380"/>
      <c r="E539" s="380"/>
      <c r="F539" s="378"/>
      <c r="G539" s="380"/>
      <c r="H539" s="380"/>
      <c r="I539" s="399"/>
      <c r="J539" s="380"/>
      <c r="K539" s="380"/>
      <c r="L539" s="378"/>
      <c r="M539" s="380"/>
      <c r="N539" s="380"/>
      <c r="O539" s="380"/>
      <c r="P539" s="380"/>
      <c r="Q539" s="380"/>
    </row>
    <row r="540" spans="1:17" x14ac:dyDescent="0.2">
      <c r="A540" s="334" t="s">
        <v>1725</v>
      </c>
      <c r="B540" s="380"/>
      <c r="C540" s="334" t="s">
        <v>1890</v>
      </c>
      <c r="D540" s="380"/>
      <c r="E540" s="380"/>
      <c r="F540" s="378"/>
      <c r="G540" s="380"/>
      <c r="H540" s="380"/>
      <c r="I540" s="399"/>
      <c r="J540" s="380"/>
      <c r="K540" s="380"/>
      <c r="L540" s="378"/>
      <c r="M540" s="380"/>
      <c r="N540" s="380"/>
      <c r="O540" s="380"/>
      <c r="P540" s="380"/>
      <c r="Q540" s="380"/>
    </row>
    <row r="541" spans="1:17" x14ac:dyDescent="0.2">
      <c r="A541" s="334" t="s">
        <v>1565</v>
      </c>
      <c r="B541" s="380"/>
      <c r="C541" s="334" t="s">
        <v>1927</v>
      </c>
      <c r="D541" s="380"/>
      <c r="E541" s="380"/>
      <c r="F541" s="378"/>
      <c r="G541" s="380"/>
      <c r="H541" s="380"/>
      <c r="I541" s="399"/>
      <c r="J541" s="380"/>
      <c r="K541" s="380"/>
      <c r="L541" s="378"/>
      <c r="M541" s="380"/>
      <c r="N541" s="380"/>
      <c r="O541" s="380"/>
      <c r="P541" s="380"/>
      <c r="Q541" s="380"/>
    </row>
    <row r="542" spans="1:17" x14ac:dyDescent="0.2">
      <c r="A542" s="334" t="s">
        <v>1737</v>
      </c>
      <c r="B542" s="380"/>
      <c r="C542" s="334" t="s">
        <v>1928</v>
      </c>
      <c r="D542" s="380"/>
      <c r="E542" s="380"/>
      <c r="F542" s="378"/>
      <c r="G542" s="380"/>
      <c r="H542" s="380"/>
      <c r="I542" s="399"/>
      <c r="J542" s="380"/>
      <c r="K542" s="380"/>
      <c r="L542" s="378"/>
      <c r="M542" s="380"/>
      <c r="N542" s="380"/>
      <c r="O542" s="380"/>
      <c r="P542" s="380"/>
      <c r="Q542" s="380"/>
    </row>
    <row r="543" spans="1:17" x14ac:dyDescent="0.2">
      <c r="A543" s="334" t="s">
        <v>1726</v>
      </c>
      <c r="B543" s="380"/>
      <c r="C543" s="334" t="s">
        <v>1117</v>
      </c>
      <c r="D543" s="380"/>
      <c r="E543" s="380">
        <v>125</v>
      </c>
      <c r="F543" s="378"/>
      <c r="G543" s="380"/>
      <c r="H543" s="380">
        <v>600</v>
      </c>
      <c r="I543" s="399"/>
      <c r="J543" s="380"/>
      <c r="K543" s="380">
        <v>75</v>
      </c>
      <c r="L543" s="378"/>
      <c r="M543" s="380"/>
      <c r="N543" s="380">
        <v>600</v>
      </c>
      <c r="O543" s="380"/>
      <c r="P543" s="380"/>
      <c r="Q543" s="380"/>
    </row>
    <row r="544" spans="1:17" x14ac:dyDescent="0.2">
      <c r="A544" s="334" t="s">
        <v>1756</v>
      </c>
      <c r="B544" s="380"/>
      <c r="C544" s="334" t="s">
        <v>3137</v>
      </c>
      <c r="D544" s="380"/>
      <c r="E544" s="380"/>
      <c r="F544" s="378"/>
      <c r="G544" s="380"/>
      <c r="H544" s="380"/>
      <c r="I544" s="399"/>
      <c r="J544" s="380"/>
      <c r="K544" s="380"/>
      <c r="L544" s="378"/>
      <c r="M544" s="380"/>
      <c r="N544" s="380"/>
      <c r="O544" s="380"/>
      <c r="P544" s="380"/>
      <c r="Q544" s="380"/>
    </row>
    <row r="545" spans="1:17" x14ac:dyDescent="0.2">
      <c r="A545" s="334" t="s">
        <v>1751</v>
      </c>
      <c r="B545" s="380"/>
      <c r="C545" s="334" t="s">
        <v>3138</v>
      </c>
      <c r="D545" s="380"/>
      <c r="E545" s="380"/>
      <c r="F545" s="378"/>
      <c r="G545" s="380"/>
      <c r="H545" s="380"/>
      <c r="I545" s="399"/>
      <c r="J545" s="380"/>
      <c r="K545" s="380"/>
      <c r="L545" s="378"/>
      <c r="M545" s="380"/>
      <c r="N545" s="380"/>
      <c r="O545" s="380"/>
      <c r="P545" s="380"/>
      <c r="Q545" s="380"/>
    </row>
    <row r="546" spans="1:17" x14ac:dyDescent="0.2">
      <c r="A546" s="334" t="s">
        <v>1752</v>
      </c>
      <c r="B546" s="380"/>
      <c r="C546" s="334" t="s">
        <v>367</v>
      </c>
      <c r="D546" s="380"/>
      <c r="E546" s="380"/>
      <c r="F546" s="378"/>
      <c r="G546" s="380"/>
      <c r="H546" s="380"/>
      <c r="I546" s="399"/>
      <c r="J546" s="380"/>
      <c r="K546" s="380"/>
      <c r="L546" s="378"/>
      <c r="M546" s="380"/>
      <c r="N546" s="380"/>
      <c r="O546" s="380"/>
      <c r="P546" s="380"/>
      <c r="Q546" s="380"/>
    </row>
    <row r="547" spans="1:17" x14ac:dyDescent="0.2">
      <c r="A547" s="334" t="s">
        <v>1577</v>
      </c>
      <c r="B547" s="380"/>
      <c r="C547" s="334" t="s">
        <v>1815</v>
      </c>
      <c r="D547" s="380"/>
      <c r="E547" s="380"/>
      <c r="F547" s="378"/>
      <c r="G547" s="380"/>
      <c r="H547" s="380"/>
      <c r="I547" s="399"/>
      <c r="J547" s="380"/>
      <c r="K547" s="380"/>
      <c r="L547" s="378"/>
      <c r="M547" s="380"/>
      <c r="N547" s="380"/>
      <c r="O547" s="380"/>
      <c r="P547" s="380"/>
      <c r="Q547" s="380"/>
    </row>
    <row r="548" spans="1:17" x14ac:dyDescent="0.2">
      <c r="A548" s="334" t="s">
        <v>1753</v>
      </c>
      <c r="B548" s="380"/>
      <c r="C548" s="334" t="s">
        <v>1816</v>
      </c>
      <c r="D548" s="380"/>
      <c r="E548" s="380"/>
      <c r="F548" s="378"/>
      <c r="G548" s="380"/>
      <c r="H548" s="380"/>
      <c r="I548" s="399"/>
      <c r="J548" s="380"/>
      <c r="K548" s="380"/>
      <c r="L548" s="378"/>
      <c r="M548" s="380"/>
      <c r="N548" s="380"/>
      <c r="O548" s="380"/>
      <c r="P548" s="380"/>
      <c r="Q548" s="380"/>
    </row>
    <row r="549" spans="1:17" x14ac:dyDescent="0.2">
      <c r="A549" s="334" t="s">
        <v>1734</v>
      </c>
      <c r="B549" s="380"/>
      <c r="C549" s="334" t="s">
        <v>1746</v>
      </c>
      <c r="D549" s="380"/>
      <c r="E549" s="380"/>
      <c r="F549" s="378"/>
      <c r="G549" s="380"/>
      <c r="H549" s="380"/>
      <c r="I549" s="399"/>
      <c r="J549" s="380"/>
      <c r="K549" s="380"/>
      <c r="L549" s="378"/>
      <c r="M549" s="380"/>
      <c r="N549" s="380"/>
      <c r="O549" s="380"/>
      <c r="P549" s="380"/>
      <c r="Q549" s="380"/>
    </row>
    <row r="550" spans="1:17" x14ac:dyDescent="0.2">
      <c r="A550" s="334" t="s">
        <v>1571</v>
      </c>
      <c r="B550" s="380"/>
      <c r="C550" s="334" t="s">
        <v>3</v>
      </c>
      <c r="D550" s="380"/>
      <c r="E550" s="380"/>
      <c r="F550" s="378"/>
      <c r="G550" s="380"/>
      <c r="H550" s="380"/>
      <c r="I550" s="399"/>
      <c r="J550" s="380"/>
      <c r="K550" s="380"/>
      <c r="L550" s="378"/>
      <c r="M550" s="380"/>
      <c r="N550" s="380"/>
      <c r="O550" s="380"/>
      <c r="P550" s="380"/>
      <c r="Q550" s="380"/>
    </row>
    <row r="551" spans="1:17" x14ac:dyDescent="0.2">
      <c r="A551" s="334" t="s">
        <v>1738</v>
      </c>
      <c r="B551" s="380"/>
      <c r="C551" s="334" t="s">
        <v>1591</v>
      </c>
      <c r="D551" s="380"/>
      <c r="E551" s="380"/>
      <c r="F551" s="378"/>
      <c r="G551" s="380"/>
      <c r="H551" s="380">
        <v>250</v>
      </c>
      <c r="I551" s="399"/>
      <c r="J551" s="380"/>
      <c r="K551" s="380"/>
      <c r="L551" s="378"/>
      <c r="M551" s="380"/>
      <c r="N551" s="380">
        <v>250</v>
      </c>
      <c r="O551" s="380"/>
      <c r="P551" s="380"/>
      <c r="Q551" s="380"/>
    </row>
    <row r="552" spans="1:17" x14ac:dyDescent="0.2">
      <c r="A552" s="334" t="s">
        <v>1727</v>
      </c>
      <c r="B552" s="380"/>
      <c r="C552" s="334" t="s">
        <v>307</v>
      </c>
      <c r="D552" s="380"/>
      <c r="E552" s="380"/>
      <c r="F552" s="378"/>
      <c r="G552" s="380"/>
      <c r="H552" s="380">
        <v>250</v>
      </c>
      <c r="I552" s="399"/>
      <c r="J552" s="380"/>
      <c r="K552" s="380">
        <v>25</v>
      </c>
      <c r="L552" s="378"/>
      <c r="M552" s="380"/>
      <c r="N552" s="380">
        <v>250</v>
      </c>
      <c r="O552" s="380"/>
      <c r="P552" s="380"/>
      <c r="Q552" s="380"/>
    </row>
    <row r="553" spans="1:17" x14ac:dyDescent="0.2">
      <c r="A553" s="334" t="s">
        <v>1728</v>
      </c>
      <c r="B553" s="380"/>
      <c r="C553" s="334" t="s">
        <v>310</v>
      </c>
      <c r="D553" s="380"/>
      <c r="E553" s="380">
        <v>50</v>
      </c>
      <c r="F553" s="378"/>
      <c r="G553" s="380"/>
      <c r="H553" s="380">
        <v>300</v>
      </c>
      <c r="I553" s="399"/>
      <c r="J553" s="380"/>
      <c r="K553" s="380"/>
      <c r="L553" s="378"/>
      <c r="M553" s="380"/>
      <c r="N553" s="380">
        <v>300</v>
      </c>
      <c r="O553" s="380"/>
      <c r="P553" s="380"/>
      <c r="Q553" s="380"/>
    </row>
    <row r="554" spans="1:17" x14ac:dyDescent="0.2">
      <c r="A554" s="334" t="s">
        <v>1729</v>
      </c>
      <c r="B554" s="380"/>
      <c r="C554" s="380" t="s">
        <v>1551</v>
      </c>
      <c r="D554" s="380"/>
      <c r="E554" s="380"/>
      <c r="F554" s="378"/>
      <c r="G554" s="380"/>
      <c r="H554" s="380"/>
      <c r="I554" s="399"/>
      <c r="J554" s="380"/>
      <c r="K554" s="380"/>
      <c r="L554" s="378"/>
      <c r="M554" s="380"/>
      <c r="N554" s="380">
        <v>300</v>
      </c>
      <c r="O554" s="380"/>
      <c r="P554" s="380"/>
      <c r="Q554" s="380"/>
    </row>
    <row r="555" spans="1:17" x14ac:dyDescent="0.2">
      <c r="A555" s="334" t="s">
        <v>1735</v>
      </c>
      <c r="B555" s="380"/>
      <c r="C555" s="380" t="s">
        <v>194</v>
      </c>
      <c r="D555" s="380"/>
      <c r="E555" s="380"/>
      <c r="F555" s="378"/>
      <c r="G555" s="380"/>
      <c r="H555" s="380"/>
      <c r="I555" s="399"/>
      <c r="J555" s="380"/>
      <c r="K555" s="380"/>
      <c r="L555" s="378"/>
      <c r="M555" s="380"/>
      <c r="N555" s="380">
        <v>150</v>
      </c>
      <c r="O555" s="380"/>
      <c r="P555" s="380"/>
      <c r="Q555" s="380"/>
    </row>
    <row r="556" spans="1:17" x14ac:dyDescent="0.2">
      <c r="A556" s="334" t="s">
        <v>1741</v>
      </c>
      <c r="B556" s="380"/>
      <c r="C556" s="334" t="s">
        <v>1748</v>
      </c>
      <c r="D556" s="380"/>
      <c r="E556" s="380"/>
      <c r="F556" s="378"/>
      <c r="G556" s="380"/>
      <c r="H556" s="380"/>
      <c r="I556" s="399"/>
      <c r="J556" s="380"/>
      <c r="K556" s="380"/>
      <c r="L556" s="378"/>
      <c r="M556" s="380"/>
      <c r="N556" s="380"/>
      <c r="O556" s="380"/>
      <c r="P556" s="380"/>
      <c r="Q556" s="380"/>
    </row>
    <row r="557" spans="1:17" x14ac:dyDescent="0.2">
      <c r="A557" s="334" t="s">
        <v>1742</v>
      </c>
      <c r="B557" s="380"/>
      <c r="C557" s="334" t="s">
        <v>1553</v>
      </c>
      <c r="D557" s="380"/>
      <c r="E557" s="380"/>
      <c r="F557" s="378"/>
      <c r="G557" s="380"/>
      <c r="H557" s="380"/>
      <c r="I557" s="399"/>
      <c r="J557" s="380"/>
      <c r="K557" s="380"/>
      <c r="L557" s="378"/>
      <c r="M557" s="380"/>
      <c r="N557" s="380"/>
      <c r="O557" s="380"/>
      <c r="P557" s="380"/>
      <c r="Q557" s="380"/>
    </row>
    <row r="558" spans="1:17" x14ac:dyDescent="0.2">
      <c r="A558" s="334" t="s">
        <v>1754</v>
      </c>
      <c r="B558" s="380"/>
      <c r="C558" s="334" t="s">
        <v>1929</v>
      </c>
      <c r="D558" s="380"/>
      <c r="E558" s="380"/>
      <c r="F558" s="378"/>
      <c r="G558" s="380"/>
      <c r="H558" s="380"/>
      <c r="I558" s="399"/>
      <c r="J558" s="380"/>
      <c r="K558" s="380"/>
      <c r="L558" s="378"/>
      <c r="M558" s="380"/>
      <c r="N558" s="380"/>
      <c r="O558" s="380"/>
      <c r="P558" s="380"/>
      <c r="Q558" s="380"/>
    </row>
    <row r="559" spans="1:17" x14ac:dyDescent="0.2">
      <c r="A559" s="334" t="s">
        <v>1584</v>
      </c>
      <c r="B559" s="380"/>
      <c r="C559" s="334" t="s">
        <v>0</v>
      </c>
      <c r="D559" s="380"/>
      <c r="E559" s="380"/>
      <c r="F559" s="378"/>
      <c r="G559" s="380"/>
      <c r="H559" s="380"/>
      <c r="I559" s="399"/>
      <c r="J559" s="380"/>
      <c r="K559" s="380"/>
      <c r="L559" s="378"/>
      <c r="M559" s="380"/>
      <c r="N559" s="380"/>
      <c r="O559" s="380"/>
      <c r="P559" s="380"/>
      <c r="Q559" s="380"/>
    </row>
    <row r="560" spans="1:17" x14ac:dyDescent="0.2">
      <c r="A560" s="334" t="s">
        <v>1580</v>
      </c>
      <c r="B560" s="380"/>
      <c r="C560" s="334" t="s">
        <v>1936</v>
      </c>
      <c r="D560" s="380"/>
      <c r="E560" s="380"/>
      <c r="F560" s="378"/>
      <c r="G560" s="380"/>
      <c r="H560" s="380"/>
      <c r="I560" s="399"/>
      <c r="J560" s="380"/>
      <c r="K560" s="380"/>
      <c r="L560" s="378"/>
      <c r="M560" s="380"/>
      <c r="N560" s="380"/>
      <c r="O560" s="380"/>
      <c r="P560" s="380"/>
      <c r="Q560" s="380"/>
    </row>
    <row r="561" spans="1:17" x14ac:dyDescent="0.2">
      <c r="A561" s="334" t="s">
        <v>1572</v>
      </c>
      <c r="B561" s="380"/>
      <c r="C561" s="334" t="s">
        <v>3134</v>
      </c>
      <c r="D561" s="380"/>
      <c r="E561" s="380"/>
      <c r="F561" s="378"/>
      <c r="G561" s="380"/>
      <c r="H561" s="380"/>
      <c r="I561" s="399"/>
      <c r="J561" s="380"/>
      <c r="K561" s="380"/>
      <c r="L561" s="378"/>
      <c r="M561" s="380"/>
      <c r="N561" s="380"/>
      <c r="O561" s="380"/>
      <c r="P561" s="380"/>
      <c r="Q561" s="380"/>
    </row>
    <row r="562" spans="1:17" x14ac:dyDescent="0.2">
      <c r="A562" s="334" t="s">
        <v>1730</v>
      </c>
      <c r="B562" s="380"/>
      <c r="C562" s="334" t="s">
        <v>1985</v>
      </c>
      <c r="D562" s="380"/>
      <c r="E562" s="380"/>
      <c r="F562" s="378"/>
      <c r="G562" s="380"/>
      <c r="H562" s="380"/>
      <c r="I562" s="399"/>
      <c r="J562" s="380"/>
      <c r="K562" s="380"/>
      <c r="L562" s="378"/>
      <c r="M562" s="380"/>
      <c r="N562" s="380"/>
      <c r="O562" s="380"/>
      <c r="P562" s="380"/>
      <c r="Q562" s="380"/>
    </row>
    <row r="563" spans="1:17" x14ac:dyDescent="0.2">
      <c r="A563" s="334" t="s">
        <v>1566</v>
      </c>
      <c r="B563" s="380"/>
      <c r="C563" s="334" t="s">
        <v>366</v>
      </c>
      <c r="D563" s="380"/>
      <c r="E563" s="380"/>
      <c r="F563" s="378"/>
      <c r="G563" s="380"/>
      <c r="H563" s="380">
        <v>200</v>
      </c>
      <c r="I563" s="399"/>
      <c r="J563" s="380"/>
      <c r="K563" s="380"/>
      <c r="L563" s="378"/>
      <c r="M563" s="380"/>
      <c r="N563" s="380">
        <v>200</v>
      </c>
      <c r="O563" s="380"/>
      <c r="P563" s="380"/>
      <c r="Q563" s="380"/>
    </row>
    <row r="564" spans="1:17" x14ac:dyDescent="0.2">
      <c r="A564" s="334" t="s">
        <v>1755</v>
      </c>
      <c r="B564" s="380"/>
      <c r="C564" s="380" t="s">
        <v>1986</v>
      </c>
      <c r="D564" s="380"/>
      <c r="E564" s="380">
        <v>150</v>
      </c>
      <c r="F564" s="378"/>
      <c r="G564" s="380"/>
      <c r="H564" s="380">
        <v>800</v>
      </c>
      <c r="I564" s="399"/>
      <c r="J564" s="380"/>
      <c r="K564" s="380">
        <v>50</v>
      </c>
      <c r="L564" s="378"/>
      <c r="M564" s="380"/>
      <c r="N564" s="380">
        <v>800</v>
      </c>
      <c r="O564" s="380"/>
      <c r="P564" s="380"/>
      <c r="Q564" s="380"/>
    </row>
    <row r="565" spans="1:17" x14ac:dyDescent="0.2">
      <c r="A565" s="334" t="s">
        <v>1567</v>
      </c>
      <c r="B565" s="380"/>
      <c r="C565" s="334" t="s">
        <v>3142</v>
      </c>
      <c r="D565" s="380"/>
      <c r="E565" s="380"/>
      <c r="F565" s="378"/>
      <c r="G565" s="380"/>
      <c r="H565" s="380"/>
      <c r="I565" s="399"/>
      <c r="J565" s="380"/>
      <c r="K565" s="380"/>
      <c r="L565" s="378"/>
      <c r="M565" s="380"/>
      <c r="N565" s="380"/>
      <c r="O565" s="380"/>
      <c r="P565" s="380"/>
      <c r="Q565" s="380"/>
    </row>
    <row r="566" spans="1:17" x14ac:dyDescent="0.2">
      <c r="A566" s="380"/>
      <c r="B566" s="380"/>
      <c r="C566" s="380"/>
      <c r="D566" s="394"/>
      <c r="E566" s="394"/>
      <c r="F566" s="413"/>
      <c r="G566" s="394"/>
      <c r="H566" s="394"/>
      <c r="I566" s="387"/>
      <c r="J566" s="394"/>
      <c r="K566" s="394"/>
      <c r="L566" s="413"/>
      <c r="M566" s="394"/>
      <c r="N566" s="394"/>
      <c r="O566" s="380"/>
      <c r="P566" s="380"/>
      <c r="Q566" s="380"/>
    </row>
    <row r="567" spans="1:17" ht="15.75" thickBot="1" x14ac:dyDescent="0.25">
      <c r="A567" s="380"/>
      <c r="B567" s="380"/>
      <c r="C567" s="380"/>
      <c r="D567" s="411">
        <f>SUM(D533:D565)</f>
        <v>0</v>
      </c>
      <c r="E567" s="411">
        <f t="shared" ref="E567:H567" si="3">SUM(E533:E565)</f>
        <v>400</v>
      </c>
      <c r="F567" s="414">
        <f t="shared" si="3"/>
        <v>0</v>
      </c>
      <c r="G567" s="411"/>
      <c r="H567" s="411">
        <f t="shared" si="3"/>
        <v>5500</v>
      </c>
      <c r="I567" s="387"/>
      <c r="J567" s="411">
        <f>SUM(J533:J565)</f>
        <v>0</v>
      </c>
      <c r="K567" s="411">
        <f t="shared" ref="K567:L567" si="4">SUM(K533:K565)</f>
        <v>200</v>
      </c>
      <c r="L567" s="414">
        <f t="shared" si="4"/>
        <v>0</v>
      </c>
      <c r="M567" s="411"/>
      <c r="N567" s="411">
        <f t="shared" ref="N567" si="5">SUM(N533:N565)</f>
        <v>5000</v>
      </c>
      <c r="O567" s="380"/>
      <c r="P567" s="380"/>
      <c r="Q567" s="380"/>
    </row>
    <row r="568" spans="1:17" x14ac:dyDescent="0.2">
      <c r="A568" s="380"/>
      <c r="B568" s="380"/>
      <c r="C568" s="380"/>
      <c r="D568" s="385"/>
      <c r="E568" s="385"/>
      <c r="F568" s="415"/>
      <c r="G568" s="385"/>
      <c r="H568" s="385"/>
      <c r="I568" s="387"/>
      <c r="J568" s="385"/>
      <c r="K568" s="385"/>
      <c r="L568" s="415"/>
      <c r="M568" s="385"/>
      <c r="N568" s="385"/>
      <c r="O568" s="380"/>
      <c r="P568" s="380"/>
      <c r="Q568" s="380"/>
    </row>
    <row r="569" spans="1:17" ht="15.75" x14ac:dyDescent="0.25">
      <c r="A569" s="380"/>
      <c r="B569" s="380"/>
      <c r="C569" s="380"/>
      <c r="D569" s="385"/>
      <c r="E569" s="385"/>
      <c r="F569" s="415"/>
      <c r="G569" s="385"/>
      <c r="H569" s="385"/>
      <c r="I569" s="397"/>
      <c r="J569" s="385"/>
      <c r="K569" s="385"/>
      <c r="L569" s="415"/>
      <c r="M569" s="385"/>
      <c r="N569" s="385"/>
      <c r="O569" s="380"/>
      <c r="P569" s="380"/>
      <c r="Q569" s="380"/>
    </row>
    <row r="570" spans="1:17" x14ac:dyDescent="0.2">
      <c r="A570" s="380"/>
      <c r="B570" s="380"/>
      <c r="C570" s="380"/>
      <c r="D570" s="334"/>
      <c r="E570" s="334"/>
      <c r="F570" s="412"/>
      <c r="G570" s="334"/>
      <c r="H570" s="334"/>
      <c r="I570" s="387"/>
      <c r="J570" s="334"/>
      <c r="K570" s="334"/>
      <c r="L570" s="412"/>
      <c r="M570" s="334"/>
      <c r="N570" s="334"/>
      <c r="O570" s="380"/>
      <c r="P570" s="380"/>
      <c r="Q570" s="380"/>
    </row>
    <row r="571" spans="1:17" x14ac:dyDescent="0.2">
      <c r="A571" s="334" t="s">
        <v>539</v>
      </c>
      <c r="B571" s="380"/>
      <c r="C571" s="380"/>
      <c r="D571" s="334" t="s">
        <v>1637</v>
      </c>
      <c r="E571" s="334" t="s">
        <v>1638</v>
      </c>
      <c r="F571" s="412" t="s">
        <v>1639</v>
      </c>
      <c r="G571" s="334"/>
      <c r="H571" s="334" t="s">
        <v>1641</v>
      </c>
      <c r="I571" s="387"/>
      <c r="J571" s="334" t="s">
        <v>1637</v>
      </c>
      <c r="K571" s="334" t="s">
        <v>1638</v>
      </c>
      <c r="L571" s="412" t="s">
        <v>1639</v>
      </c>
      <c r="M571" s="334"/>
      <c r="N571" s="334" t="s">
        <v>1641</v>
      </c>
      <c r="O571" s="380"/>
      <c r="P571" s="380"/>
      <c r="Q571" s="380"/>
    </row>
    <row r="572" spans="1:17" x14ac:dyDescent="0.2">
      <c r="A572" s="380"/>
      <c r="B572" s="380"/>
      <c r="C572" s="384" t="s">
        <v>436</v>
      </c>
      <c r="D572" s="334" t="s">
        <v>245</v>
      </c>
      <c r="E572" s="334" t="s">
        <v>57</v>
      </c>
      <c r="F572" s="412" t="s">
        <v>2921</v>
      </c>
      <c r="G572" s="334"/>
      <c r="H572" s="334" t="s">
        <v>61</v>
      </c>
      <c r="I572" s="387"/>
      <c r="J572" s="334" t="s">
        <v>245</v>
      </c>
      <c r="K572" s="334" t="s">
        <v>57</v>
      </c>
      <c r="L572" s="412" t="s">
        <v>247</v>
      </c>
      <c r="M572" s="334"/>
      <c r="N572" s="334" t="s">
        <v>61</v>
      </c>
      <c r="O572" s="380"/>
      <c r="P572" s="380"/>
      <c r="Q572" s="380"/>
    </row>
    <row r="573" spans="1:17" x14ac:dyDescent="0.2">
      <c r="A573" s="380"/>
      <c r="B573" s="380"/>
      <c r="C573" s="380"/>
      <c r="D573" s="334" t="s">
        <v>246</v>
      </c>
      <c r="E573" s="334" t="s">
        <v>58</v>
      </c>
      <c r="F573" s="412" t="s">
        <v>248</v>
      </c>
      <c r="G573" s="334"/>
      <c r="H573" s="334" t="s">
        <v>62</v>
      </c>
      <c r="I573" s="387"/>
      <c r="J573" s="334" t="s">
        <v>246</v>
      </c>
      <c r="K573" s="334" t="s">
        <v>58</v>
      </c>
      <c r="L573" s="412" t="s">
        <v>248</v>
      </c>
      <c r="M573" s="334"/>
      <c r="N573" s="334" t="s">
        <v>62</v>
      </c>
      <c r="O573" s="380"/>
      <c r="P573" s="380"/>
      <c r="Q573" s="380"/>
    </row>
    <row r="574" spans="1:17" x14ac:dyDescent="0.2">
      <c r="A574" s="334" t="s">
        <v>342</v>
      </c>
      <c r="B574" s="380"/>
      <c r="C574" s="334" t="s">
        <v>342</v>
      </c>
      <c r="D574" s="380"/>
      <c r="E574" s="380"/>
      <c r="F574" s="378"/>
      <c r="G574" s="380"/>
      <c r="H574" s="380"/>
      <c r="I574" s="387"/>
      <c r="J574" s="380"/>
      <c r="K574" s="380"/>
      <c r="L574" s="378"/>
      <c r="M574" s="380"/>
      <c r="N574" s="380"/>
      <c r="O574" s="380"/>
      <c r="P574" s="380"/>
      <c r="Q574" s="380"/>
    </row>
    <row r="575" spans="1:17" x14ac:dyDescent="0.2">
      <c r="A575" s="334" t="s">
        <v>1723</v>
      </c>
      <c r="B575" s="380"/>
      <c r="C575" s="334" t="s">
        <v>1880</v>
      </c>
      <c r="D575" s="334" t="s">
        <v>181</v>
      </c>
      <c r="E575" s="334" t="s">
        <v>181</v>
      </c>
      <c r="F575" s="412" t="s">
        <v>181</v>
      </c>
      <c r="G575" s="334"/>
      <c r="H575" s="334" t="s">
        <v>181</v>
      </c>
      <c r="I575" s="387"/>
      <c r="J575" s="334" t="s">
        <v>181</v>
      </c>
      <c r="K575" s="334" t="s">
        <v>181</v>
      </c>
      <c r="L575" s="412" t="s">
        <v>181</v>
      </c>
      <c r="M575" s="334"/>
      <c r="N575" s="334" t="s">
        <v>181</v>
      </c>
      <c r="O575" s="380"/>
      <c r="P575" s="380"/>
      <c r="Q575" s="380"/>
    </row>
    <row r="576" spans="1:17" x14ac:dyDescent="0.2">
      <c r="A576" s="380"/>
      <c r="B576" s="380"/>
      <c r="C576" s="380"/>
      <c r="D576" s="380"/>
      <c r="E576" s="380"/>
      <c r="F576" s="378"/>
      <c r="G576" s="380"/>
      <c r="H576" s="380"/>
      <c r="I576" s="387"/>
      <c r="J576" s="380"/>
      <c r="K576" s="380"/>
      <c r="L576" s="378"/>
      <c r="M576" s="380"/>
      <c r="N576" s="380"/>
      <c r="O576" s="380"/>
      <c r="P576" s="380"/>
      <c r="Q576" s="380"/>
    </row>
    <row r="577" spans="1:17" x14ac:dyDescent="0.2">
      <c r="A577" s="334" t="s">
        <v>1733</v>
      </c>
      <c r="B577" s="380"/>
      <c r="C577" s="334" t="s">
        <v>27</v>
      </c>
      <c r="D577" s="380"/>
      <c r="E577" s="380"/>
      <c r="F577" s="378"/>
      <c r="G577" s="380"/>
      <c r="H577" s="380"/>
      <c r="I577" s="399"/>
      <c r="J577" s="380"/>
      <c r="K577" s="380"/>
      <c r="L577" s="378"/>
      <c r="M577" s="380"/>
      <c r="N577" s="380"/>
      <c r="O577" s="380"/>
      <c r="P577" s="380"/>
      <c r="Q577" s="380"/>
    </row>
    <row r="578" spans="1:17" x14ac:dyDescent="0.2">
      <c r="A578" s="334" t="s">
        <v>1743</v>
      </c>
      <c r="B578" s="380"/>
      <c r="C578" s="334" t="s">
        <v>1886</v>
      </c>
      <c r="D578" s="380"/>
      <c r="E578" s="380"/>
      <c r="F578" s="378"/>
      <c r="G578" s="380"/>
      <c r="H578" s="380"/>
      <c r="I578" s="399"/>
      <c r="J578" s="380"/>
      <c r="K578" s="380"/>
      <c r="L578" s="378"/>
      <c r="M578" s="380"/>
      <c r="N578" s="380"/>
      <c r="O578" s="380"/>
      <c r="P578" s="380"/>
      <c r="Q578" s="380"/>
    </row>
    <row r="579" spans="1:17" x14ac:dyDescent="0.2">
      <c r="A579" s="334" t="s">
        <v>1569</v>
      </c>
      <c r="B579" s="380"/>
      <c r="C579" s="334" t="s">
        <v>1888</v>
      </c>
      <c r="D579" s="380"/>
      <c r="E579" s="380"/>
      <c r="F579" s="378"/>
      <c r="G579" s="380"/>
      <c r="H579" s="380"/>
      <c r="I579" s="399"/>
      <c r="J579" s="380"/>
      <c r="K579" s="380"/>
      <c r="L579" s="378"/>
      <c r="M579" s="380"/>
      <c r="N579" s="380"/>
      <c r="O579" s="380"/>
      <c r="P579" s="380"/>
      <c r="Q579" s="380"/>
    </row>
    <row r="580" spans="1:17" x14ac:dyDescent="0.2">
      <c r="A580" s="334" t="s">
        <v>1724</v>
      </c>
      <c r="B580" s="380"/>
      <c r="C580" s="334" t="s">
        <v>1881</v>
      </c>
      <c r="D580" s="380"/>
      <c r="E580" s="380"/>
      <c r="F580" s="378"/>
      <c r="G580" s="380"/>
      <c r="H580" s="380">
        <v>1100</v>
      </c>
      <c r="I580" s="399"/>
      <c r="J580" s="380">
        <v>0</v>
      </c>
      <c r="K580" s="380">
        <v>0</v>
      </c>
      <c r="L580" s="378"/>
      <c r="M580" s="380"/>
      <c r="N580" s="380">
        <v>100</v>
      </c>
      <c r="O580" s="380"/>
      <c r="P580" s="380"/>
      <c r="Q580" s="380"/>
    </row>
    <row r="581" spans="1:17" x14ac:dyDescent="0.2">
      <c r="A581" s="334" t="s">
        <v>1736</v>
      </c>
      <c r="B581" s="380"/>
      <c r="C581" s="334" t="s">
        <v>1747</v>
      </c>
      <c r="D581" s="380"/>
      <c r="E581" s="380"/>
      <c r="F581" s="378"/>
      <c r="G581" s="380"/>
      <c r="H581" s="380"/>
      <c r="I581" s="399"/>
      <c r="J581" s="380"/>
      <c r="K581" s="380"/>
      <c r="L581" s="378"/>
      <c r="M581" s="380"/>
      <c r="N581" s="380"/>
      <c r="O581" s="380"/>
      <c r="P581" s="380"/>
      <c r="Q581" s="380"/>
    </row>
    <row r="582" spans="1:17" x14ac:dyDescent="0.2">
      <c r="A582" s="334" t="s">
        <v>1744</v>
      </c>
      <c r="B582" s="380"/>
      <c r="C582" s="334" t="s">
        <v>1254</v>
      </c>
      <c r="D582" s="380"/>
      <c r="E582" s="380"/>
      <c r="F582" s="378"/>
      <c r="G582" s="380"/>
      <c r="H582" s="380"/>
      <c r="I582" s="399"/>
      <c r="J582" s="380"/>
      <c r="K582" s="380"/>
      <c r="L582" s="378"/>
      <c r="M582" s="380"/>
      <c r="N582" s="380"/>
      <c r="O582" s="380"/>
      <c r="P582" s="380"/>
      <c r="Q582" s="380"/>
    </row>
    <row r="583" spans="1:17" x14ac:dyDescent="0.2">
      <c r="A583" s="334" t="s">
        <v>1575</v>
      </c>
      <c r="B583" s="380"/>
      <c r="C583" s="334" t="s">
        <v>1889</v>
      </c>
      <c r="D583" s="380"/>
      <c r="E583" s="380"/>
      <c r="F583" s="378"/>
      <c r="G583" s="380"/>
      <c r="H583" s="380"/>
      <c r="I583" s="399"/>
      <c r="J583" s="380"/>
      <c r="K583" s="380"/>
      <c r="L583" s="378"/>
      <c r="M583" s="380"/>
      <c r="N583" s="380"/>
      <c r="O583" s="380"/>
      <c r="P583" s="380"/>
      <c r="Q583" s="380"/>
    </row>
    <row r="584" spans="1:17" x14ac:dyDescent="0.2">
      <c r="A584" s="334" t="s">
        <v>1725</v>
      </c>
      <c r="B584" s="380"/>
      <c r="C584" s="334" t="s">
        <v>1890</v>
      </c>
      <c r="D584" s="380"/>
      <c r="E584" s="380"/>
      <c r="F584" s="378"/>
      <c r="G584" s="380"/>
      <c r="H584" s="380"/>
      <c r="I584" s="399"/>
      <c r="J584" s="380"/>
      <c r="K584" s="380"/>
      <c r="L584" s="378"/>
      <c r="M584" s="380"/>
      <c r="N584" s="380"/>
      <c r="O584" s="380"/>
      <c r="P584" s="380"/>
      <c r="Q584" s="380"/>
    </row>
    <row r="585" spans="1:17" x14ac:dyDescent="0.2">
      <c r="A585" s="334" t="s">
        <v>1565</v>
      </c>
      <c r="B585" s="380"/>
      <c r="C585" s="334" t="s">
        <v>1927</v>
      </c>
      <c r="D585" s="380"/>
      <c r="E585" s="380"/>
      <c r="F585" s="378"/>
      <c r="G585" s="380"/>
      <c r="H585" s="380"/>
      <c r="I585" s="399"/>
      <c r="J585" s="380"/>
      <c r="K585" s="380"/>
      <c r="L585" s="378"/>
      <c r="M585" s="380"/>
      <c r="N585" s="380"/>
      <c r="O585" s="380"/>
      <c r="P585" s="380"/>
      <c r="Q585" s="380"/>
    </row>
    <row r="586" spans="1:17" x14ac:dyDescent="0.2">
      <c r="A586" s="334" t="s">
        <v>1737</v>
      </c>
      <c r="B586" s="380"/>
      <c r="C586" s="334" t="s">
        <v>1928</v>
      </c>
      <c r="D586" s="380"/>
      <c r="E586" s="380"/>
      <c r="F586" s="378"/>
      <c r="G586" s="380"/>
      <c r="H586" s="380"/>
      <c r="I586" s="399"/>
      <c r="J586" s="380"/>
      <c r="K586" s="380"/>
      <c r="L586" s="378"/>
      <c r="M586" s="380"/>
      <c r="N586" s="380">
        <v>50</v>
      </c>
      <c r="O586" s="380"/>
      <c r="P586" s="380"/>
      <c r="Q586" s="380"/>
    </row>
    <row r="587" spans="1:17" x14ac:dyDescent="0.2">
      <c r="A587" s="334" t="s">
        <v>1726</v>
      </c>
      <c r="B587" s="380"/>
      <c r="C587" s="334" t="s">
        <v>1117</v>
      </c>
      <c r="D587" s="380"/>
      <c r="E587" s="380"/>
      <c r="F587" s="378"/>
      <c r="G587" s="380"/>
      <c r="H587" s="380"/>
      <c r="I587" s="399"/>
      <c r="J587" s="380"/>
      <c r="K587" s="380"/>
      <c r="L587" s="378"/>
      <c r="M587" s="380"/>
      <c r="N587" s="380">
        <v>100</v>
      </c>
      <c r="O587" s="380"/>
      <c r="P587" s="380"/>
      <c r="Q587" s="380"/>
    </row>
    <row r="588" spans="1:17" x14ac:dyDescent="0.2">
      <c r="A588" s="334" t="s">
        <v>1756</v>
      </c>
      <c r="B588" s="380"/>
      <c r="C588" s="334" t="s">
        <v>3137</v>
      </c>
      <c r="D588" s="380"/>
      <c r="E588" s="380"/>
      <c r="F588" s="378"/>
      <c r="G588" s="380"/>
      <c r="H588" s="380"/>
      <c r="I588" s="399"/>
      <c r="J588" s="380"/>
      <c r="K588" s="380"/>
      <c r="L588" s="378"/>
      <c r="M588" s="380"/>
      <c r="N588" s="380"/>
      <c r="O588" s="380"/>
      <c r="P588" s="380"/>
      <c r="Q588" s="380"/>
    </row>
    <row r="589" spans="1:17" x14ac:dyDescent="0.2">
      <c r="A589" s="334" t="s">
        <v>1751</v>
      </c>
      <c r="B589" s="380"/>
      <c r="C589" s="334" t="s">
        <v>3138</v>
      </c>
      <c r="D589" s="380"/>
      <c r="E589" s="380"/>
      <c r="F589" s="378"/>
      <c r="G589" s="380"/>
      <c r="H589" s="380"/>
      <c r="I589" s="399"/>
      <c r="J589" s="380"/>
      <c r="K589" s="380"/>
      <c r="L589" s="378"/>
      <c r="M589" s="380"/>
      <c r="N589" s="380"/>
      <c r="O589" s="380"/>
      <c r="P589" s="380"/>
      <c r="Q589" s="380"/>
    </row>
    <row r="590" spans="1:17" x14ac:dyDescent="0.2">
      <c r="A590" s="334" t="s">
        <v>1752</v>
      </c>
      <c r="B590" s="380"/>
      <c r="C590" s="334" t="s">
        <v>367</v>
      </c>
      <c r="D590" s="380"/>
      <c r="E590" s="380"/>
      <c r="F590" s="378"/>
      <c r="G590" s="380"/>
      <c r="H590" s="380"/>
      <c r="I590" s="399"/>
      <c r="J590" s="380"/>
      <c r="K590" s="380"/>
      <c r="L590" s="378"/>
      <c r="M590" s="380"/>
      <c r="N590" s="380"/>
      <c r="O590" s="380"/>
      <c r="P590" s="380"/>
      <c r="Q590" s="380"/>
    </row>
    <row r="591" spans="1:17" x14ac:dyDescent="0.2">
      <c r="A591" s="334" t="s">
        <v>1577</v>
      </c>
      <c r="B591" s="380"/>
      <c r="C591" s="334" t="s">
        <v>1815</v>
      </c>
      <c r="D591" s="380"/>
      <c r="E591" s="380"/>
      <c r="F591" s="378"/>
      <c r="G591" s="380"/>
      <c r="H591" s="380"/>
      <c r="I591" s="399"/>
      <c r="J591" s="380"/>
      <c r="K591" s="380"/>
      <c r="L591" s="378"/>
      <c r="M591" s="380"/>
      <c r="N591" s="380"/>
      <c r="O591" s="380"/>
      <c r="P591" s="380"/>
      <c r="Q591" s="380"/>
    </row>
    <row r="592" spans="1:17" x14ac:dyDescent="0.2">
      <c r="A592" s="334" t="s">
        <v>1753</v>
      </c>
      <c r="B592" s="380"/>
      <c r="C592" s="334" t="s">
        <v>1816</v>
      </c>
      <c r="D592" s="380"/>
      <c r="E592" s="380"/>
      <c r="F592" s="378"/>
      <c r="G592" s="380"/>
      <c r="H592" s="380"/>
      <c r="I592" s="399"/>
      <c r="J592" s="380"/>
      <c r="K592" s="380"/>
      <c r="L592" s="378"/>
      <c r="M592" s="380"/>
      <c r="N592" s="380"/>
      <c r="O592" s="380"/>
      <c r="P592" s="380"/>
      <c r="Q592" s="380"/>
    </row>
    <row r="593" spans="1:17" x14ac:dyDescent="0.2">
      <c r="A593" s="334" t="s">
        <v>1734</v>
      </c>
      <c r="B593" s="380"/>
      <c r="C593" s="334" t="s">
        <v>1746</v>
      </c>
      <c r="D593" s="380"/>
      <c r="E593" s="380"/>
      <c r="F593" s="378"/>
      <c r="G593" s="380"/>
      <c r="H593" s="380"/>
      <c r="I593" s="399"/>
      <c r="J593" s="380"/>
      <c r="K593" s="380"/>
      <c r="L593" s="378"/>
      <c r="M593" s="380"/>
      <c r="N593" s="380"/>
      <c r="O593" s="380"/>
      <c r="P593" s="380"/>
      <c r="Q593" s="380"/>
    </row>
    <row r="594" spans="1:17" x14ac:dyDescent="0.2">
      <c r="A594" s="334" t="s">
        <v>1571</v>
      </c>
      <c r="B594" s="380"/>
      <c r="C594" s="334" t="s">
        <v>3</v>
      </c>
      <c r="D594" s="380"/>
      <c r="E594" s="380"/>
      <c r="F594" s="378"/>
      <c r="G594" s="380"/>
      <c r="H594" s="380"/>
      <c r="I594" s="399"/>
      <c r="J594" s="380"/>
      <c r="K594" s="380"/>
      <c r="L594" s="378"/>
      <c r="M594" s="380"/>
      <c r="N594" s="380"/>
      <c r="O594" s="380"/>
      <c r="P594" s="380"/>
      <c r="Q594" s="380"/>
    </row>
    <row r="595" spans="1:17" x14ac:dyDescent="0.2">
      <c r="A595" s="334" t="s">
        <v>1738</v>
      </c>
      <c r="B595" s="380"/>
      <c r="C595" s="334" t="s">
        <v>1591</v>
      </c>
      <c r="D595" s="380"/>
      <c r="E595" s="380"/>
      <c r="F595" s="378"/>
      <c r="G595" s="380"/>
      <c r="H595" s="380">
        <v>60</v>
      </c>
      <c r="I595" s="399"/>
      <c r="J595" s="380"/>
      <c r="K595" s="380"/>
      <c r="L595" s="378"/>
      <c r="M595" s="380"/>
      <c r="N595" s="380">
        <v>50</v>
      </c>
      <c r="O595" s="380"/>
      <c r="P595" s="380"/>
      <c r="Q595" s="380"/>
    </row>
    <row r="596" spans="1:17" x14ac:dyDescent="0.2">
      <c r="A596" s="334" t="s">
        <v>1727</v>
      </c>
      <c r="B596" s="380"/>
      <c r="C596" s="334" t="s">
        <v>307</v>
      </c>
      <c r="D596" s="380"/>
      <c r="E596" s="380"/>
      <c r="F596" s="378"/>
      <c r="G596" s="380"/>
      <c r="H596" s="380"/>
      <c r="I596" s="399"/>
      <c r="J596" s="380"/>
      <c r="K596" s="380"/>
      <c r="L596" s="378"/>
      <c r="M596" s="380"/>
      <c r="N596" s="380">
        <v>50</v>
      </c>
      <c r="O596" s="380"/>
      <c r="P596" s="380"/>
      <c r="Q596" s="380"/>
    </row>
    <row r="597" spans="1:17" x14ac:dyDescent="0.2">
      <c r="A597" s="334" t="s">
        <v>1728</v>
      </c>
      <c r="B597" s="380"/>
      <c r="C597" s="334" t="s">
        <v>310</v>
      </c>
      <c r="D597" s="380"/>
      <c r="E597" s="380"/>
      <c r="F597" s="378"/>
      <c r="G597" s="380"/>
      <c r="H597" s="380">
        <v>20</v>
      </c>
      <c r="I597" s="399"/>
      <c r="J597" s="380"/>
      <c r="K597" s="380"/>
      <c r="L597" s="378"/>
      <c r="M597" s="380"/>
      <c r="N597" s="380"/>
      <c r="O597" s="380"/>
      <c r="P597" s="380"/>
      <c r="Q597" s="380"/>
    </row>
    <row r="598" spans="1:17" x14ac:dyDescent="0.2">
      <c r="A598" s="334" t="s">
        <v>1729</v>
      </c>
      <c r="B598" s="380"/>
      <c r="C598" s="380" t="s">
        <v>1551</v>
      </c>
      <c r="D598" s="380"/>
      <c r="E598" s="380"/>
      <c r="F598" s="378">
        <v>-2000</v>
      </c>
      <c r="G598" s="380"/>
      <c r="H598" s="380"/>
      <c r="I598" s="399"/>
      <c r="J598" s="380"/>
      <c r="K598" s="380"/>
      <c r="L598" s="378"/>
      <c r="M598" s="380"/>
      <c r="N598" s="380"/>
      <c r="O598" s="380"/>
      <c r="P598" s="380"/>
      <c r="Q598" s="380"/>
    </row>
    <row r="599" spans="1:17" x14ac:dyDescent="0.2">
      <c r="A599" s="334" t="s">
        <v>1735</v>
      </c>
      <c r="B599" s="380"/>
      <c r="C599" s="380" t="s">
        <v>194</v>
      </c>
      <c r="D599" s="380"/>
      <c r="E599" s="380"/>
      <c r="F599" s="378"/>
      <c r="G599" s="380"/>
      <c r="H599" s="380"/>
      <c r="I599" s="399"/>
      <c r="J599" s="380"/>
      <c r="K599" s="380"/>
      <c r="L599" s="378"/>
      <c r="M599" s="380"/>
      <c r="N599" s="380"/>
      <c r="O599" s="380"/>
      <c r="P599" s="380"/>
      <c r="Q599" s="380"/>
    </row>
    <row r="600" spans="1:17" x14ac:dyDescent="0.2">
      <c r="A600" s="334" t="s">
        <v>1741</v>
      </c>
      <c r="B600" s="380"/>
      <c r="C600" s="334" t="s">
        <v>1748</v>
      </c>
      <c r="D600" s="380"/>
      <c r="E600" s="380"/>
      <c r="F600" s="378"/>
      <c r="G600" s="380"/>
      <c r="H600" s="380"/>
      <c r="I600" s="399"/>
      <c r="J600" s="380"/>
      <c r="K600" s="380"/>
      <c r="L600" s="378"/>
      <c r="M600" s="380"/>
      <c r="N600" s="380"/>
      <c r="O600" s="380"/>
      <c r="P600" s="380"/>
      <c r="Q600" s="380"/>
    </row>
    <row r="601" spans="1:17" x14ac:dyDescent="0.2">
      <c r="A601" s="334" t="s">
        <v>1742</v>
      </c>
      <c r="B601" s="380"/>
      <c r="C601" s="334" t="s">
        <v>1553</v>
      </c>
      <c r="D601" s="380"/>
      <c r="E601" s="380"/>
      <c r="F601" s="378"/>
      <c r="G601" s="380"/>
      <c r="H601" s="380"/>
      <c r="I601" s="399"/>
      <c r="J601" s="380"/>
      <c r="K601" s="380"/>
      <c r="L601" s="378"/>
      <c r="M601" s="380"/>
      <c r="N601" s="380"/>
      <c r="O601" s="380"/>
      <c r="P601" s="380"/>
      <c r="Q601" s="380"/>
    </row>
    <row r="602" spans="1:17" x14ac:dyDescent="0.2">
      <c r="A602" s="334" t="s">
        <v>1754</v>
      </c>
      <c r="B602" s="380"/>
      <c r="C602" s="334" t="s">
        <v>1929</v>
      </c>
      <c r="D602" s="380"/>
      <c r="E602" s="380"/>
      <c r="F602" s="378"/>
      <c r="G602" s="380"/>
      <c r="H602" s="380">
        <v>800</v>
      </c>
      <c r="I602" s="399"/>
      <c r="J602" s="380"/>
      <c r="K602" s="380"/>
      <c r="L602" s="378"/>
      <c r="M602" s="380"/>
      <c r="N602" s="380"/>
      <c r="O602" s="380"/>
      <c r="P602" s="380"/>
      <c r="Q602" s="380"/>
    </row>
    <row r="603" spans="1:17" x14ac:dyDescent="0.2">
      <c r="A603" s="334" t="s">
        <v>1584</v>
      </c>
      <c r="B603" s="380"/>
      <c r="C603" s="334" t="s">
        <v>0</v>
      </c>
      <c r="D603" s="380"/>
      <c r="E603" s="380"/>
      <c r="F603" s="378"/>
      <c r="G603" s="380"/>
      <c r="H603" s="380"/>
      <c r="I603" s="399"/>
      <c r="J603" s="380"/>
      <c r="K603" s="380"/>
      <c r="L603" s="378"/>
      <c r="M603" s="380"/>
      <c r="N603" s="380"/>
      <c r="O603" s="380"/>
      <c r="P603" s="380"/>
      <c r="Q603" s="380"/>
    </row>
    <row r="604" spans="1:17" x14ac:dyDescent="0.2">
      <c r="A604" s="334" t="s">
        <v>1580</v>
      </c>
      <c r="B604" s="380"/>
      <c r="C604" s="334" t="s">
        <v>1936</v>
      </c>
      <c r="D604" s="380"/>
      <c r="E604" s="380"/>
      <c r="F604" s="378"/>
      <c r="G604" s="380"/>
      <c r="H604" s="380"/>
      <c r="I604" s="399"/>
      <c r="J604" s="380"/>
      <c r="K604" s="380"/>
      <c r="L604" s="378"/>
      <c r="M604" s="380"/>
      <c r="N604" s="380"/>
      <c r="O604" s="380"/>
      <c r="P604" s="380"/>
      <c r="Q604" s="380"/>
    </row>
    <row r="605" spans="1:17" x14ac:dyDescent="0.2">
      <c r="A605" s="334" t="s">
        <v>1572</v>
      </c>
      <c r="B605" s="380"/>
      <c r="C605" s="334" t="s">
        <v>3134</v>
      </c>
      <c r="D605" s="380"/>
      <c r="E605" s="380"/>
      <c r="F605" s="378"/>
      <c r="G605" s="380"/>
      <c r="H605" s="380"/>
      <c r="I605" s="399"/>
      <c r="J605" s="380"/>
      <c r="K605" s="380"/>
      <c r="L605" s="378"/>
      <c r="M605" s="380"/>
      <c r="N605" s="380"/>
      <c r="O605" s="380"/>
      <c r="P605" s="380"/>
      <c r="Q605" s="380"/>
    </row>
    <row r="606" spans="1:17" x14ac:dyDescent="0.2">
      <c r="A606" s="334" t="s">
        <v>1730</v>
      </c>
      <c r="B606" s="380"/>
      <c r="C606" s="334" t="s">
        <v>1985</v>
      </c>
      <c r="D606" s="380"/>
      <c r="E606" s="380"/>
      <c r="F606" s="378"/>
      <c r="G606" s="380"/>
      <c r="H606" s="380"/>
      <c r="I606" s="399"/>
      <c r="J606" s="380"/>
      <c r="K606" s="380"/>
      <c r="L606" s="378"/>
      <c r="M606" s="380"/>
      <c r="N606" s="380"/>
      <c r="O606" s="380"/>
      <c r="P606" s="380"/>
      <c r="Q606" s="380"/>
    </row>
    <row r="607" spans="1:17" x14ac:dyDescent="0.2">
      <c r="A607" s="334" t="s">
        <v>1566</v>
      </c>
      <c r="B607" s="380"/>
      <c r="C607" s="334" t="s">
        <v>366</v>
      </c>
      <c r="D607" s="380"/>
      <c r="E607" s="380"/>
      <c r="F607" s="378"/>
      <c r="G607" s="380"/>
      <c r="H607" s="380"/>
      <c r="I607" s="399"/>
      <c r="J607" s="380"/>
      <c r="K607" s="380"/>
      <c r="L607" s="378"/>
      <c r="M607" s="380"/>
      <c r="N607" s="380">
        <v>150</v>
      </c>
      <c r="O607" s="380"/>
      <c r="P607" s="380"/>
      <c r="Q607" s="380"/>
    </row>
    <row r="608" spans="1:17" x14ac:dyDescent="0.2">
      <c r="A608" s="334" t="s">
        <v>1755</v>
      </c>
      <c r="B608" s="380"/>
      <c r="C608" s="380" t="s">
        <v>1986</v>
      </c>
      <c r="D608" s="380"/>
      <c r="E608" s="380"/>
      <c r="F608" s="378">
        <v>2000</v>
      </c>
      <c r="G608" s="380"/>
      <c r="H608" s="380">
        <v>1000</v>
      </c>
      <c r="I608" s="399"/>
      <c r="J608" s="380"/>
      <c r="K608" s="380"/>
      <c r="L608" s="378">
        <v>1500</v>
      </c>
      <c r="M608" s="380"/>
      <c r="N608" s="380">
        <v>500</v>
      </c>
      <c r="O608" s="380"/>
      <c r="P608" s="380"/>
      <c r="Q608" s="380"/>
    </row>
    <row r="609" spans="1:17" x14ac:dyDescent="0.2">
      <c r="A609" s="334" t="s">
        <v>1567</v>
      </c>
      <c r="B609" s="380"/>
      <c r="C609" s="334" t="s">
        <v>3142</v>
      </c>
      <c r="D609" s="380"/>
      <c r="E609" s="380"/>
      <c r="F609" s="378"/>
      <c r="G609" s="380"/>
      <c r="H609" s="380"/>
      <c r="I609" s="399"/>
      <c r="J609" s="380"/>
      <c r="K609" s="380"/>
      <c r="L609" s="378"/>
      <c r="M609" s="380"/>
      <c r="N609" s="380"/>
      <c r="O609" s="380"/>
      <c r="P609" s="380"/>
      <c r="Q609" s="380"/>
    </row>
    <row r="610" spans="1:17" x14ac:dyDescent="0.2">
      <c r="A610" s="380"/>
      <c r="B610" s="380"/>
      <c r="C610" s="380"/>
      <c r="D610" s="394"/>
      <c r="E610" s="394"/>
      <c r="F610" s="413"/>
      <c r="G610" s="394"/>
      <c r="H610" s="394"/>
      <c r="I610" s="387"/>
      <c r="J610" s="394"/>
      <c r="K610" s="394"/>
      <c r="L610" s="413"/>
      <c r="M610" s="394"/>
      <c r="N610" s="394"/>
      <c r="O610" s="380"/>
      <c r="P610" s="380"/>
      <c r="Q610" s="380"/>
    </row>
    <row r="611" spans="1:17" ht="15.75" thickBot="1" x14ac:dyDescent="0.25">
      <c r="A611" s="380"/>
      <c r="B611" s="380"/>
      <c r="C611" s="380"/>
      <c r="D611" s="411">
        <f>SUM(D576:D609)</f>
        <v>0</v>
      </c>
      <c r="E611" s="411">
        <f t="shared" ref="E611:H611" si="6">SUM(E576:E609)</f>
        <v>0</v>
      </c>
      <c r="F611" s="414">
        <f t="shared" si="6"/>
        <v>0</v>
      </c>
      <c r="G611" s="411"/>
      <c r="H611" s="411">
        <f t="shared" si="6"/>
        <v>2980</v>
      </c>
      <c r="I611" s="387"/>
      <c r="J611" s="411">
        <f>SUM(J576:J609)</f>
        <v>0</v>
      </c>
      <c r="K611" s="411">
        <f t="shared" ref="K611:L611" si="7">SUM(K576:K609)</f>
        <v>0</v>
      </c>
      <c r="L611" s="414">
        <f t="shared" si="7"/>
        <v>1500</v>
      </c>
      <c r="M611" s="411"/>
      <c r="N611" s="411">
        <f t="shared" ref="N611" si="8">SUM(N576:N609)</f>
        <v>1000</v>
      </c>
      <c r="O611" s="380"/>
      <c r="P611" s="380"/>
      <c r="Q611" s="380"/>
    </row>
    <row r="612" spans="1:17" x14ac:dyDescent="0.2">
      <c r="A612" s="334"/>
      <c r="B612" s="334"/>
      <c r="C612" s="334"/>
      <c r="D612" s="334"/>
      <c r="E612" s="377"/>
      <c r="F612" s="378"/>
      <c r="G612" s="377"/>
      <c r="H612" s="377"/>
      <c r="I612" s="387"/>
      <c r="J612" s="334"/>
      <c r="K612" s="377"/>
      <c r="L612" s="378"/>
      <c r="M612" s="377"/>
      <c r="N612" s="377"/>
      <c r="O612" s="380"/>
      <c r="P612" s="380"/>
      <c r="Q612" s="380"/>
    </row>
    <row r="613" spans="1:17" ht="15.75" x14ac:dyDescent="0.25">
      <c r="A613" s="334"/>
      <c r="B613" s="334"/>
      <c r="C613" s="334"/>
      <c r="D613" s="334"/>
      <c r="E613" s="377"/>
      <c r="F613" s="378"/>
      <c r="G613" s="377"/>
      <c r="H613" s="377"/>
      <c r="I613" s="397"/>
      <c r="J613" s="334"/>
      <c r="K613" s="377"/>
      <c r="L613" s="378"/>
      <c r="M613" s="377"/>
      <c r="N613" s="377"/>
      <c r="O613" s="380"/>
      <c r="P613" s="380"/>
      <c r="Q613" s="380"/>
    </row>
    <row r="614" spans="1:17" x14ac:dyDescent="0.2">
      <c r="A614" s="334" t="s">
        <v>539</v>
      </c>
      <c r="B614" s="380"/>
      <c r="C614" s="380"/>
      <c r="D614" s="334" t="s">
        <v>1642</v>
      </c>
      <c r="E614" s="334" t="s">
        <v>1643</v>
      </c>
      <c r="F614" s="412" t="s">
        <v>1644</v>
      </c>
      <c r="G614" s="334"/>
      <c r="H614" s="334" t="s">
        <v>1479</v>
      </c>
      <c r="I614" s="387"/>
      <c r="J614" s="334" t="s">
        <v>1642</v>
      </c>
      <c r="K614" s="334" t="s">
        <v>1643</v>
      </c>
      <c r="L614" s="412" t="s">
        <v>1644</v>
      </c>
      <c r="M614" s="334"/>
      <c r="N614" s="334" t="s">
        <v>1479</v>
      </c>
      <c r="O614" s="380"/>
      <c r="P614" s="380"/>
      <c r="Q614" s="380"/>
    </row>
    <row r="615" spans="1:17" x14ac:dyDescent="0.2">
      <c r="A615" s="380"/>
      <c r="B615" s="380"/>
      <c r="C615" s="384" t="s">
        <v>436</v>
      </c>
      <c r="D615" s="334" t="s">
        <v>864</v>
      </c>
      <c r="E615" s="334" t="s">
        <v>865</v>
      </c>
      <c r="F615" s="412" t="s">
        <v>149</v>
      </c>
      <c r="G615" s="334"/>
      <c r="H615" s="334" t="s">
        <v>867</v>
      </c>
      <c r="I615" s="387"/>
      <c r="J615" s="334" t="s">
        <v>864</v>
      </c>
      <c r="K615" s="334" t="s">
        <v>865</v>
      </c>
      <c r="L615" s="412" t="s">
        <v>149</v>
      </c>
      <c r="M615" s="334"/>
      <c r="N615" s="334" t="s">
        <v>867</v>
      </c>
      <c r="O615" s="380"/>
      <c r="P615" s="380"/>
      <c r="Q615" s="380"/>
    </row>
    <row r="616" spans="1:17" x14ac:dyDescent="0.2">
      <c r="A616" s="380"/>
      <c r="B616" s="380"/>
      <c r="C616" s="380"/>
      <c r="D616" s="334" t="s">
        <v>65</v>
      </c>
      <c r="E616" s="334" t="s">
        <v>68</v>
      </c>
      <c r="F616" s="412" t="s">
        <v>150</v>
      </c>
      <c r="G616" s="334"/>
      <c r="H616" s="334" t="s">
        <v>152</v>
      </c>
      <c r="I616" s="387"/>
      <c r="J616" s="334" t="s">
        <v>65</v>
      </c>
      <c r="K616" s="334" t="s">
        <v>68</v>
      </c>
      <c r="L616" s="412" t="s">
        <v>150</v>
      </c>
      <c r="M616" s="334"/>
      <c r="N616" s="334" t="s">
        <v>152</v>
      </c>
      <c r="O616" s="380"/>
      <c r="P616" s="380"/>
      <c r="Q616" s="380"/>
    </row>
    <row r="617" spans="1:17" x14ac:dyDescent="0.2">
      <c r="A617" s="334" t="s">
        <v>342</v>
      </c>
      <c r="B617" s="380"/>
      <c r="C617" s="334" t="s">
        <v>342</v>
      </c>
      <c r="D617" s="380"/>
      <c r="E617" s="380"/>
      <c r="F617" s="378"/>
      <c r="G617" s="380"/>
      <c r="H617" s="380"/>
      <c r="I617" s="387"/>
      <c r="J617" s="380"/>
      <c r="K617" s="380"/>
      <c r="L617" s="378"/>
      <c r="M617" s="380"/>
      <c r="N617" s="380"/>
      <c r="O617" s="380"/>
      <c r="P617" s="380"/>
      <c r="Q617" s="380"/>
    </row>
    <row r="618" spans="1:17" x14ac:dyDescent="0.2">
      <c r="A618" s="334" t="s">
        <v>1723</v>
      </c>
      <c r="B618" s="380"/>
      <c r="C618" s="334" t="s">
        <v>1880</v>
      </c>
      <c r="D618" s="334" t="s">
        <v>181</v>
      </c>
      <c r="E618" s="334" t="s">
        <v>181</v>
      </c>
      <c r="F618" s="412" t="s">
        <v>181</v>
      </c>
      <c r="G618" s="334"/>
      <c r="H618" s="334" t="s">
        <v>181</v>
      </c>
      <c r="I618" s="387"/>
      <c r="J618" s="334" t="s">
        <v>181</v>
      </c>
      <c r="K618" s="334" t="s">
        <v>181</v>
      </c>
      <c r="L618" s="412" t="s">
        <v>181</v>
      </c>
      <c r="M618" s="334"/>
      <c r="N618" s="334" t="s">
        <v>181</v>
      </c>
      <c r="O618" s="380"/>
      <c r="P618" s="380"/>
      <c r="Q618" s="380"/>
    </row>
    <row r="619" spans="1:17" x14ac:dyDescent="0.2">
      <c r="A619" s="380"/>
      <c r="B619" s="380"/>
      <c r="C619" s="380"/>
      <c r="D619" s="380"/>
      <c r="E619" s="380"/>
      <c r="F619" s="378"/>
      <c r="G619" s="380"/>
      <c r="H619" s="380"/>
      <c r="I619" s="387"/>
      <c r="J619" s="380"/>
      <c r="K619" s="380"/>
      <c r="L619" s="378"/>
      <c r="M619" s="380"/>
      <c r="N619" s="380"/>
      <c r="O619" s="380"/>
      <c r="P619" s="380"/>
      <c r="Q619" s="380"/>
    </row>
    <row r="620" spans="1:17" x14ac:dyDescent="0.2">
      <c r="A620" s="334" t="s">
        <v>1733</v>
      </c>
      <c r="B620" s="380"/>
      <c r="C620" s="334" t="s">
        <v>27</v>
      </c>
      <c r="D620" s="377"/>
      <c r="E620" s="377"/>
      <c r="F620" s="378"/>
      <c r="G620" s="377"/>
      <c r="H620" s="377"/>
      <c r="I620" s="399"/>
      <c r="J620" s="377"/>
      <c r="K620" s="377"/>
      <c r="L620" s="378"/>
      <c r="M620" s="377"/>
      <c r="N620" s="377"/>
      <c r="O620" s="380"/>
      <c r="P620" s="380"/>
      <c r="Q620" s="380"/>
    </row>
    <row r="621" spans="1:17" x14ac:dyDescent="0.2">
      <c r="A621" s="334" t="s">
        <v>1743</v>
      </c>
      <c r="B621" s="380"/>
      <c r="C621" s="334" t="s">
        <v>1886</v>
      </c>
      <c r="D621" s="377"/>
      <c r="E621" s="377"/>
      <c r="F621" s="378"/>
      <c r="G621" s="377"/>
      <c r="H621" s="377"/>
      <c r="I621" s="399"/>
      <c r="J621" s="377"/>
      <c r="K621" s="377"/>
      <c r="L621" s="378"/>
      <c r="M621" s="377"/>
      <c r="N621" s="377">
        <v>15500</v>
      </c>
      <c r="O621" s="380"/>
      <c r="P621" s="380"/>
      <c r="Q621" s="380"/>
    </row>
    <row r="622" spans="1:17" x14ac:dyDescent="0.2">
      <c r="A622" s="334" t="s">
        <v>1569</v>
      </c>
      <c r="B622" s="380"/>
      <c r="C622" s="334" t="s">
        <v>1888</v>
      </c>
      <c r="D622" s="377"/>
      <c r="E622" s="377"/>
      <c r="F622" s="378"/>
      <c r="G622" s="377"/>
      <c r="H622" s="377">
        <v>15500</v>
      </c>
      <c r="I622" s="399"/>
      <c r="J622" s="377"/>
      <c r="K622" s="377"/>
      <c r="L622" s="378">
        <v>0</v>
      </c>
      <c r="M622" s="377"/>
      <c r="N622" s="377">
        <v>2000</v>
      </c>
      <c r="O622" s="380"/>
      <c r="P622" s="380"/>
      <c r="Q622" s="380"/>
    </row>
    <row r="623" spans="1:17" x14ac:dyDescent="0.2">
      <c r="A623" s="334" t="s">
        <v>1724</v>
      </c>
      <c r="B623" s="380"/>
      <c r="C623" s="334" t="s">
        <v>1881</v>
      </c>
      <c r="D623" s="377">
        <v>50</v>
      </c>
      <c r="E623" s="377">
        <v>200</v>
      </c>
      <c r="F623" s="378"/>
      <c r="G623" s="377"/>
      <c r="H623" s="377">
        <v>2000</v>
      </c>
      <c r="I623" s="399"/>
      <c r="J623" s="377">
        <v>25</v>
      </c>
      <c r="K623" s="377">
        <v>200</v>
      </c>
      <c r="L623" s="378"/>
      <c r="M623" s="377"/>
      <c r="N623" s="377"/>
      <c r="O623" s="380"/>
      <c r="P623" s="380"/>
      <c r="Q623" s="380"/>
    </row>
    <row r="624" spans="1:17" x14ac:dyDescent="0.2">
      <c r="A624" s="334" t="s">
        <v>1736</v>
      </c>
      <c r="B624" s="380"/>
      <c r="C624" s="334" t="s">
        <v>1747</v>
      </c>
      <c r="D624" s="377"/>
      <c r="E624" s="377"/>
      <c r="F624" s="378"/>
      <c r="G624" s="377"/>
      <c r="H624" s="377"/>
      <c r="I624" s="399"/>
      <c r="J624" s="377"/>
      <c r="K624" s="377"/>
      <c r="L624" s="378"/>
      <c r="M624" s="377"/>
      <c r="N624" s="377"/>
      <c r="O624" s="380"/>
      <c r="P624" s="380"/>
      <c r="Q624" s="380"/>
    </row>
    <row r="625" spans="1:17" x14ac:dyDescent="0.2">
      <c r="A625" s="334" t="s">
        <v>1744</v>
      </c>
      <c r="B625" s="380"/>
      <c r="C625" s="334" t="s">
        <v>1254</v>
      </c>
      <c r="D625" s="377"/>
      <c r="E625" s="377"/>
      <c r="F625" s="378"/>
      <c r="G625" s="377"/>
      <c r="H625" s="377"/>
      <c r="I625" s="399"/>
      <c r="J625" s="377"/>
      <c r="K625" s="377"/>
      <c r="L625" s="378"/>
      <c r="M625" s="377"/>
      <c r="N625" s="377"/>
      <c r="O625" s="380"/>
      <c r="P625" s="380"/>
      <c r="Q625" s="380"/>
    </row>
    <row r="626" spans="1:17" x14ac:dyDescent="0.2">
      <c r="A626" s="334" t="s">
        <v>1575</v>
      </c>
      <c r="B626" s="380"/>
      <c r="C626" s="334" t="s">
        <v>1889</v>
      </c>
      <c r="D626" s="377"/>
      <c r="E626" s="377">
        <v>100</v>
      </c>
      <c r="F626" s="378"/>
      <c r="G626" s="377"/>
      <c r="H626" s="377"/>
      <c r="I626" s="399"/>
      <c r="J626" s="377"/>
      <c r="K626" s="377">
        <v>100</v>
      </c>
      <c r="L626" s="378"/>
      <c r="M626" s="377"/>
      <c r="N626" s="377"/>
      <c r="O626" s="380"/>
      <c r="P626" s="380"/>
      <c r="Q626" s="380"/>
    </row>
    <row r="627" spans="1:17" x14ac:dyDescent="0.2">
      <c r="A627" s="334" t="s">
        <v>1725</v>
      </c>
      <c r="B627" s="380"/>
      <c r="C627" s="334" t="s">
        <v>1890</v>
      </c>
      <c r="D627" s="377"/>
      <c r="E627" s="377">
        <v>200</v>
      </c>
      <c r="F627" s="378"/>
      <c r="G627" s="377"/>
      <c r="H627" s="377"/>
      <c r="I627" s="399"/>
      <c r="J627" s="377"/>
      <c r="K627" s="377">
        <v>200</v>
      </c>
      <c r="L627" s="378"/>
      <c r="M627" s="377"/>
      <c r="N627" s="377"/>
      <c r="O627" s="380"/>
      <c r="P627" s="380"/>
      <c r="Q627" s="380"/>
    </row>
    <row r="628" spans="1:17" x14ac:dyDescent="0.2">
      <c r="A628" s="334" t="s">
        <v>1565</v>
      </c>
      <c r="B628" s="380"/>
      <c r="C628" s="334" t="s">
        <v>1927</v>
      </c>
      <c r="D628" s="377"/>
      <c r="E628" s="377"/>
      <c r="F628" s="378"/>
      <c r="G628" s="377"/>
      <c r="H628" s="377"/>
      <c r="I628" s="399"/>
      <c r="J628" s="377"/>
      <c r="K628" s="377"/>
      <c r="L628" s="378"/>
      <c r="M628" s="377"/>
      <c r="N628" s="377"/>
      <c r="O628" s="380"/>
      <c r="P628" s="380"/>
      <c r="Q628" s="380"/>
    </row>
    <row r="629" spans="1:17" x14ac:dyDescent="0.2">
      <c r="A629" s="334" t="s">
        <v>1737</v>
      </c>
      <c r="B629" s="380"/>
      <c r="C629" s="334" t="s">
        <v>1928</v>
      </c>
      <c r="D629" s="377"/>
      <c r="E629" s="377"/>
      <c r="F629" s="378"/>
      <c r="G629" s="377"/>
      <c r="H629" s="377">
        <v>150</v>
      </c>
      <c r="I629" s="399"/>
      <c r="J629" s="377"/>
      <c r="K629" s="377"/>
      <c r="L629" s="378"/>
      <c r="M629" s="377"/>
      <c r="N629" s="377">
        <v>150</v>
      </c>
      <c r="O629" s="380"/>
      <c r="P629" s="380"/>
      <c r="Q629" s="380"/>
    </row>
    <row r="630" spans="1:17" x14ac:dyDescent="0.2">
      <c r="A630" s="334" t="s">
        <v>1726</v>
      </c>
      <c r="B630" s="380"/>
      <c r="C630" s="334" t="s">
        <v>1117</v>
      </c>
      <c r="D630" s="377">
        <v>100</v>
      </c>
      <c r="E630" s="377"/>
      <c r="F630" s="378"/>
      <c r="G630" s="377"/>
      <c r="H630" s="377">
        <v>200</v>
      </c>
      <c r="I630" s="399"/>
      <c r="J630" s="377">
        <v>50</v>
      </c>
      <c r="K630" s="377"/>
      <c r="L630" s="378"/>
      <c r="M630" s="377"/>
      <c r="N630" s="377">
        <v>200</v>
      </c>
      <c r="O630" s="380"/>
      <c r="P630" s="380"/>
      <c r="Q630" s="380"/>
    </row>
    <row r="631" spans="1:17" x14ac:dyDescent="0.2">
      <c r="A631" s="334" t="s">
        <v>1756</v>
      </c>
      <c r="B631" s="380"/>
      <c r="C631" s="334" t="s">
        <v>3137</v>
      </c>
      <c r="D631" s="377"/>
      <c r="E631" s="377"/>
      <c r="F631" s="378"/>
      <c r="G631" s="377"/>
      <c r="H631" s="377"/>
      <c r="I631" s="399"/>
      <c r="J631" s="377"/>
      <c r="K631" s="377"/>
      <c r="L631" s="378"/>
      <c r="M631" s="377"/>
      <c r="N631" s="377">
        <v>2000</v>
      </c>
      <c r="O631" s="380"/>
      <c r="P631" s="380"/>
      <c r="Q631" s="380"/>
    </row>
    <row r="632" spans="1:17" x14ac:dyDescent="0.2">
      <c r="A632" s="334" t="s">
        <v>1751</v>
      </c>
      <c r="B632" s="380"/>
      <c r="C632" s="334" t="s">
        <v>3138</v>
      </c>
      <c r="D632" s="377"/>
      <c r="E632" s="377"/>
      <c r="F632" s="378"/>
      <c r="G632" s="377"/>
      <c r="H632" s="377">
        <v>2000</v>
      </c>
      <c r="I632" s="399"/>
      <c r="J632" s="377"/>
      <c r="K632" s="377"/>
      <c r="L632" s="378"/>
      <c r="M632" s="377"/>
      <c r="N632" s="377"/>
      <c r="O632" s="380"/>
      <c r="P632" s="380"/>
      <c r="Q632" s="380"/>
    </row>
    <row r="633" spans="1:17" x14ac:dyDescent="0.2">
      <c r="A633" s="334" t="s">
        <v>1752</v>
      </c>
      <c r="B633" s="380"/>
      <c r="C633" s="334" t="s">
        <v>367</v>
      </c>
      <c r="D633" s="377"/>
      <c r="E633" s="377"/>
      <c r="F633" s="378"/>
      <c r="G633" s="377"/>
      <c r="H633" s="377"/>
      <c r="I633" s="399"/>
      <c r="J633" s="377"/>
      <c r="K633" s="377"/>
      <c r="L633" s="378"/>
      <c r="M633" s="377"/>
      <c r="N633" s="377"/>
      <c r="O633" s="380"/>
      <c r="P633" s="380"/>
      <c r="Q633" s="380"/>
    </row>
    <row r="634" spans="1:17" x14ac:dyDescent="0.2">
      <c r="A634" s="334" t="s">
        <v>1577</v>
      </c>
      <c r="B634" s="380"/>
      <c r="C634" s="334" t="s">
        <v>1815</v>
      </c>
      <c r="D634" s="377"/>
      <c r="E634" s="377">
        <v>20</v>
      </c>
      <c r="F634" s="378"/>
      <c r="G634" s="377"/>
      <c r="H634" s="377"/>
      <c r="I634" s="399"/>
      <c r="J634" s="377"/>
      <c r="K634" s="377">
        <v>20</v>
      </c>
      <c r="L634" s="378"/>
      <c r="M634" s="377"/>
      <c r="N634" s="377">
        <v>500</v>
      </c>
      <c r="O634" s="380"/>
      <c r="P634" s="380"/>
      <c r="Q634" s="380"/>
    </row>
    <row r="635" spans="1:17" x14ac:dyDescent="0.2">
      <c r="A635" s="334" t="s">
        <v>1753</v>
      </c>
      <c r="B635" s="380"/>
      <c r="C635" s="334" t="s">
        <v>1816</v>
      </c>
      <c r="D635" s="377"/>
      <c r="E635" s="377"/>
      <c r="F635" s="378"/>
      <c r="G635" s="377"/>
      <c r="H635" s="377"/>
      <c r="I635" s="399"/>
      <c r="J635" s="377"/>
      <c r="K635" s="377"/>
      <c r="L635" s="378"/>
      <c r="M635" s="377"/>
      <c r="N635" s="377"/>
      <c r="O635" s="380"/>
      <c r="P635" s="380"/>
      <c r="Q635" s="380"/>
    </row>
    <row r="636" spans="1:17" x14ac:dyDescent="0.2">
      <c r="A636" s="334" t="s">
        <v>1734</v>
      </c>
      <c r="B636" s="380"/>
      <c r="C636" s="334" t="s">
        <v>1746</v>
      </c>
      <c r="D636" s="377"/>
      <c r="E636" s="377"/>
      <c r="F636" s="378"/>
      <c r="G636" s="377"/>
      <c r="H636" s="377">
        <v>500</v>
      </c>
      <c r="I636" s="399"/>
      <c r="J636" s="377"/>
      <c r="K636" s="377"/>
      <c r="L636" s="378"/>
      <c r="M636" s="377"/>
      <c r="N636" s="377"/>
      <c r="O636" s="380"/>
      <c r="P636" s="380"/>
      <c r="Q636" s="380"/>
    </row>
    <row r="637" spans="1:17" x14ac:dyDescent="0.2">
      <c r="A637" s="334" t="s">
        <v>1571</v>
      </c>
      <c r="B637" s="380"/>
      <c r="C637" s="334" t="s">
        <v>3</v>
      </c>
      <c r="D637" s="377"/>
      <c r="E637" s="377"/>
      <c r="F637" s="378"/>
      <c r="G637" s="377"/>
      <c r="H637" s="377"/>
      <c r="I637" s="399"/>
      <c r="J637" s="377"/>
      <c r="K637" s="377"/>
      <c r="L637" s="378"/>
      <c r="M637" s="377"/>
      <c r="N637" s="377"/>
      <c r="O637" s="380"/>
      <c r="P637" s="380"/>
      <c r="Q637" s="380"/>
    </row>
    <row r="638" spans="1:17" x14ac:dyDescent="0.2">
      <c r="A638" s="334" t="s">
        <v>1738</v>
      </c>
      <c r="B638" s="380"/>
      <c r="C638" s="334" t="s">
        <v>1591</v>
      </c>
      <c r="D638" s="377"/>
      <c r="E638" s="377"/>
      <c r="F638" s="378"/>
      <c r="G638" s="377"/>
      <c r="H638" s="377"/>
      <c r="I638" s="399"/>
      <c r="J638" s="377"/>
      <c r="K638" s="377"/>
      <c r="L638" s="378"/>
      <c r="M638" s="377"/>
      <c r="N638" s="377"/>
      <c r="O638" s="380"/>
      <c r="P638" s="380"/>
      <c r="Q638" s="380"/>
    </row>
    <row r="639" spans="1:17" x14ac:dyDescent="0.2">
      <c r="A639" s="334" t="s">
        <v>1727</v>
      </c>
      <c r="B639" s="380"/>
      <c r="C639" s="334" t="s">
        <v>307</v>
      </c>
      <c r="D639" s="377">
        <v>50</v>
      </c>
      <c r="E639" s="377"/>
      <c r="F639" s="378"/>
      <c r="G639" s="377"/>
      <c r="H639" s="377">
        <v>500</v>
      </c>
      <c r="I639" s="399"/>
      <c r="J639" s="377">
        <v>25</v>
      </c>
      <c r="K639" s="377"/>
      <c r="L639" s="378"/>
      <c r="M639" s="377"/>
      <c r="N639" s="377">
        <v>500</v>
      </c>
      <c r="O639" s="380"/>
      <c r="P639" s="380"/>
      <c r="Q639" s="380"/>
    </row>
    <row r="640" spans="1:17" x14ac:dyDescent="0.2">
      <c r="A640" s="334" t="s">
        <v>1728</v>
      </c>
      <c r="B640" s="380"/>
      <c r="C640" s="334" t="s">
        <v>310</v>
      </c>
      <c r="D640" s="377">
        <v>50</v>
      </c>
      <c r="E640" s="377"/>
      <c r="F640" s="378"/>
      <c r="G640" s="377"/>
      <c r="H640" s="377"/>
      <c r="I640" s="399"/>
      <c r="J640" s="377">
        <v>50</v>
      </c>
      <c r="K640" s="377"/>
      <c r="L640" s="378"/>
      <c r="M640" s="377"/>
      <c r="N640" s="377"/>
      <c r="O640" s="380"/>
      <c r="P640" s="380"/>
      <c r="Q640" s="380"/>
    </row>
    <row r="641" spans="1:17" x14ac:dyDescent="0.2">
      <c r="A641" s="334" t="s">
        <v>1729</v>
      </c>
      <c r="B641" s="380"/>
      <c r="C641" s="380" t="s">
        <v>1551</v>
      </c>
      <c r="D641" s="377">
        <v>-500</v>
      </c>
      <c r="E641" s="377">
        <v>-2820</v>
      </c>
      <c r="F641" s="378"/>
      <c r="G641" s="377"/>
      <c r="H641" s="377"/>
      <c r="I641" s="399"/>
      <c r="J641" s="377"/>
      <c r="K641" s="377"/>
      <c r="L641" s="378"/>
      <c r="M641" s="377"/>
      <c r="N641" s="377">
        <v>100</v>
      </c>
      <c r="O641" s="380"/>
      <c r="P641" s="380"/>
      <c r="Q641" s="380"/>
    </row>
    <row r="642" spans="1:17" x14ac:dyDescent="0.2">
      <c r="A642" s="334" t="s">
        <v>1735</v>
      </c>
      <c r="B642" s="380"/>
      <c r="C642" s="380" t="s">
        <v>194</v>
      </c>
      <c r="D642" s="377"/>
      <c r="E642" s="377"/>
      <c r="F642" s="378"/>
      <c r="G642" s="377"/>
      <c r="H642" s="377"/>
      <c r="I642" s="399"/>
      <c r="J642" s="377"/>
      <c r="K642" s="377"/>
      <c r="L642" s="378"/>
      <c r="M642" s="377"/>
      <c r="N642" s="377">
        <v>200</v>
      </c>
      <c r="O642" s="380"/>
      <c r="P642" s="380"/>
      <c r="Q642" s="380"/>
    </row>
    <row r="643" spans="1:17" x14ac:dyDescent="0.2">
      <c r="A643" s="334" t="s">
        <v>1741</v>
      </c>
      <c r="B643" s="380"/>
      <c r="C643" s="334" t="s">
        <v>1748</v>
      </c>
      <c r="D643" s="377"/>
      <c r="E643" s="377"/>
      <c r="F643" s="378"/>
      <c r="G643" s="377"/>
      <c r="H643" s="377"/>
      <c r="I643" s="399"/>
      <c r="J643" s="377"/>
      <c r="K643" s="377"/>
      <c r="L643" s="378"/>
      <c r="M643" s="377"/>
      <c r="N643" s="377"/>
      <c r="O643" s="380"/>
      <c r="P643" s="380"/>
      <c r="Q643" s="380"/>
    </row>
    <row r="644" spans="1:17" x14ac:dyDescent="0.2">
      <c r="A644" s="334" t="s">
        <v>1742</v>
      </c>
      <c r="B644" s="380"/>
      <c r="C644" s="334" t="s">
        <v>1553</v>
      </c>
      <c r="D644" s="377"/>
      <c r="E644" s="377"/>
      <c r="F644" s="378"/>
      <c r="G644" s="377"/>
      <c r="H644" s="377"/>
      <c r="I644" s="399"/>
      <c r="J644" s="377"/>
      <c r="K644" s="377"/>
      <c r="L644" s="378"/>
      <c r="M644" s="377"/>
      <c r="N644" s="377"/>
      <c r="O644" s="380"/>
      <c r="P644" s="380"/>
      <c r="Q644" s="380"/>
    </row>
    <row r="645" spans="1:17" x14ac:dyDescent="0.2">
      <c r="A645" s="334" t="s">
        <v>1754</v>
      </c>
      <c r="B645" s="380"/>
      <c r="C645" s="334" t="s">
        <v>1929</v>
      </c>
      <c r="D645" s="377"/>
      <c r="E645" s="377"/>
      <c r="F645" s="378"/>
      <c r="G645" s="377"/>
      <c r="H645" s="377"/>
      <c r="I645" s="399"/>
      <c r="J645" s="377"/>
      <c r="K645" s="377"/>
      <c r="L645" s="378"/>
      <c r="M645" s="377"/>
      <c r="N645" s="377"/>
      <c r="O645" s="380"/>
      <c r="P645" s="380"/>
      <c r="Q645" s="380"/>
    </row>
    <row r="646" spans="1:17" x14ac:dyDescent="0.2">
      <c r="A646" s="334" t="s">
        <v>1584</v>
      </c>
      <c r="B646" s="380"/>
      <c r="C646" s="334" t="s">
        <v>0</v>
      </c>
      <c r="D646" s="377"/>
      <c r="E646" s="377"/>
      <c r="F646" s="378"/>
      <c r="G646" s="377"/>
      <c r="H646" s="377"/>
      <c r="I646" s="399"/>
      <c r="J646" s="377"/>
      <c r="K646" s="377"/>
      <c r="L646" s="378"/>
      <c r="M646" s="377"/>
      <c r="N646" s="377"/>
      <c r="O646" s="380"/>
      <c r="P646" s="380"/>
      <c r="Q646" s="380"/>
    </row>
    <row r="647" spans="1:17" x14ac:dyDescent="0.2">
      <c r="A647" s="334" t="s">
        <v>1580</v>
      </c>
      <c r="B647" s="380"/>
      <c r="C647" s="334" t="s">
        <v>1936</v>
      </c>
      <c r="D647" s="377"/>
      <c r="E647" s="377"/>
      <c r="F647" s="378"/>
      <c r="G647" s="377"/>
      <c r="H647" s="377"/>
      <c r="I647" s="399"/>
      <c r="J647" s="377"/>
      <c r="K647" s="377"/>
      <c r="L647" s="378"/>
      <c r="M647" s="377"/>
      <c r="N647" s="377"/>
      <c r="O647" s="380"/>
      <c r="P647" s="380"/>
      <c r="Q647" s="380"/>
    </row>
    <row r="648" spans="1:17" x14ac:dyDescent="0.2">
      <c r="A648" s="334" t="s">
        <v>1572</v>
      </c>
      <c r="B648" s="380"/>
      <c r="C648" s="334" t="s">
        <v>3134</v>
      </c>
      <c r="D648" s="377"/>
      <c r="E648" s="377"/>
      <c r="F648" s="378"/>
      <c r="G648" s="377"/>
      <c r="H648" s="377"/>
      <c r="I648" s="399"/>
      <c r="J648" s="377"/>
      <c r="K648" s="377"/>
      <c r="L648" s="378"/>
      <c r="M648" s="377"/>
      <c r="N648" s="377"/>
      <c r="O648" s="380"/>
      <c r="P648" s="380"/>
      <c r="Q648" s="380"/>
    </row>
    <row r="649" spans="1:17" x14ac:dyDescent="0.2">
      <c r="A649" s="334" t="s">
        <v>1730</v>
      </c>
      <c r="B649" s="380"/>
      <c r="C649" s="334" t="s">
        <v>1985</v>
      </c>
      <c r="D649" s="377"/>
      <c r="E649" s="377"/>
      <c r="F649" s="378"/>
      <c r="G649" s="377"/>
      <c r="H649" s="377">
        <v>100</v>
      </c>
      <c r="I649" s="399"/>
      <c r="J649" s="377"/>
      <c r="K649" s="377"/>
      <c r="L649" s="378"/>
      <c r="M649" s="377"/>
      <c r="N649" s="377">
        <v>100</v>
      </c>
      <c r="O649" s="380"/>
      <c r="P649" s="380"/>
      <c r="Q649" s="380"/>
    </row>
    <row r="650" spans="1:17" x14ac:dyDescent="0.2">
      <c r="A650" s="334" t="s">
        <v>1566</v>
      </c>
      <c r="B650" s="380"/>
      <c r="C650" s="334" t="s">
        <v>366</v>
      </c>
      <c r="D650" s="377"/>
      <c r="E650" s="377"/>
      <c r="F650" s="378"/>
      <c r="G650" s="377"/>
      <c r="H650" s="377"/>
      <c r="I650" s="399"/>
      <c r="J650" s="377"/>
      <c r="K650" s="377"/>
      <c r="L650" s="378"/>
      <c r="M650" s="377"/>
      <c r="N650" s="377"/>
      <c r="O650" s="380"/>
      <c r="P650" s="380"/>
      <c r="Q650" s="380"/>
    </row>
    <row r="651" spans="1:17" x14ac:dyDescent="0.2">
      <c r="A651" s="334" t="s">
        <v>1755</v>
      </c>
      <c r="B651" s="380"/>
      <c r="C651" s="380" t="s">
        <v>1986</v>
      </c>
      <c r="D651" s="377">
        <v>250</v>
      </c>
      <c r="E651" s="377">
        <v>2300</v>
      </c>
      <c r="F651" s="378"/>
      <c r="G651" s="377"/>
      <c r="H651" s="377"/>
      <c r="I651" s="399"/>
      <c r="J651" s="377">
        <v>150</v>
      </c>
      <c r="K651" s="377">
        <v>1800</v>
      </c>
      <c r="L651" s="378"/>
      <c r="M651" s="377"/>
      <c r="N651" s="377"/>
      <c r="O651" s="380"/>
      <c r="P651" s="380"/>
      <c r="Q651" s="380"/>
    </row>
    <row r="652" spans="1:17" x14ac:dyDescent="0.2">
      <c r="A652" s="384" t="s">
        <v>1962</v>
      </c>
      <c r="B652" s="380"/>
      <c r="C652" s="380" t="s">
        <v>572</v>
      </c>
      <c r="D652" s="377"/>
      <c r="E652" s="377"/>
      <c r="F652" s="378"/>
      <c r="G652" s="377"/>
      <c r="H652" s="377"/>
      <c r="I652" s="399"/>
      <c r="J652" s="377"/>
      <c r="K652" s="377"/>
      <c r="L652" s="378"/>
      <c r="M652" s="377"/>
      <c r="N652" s="377"/>
      <c r="O652" s="380"/>
      <c r="P652" s="380"/>
      <c r="Q652" s="380"/>
    </row>
    <row r="653" spans="1:17" x14ac:dyDescent="0.2">
      <c r="A653" s="380"/>
      <c r="B653" s="380"/>
      <c r="C653" s="380"/>
      <c r="D653" s="394"/>
      <c r="E653" s="394"/>
      <c r="F653" s="413"/>
      <c r="G653" s="394"/>
      <c r="H653" s="394"/>
      <c r="I653" s="387"/>
      <c r="J653" s="394"/>
      <c r="K653" s="394"/>
      <c r="L653" s="413"/>
      <c r="M653" s="394"/>
      <c r="N653" s="394"/>
      <c r="O653" s="380"/>
      <c r="P653" s="380"/>
      <c r="Q653" s="380"/>
    </row>
    <row r="654" spans="1:17" ht="15.75" thickBot="1" x14ac:dyDescent="0.25">
      <c r="A654" s="380"/>
      <c r="B654" s="380"/>
      <c r="C654" s="380"/>
      <c r="D654" s="411">
        <f>SUM(D620:D652)</f>
        <v>0</v>
      </c>
      <c r="E654" s="411">
        <f t="shared" ref="E654:H654" si="9">SUM(E620:E652)</f>
        <v>0</v>
      </c>
      <c r="F654" s="414">
        <f t="shared" si="9"/>
        <v>0</v>
      </c>
      <c r="G654" s="411"/>
      <c r="H654" s="411">
        <f t="shared" si="9"/>
        <v>20950</v>
      </c>
      <c r="I654" s="387"/>
      <c r="J654" s="411">
        <f>SUM(J620:J652)</f>
        <v>300</v>
      </c>
      <c r="K654" s="411">
        <f t="shared" ref="K654:L654" si="10">SUM(K620:K652)</f>
        <v>2320</v>
      </c>
      <c r="L654" s="414">
        <f t="shared" si="10"/>
        <v>0</v>
      </c>
      <c r="M654" s="411"/>
      <c r="N654" s="411">
        <f t="shared" ref="N654" si="11">SUM(N620:N652)</f>
        <v>21250</v>
      </c>
      <c r="O654" s="380"/>
      <c r="P654" s="380"/>
      <c r="Q654" s="380"/>
    </row>
    <row r="655" spans="1:17" x14ac:dyDescent="0.2">
      <c r="A655" s="334"/>
      <c r="B655" s="334"/>
      <c r="C655" s="334"/>
      <c r="D655" s="334"/>
      <c r="E655" s="377"/>
      <c r="F655" s="378"/>
      <c r="G655" s="377"/>
      <c r="H655" s="377"/>
      <c r="I655" s="387"/>
      <c r="J655" s="334"/>
      <c r="K655" s="377"/>
      <c r="L655" s="378"/>
      <c r="M655" s="377"/>
      <c r="N655" s="377"/>
      <c r="O655" s="380"/>
      <c r="P655" s="380"/>
      <c r="Q655" s="380"/>
    </row>
    <row r="656" spans="1:17" ht="15.75" x14ac:dyDescent="0.25">
      <c r="A656" s="334"/>
      <c r="B656" s="334"/>
      <c r="C656" s="334"/>
      <c r="D656" s="334"/>
      <c r="E656" s="377"/>
      <c r="F656" s="378"/>
      <c r="G656" s="377"/>
      <c r="H656" s="377"/>
      <c r="I656" s="397"/>
      <c r="J656" s="334"/>
      <c r="K656" s="377"/>
      <c r="L656" s="378"/>
      <c r="M656" s="377"/>
      <c r="N656" s="377"/>
      <c r="O656" s="380"/>
      <c r="P656" s="380"/>
      <c r="Q656" s="380"/>
    </row>
    <row r="657" spans="1:17" x14ac:dyDescent="0.2">
      <c r="A657" s="334" t="s">
        <v>539</v>
      </c>
      <c r="B657" s="380"/>
      <c r="C657" s="380"/>
      <c r="D657" s="334" t="s">
        <v>1480</v>
      </c>
      <c r="E657" s="334" t="s">
        <v>1481</v>
      </c>
      <c r="F657" s="412" t="s">
        <v>1482</v>
      </c>
      <c r="G657" s="334"/>
      <c r="H657" s="334" t="s">
        <v>1483</v>
      </c>
      <c r="I657" s="387"/>
      <c r="J657" s="334" t="s">
        <v>1480</v>
      </c>
      <c r="K657" s="334" t="s">
        <v>1481</v>
      </c>
      <c r="L657" s="412" t="s">
        <v>1482</v>
      </c>
      <c r="M657" s="334"/>
      <c r="N657" s="334" t="s">
        <v>1483</v>
      </c>
      <c r="O657" s="380"/>
      <c r="P657" s="380"/>
      <c r="Q657" s="380"/>
    </row>
    <row r="658" spans="1:17" x14ac:dyDescent="0.2">
      <c r="A658" s="380"/>
      <c r="B658" s="380"/>
      <c r="C658" s="384" t="s">
        <v>436</v>
      </c>
      <c r="D658" s="334" t="s">
        <v>2918</v>
      </c>
      <c r="E658" s="334" t="s">
        <v>144</v>
      </c>
      <c r="F658" s="412" t="s">
        <v>2919</v>
      </c>
      <c r="G658" s="334"/>
      <c r="H658" s="334" t="s">
        <v>2920</v>
      </c>
      <c r="I658" s="387"/>
      <c r="J658" s="334" t="s">
        <v>153</v>
      </c>
      <c r="K658" s="334" t="s">
        <v>144</v>
      </c>
      <c r="L658" s="412" t="s">
        <v>158</v>
      </c>
      <c r="M658" s="334"/>
      <c r="N658" s="334" t="s">
        <v>146</v>
      </c>
      <c r="O658" s="380"/>
      <c r="P658" s="380"/>
      <c r="Q658" s="380"/>
    </row>
    <row r="659" spans="1:17" x14ac:dyDescent="0.2">
      <c r="A659" s="380"/>
      <c r="B659" s="380"/>
      <c r="C659" s="380"/>
      <c r="D659" s="334" t="s">
        <v>154</v>
      </c>
      <c r="E659" s="334" t="s">
        <v>157</v>
      </c>
      <c r="F659" s="412" t="s">
        <v>159</v>
      </c>
      <c r="G659" s="334"/>
      <c r="H659" s="334" t="s">
        <v>162</v>
      </c>
      <c r="I659" s="387"/>
      <c r="J659" s="334" t="s">
        <v>154</v>
      </c>
      <c r="K659" s="334" t="s">
        <v>157</v>
      </c>
      <c r="L659" s="412" t="s">
        <v>159</v>
      </c>
      <c r="M659" s="334"/>
      <c r="N659" s="334" t="s">
        <v>162</v>
      </c>
      <c r="O659" s="380"/>
      <c r="P659" s="380"/>
      <c r="Q659" s="380"/>
    </row>
    <row r="660" spans="1:17" x14ac:dyDescent="0.2">
      <c r="A660" s="334" t="s">
        <v>342</v>
      </c>
      <c r="B660" s="380"/>
      <c r="C660" s="334" t="s">
        <v>342</v>
      </c>
      <c r="D660" s="380"/>
      <c r="E660" s="380"/>
      <c r="F660" s="378"/>
      <c r="G660" s="380"/>
      <c r="H660" s="380"/>
      <c r="I660" s="387"/>
      <c r="J660" s="380"/>
      <c r="K660" s="380"/>
      <c r="L660" s="378"/>
      <c r="M660" s="380"/>
      <c r="N660" s="380"/>
      <c r="O660" s="380"/>
      <c r="P660" s="380"/>
      <c r="Q660" s="380"/>
    </row>
    <row r="661" spans="1:17" x14ac:dyDescent="0.2">
      <c r="A661" s="334" t="s">
        <v>1723</v>
      </c>
      <c r="B661" s="380"/>
      <c r="C661" s="334" t="s">
        <v>1880</v>
      </c>
      <c r="D661" s="334" t="s">
        <v>181</v>
      </c>
      <c r="E661" s="334" t="s">
        <v>181</v>
      </c>
      <c r="F661" s="412" t="s">
        <v>181</v>
      </c>
      <c r="G661" s="334"/>
      <c r="H661" s="334" t="s">
        <v>181</v>
      </c>
      <c r="I661" s="387"/>
      <c r="J661" s="334" t="s">
        <v>181</v>
      </c>
      <c r="K661" s="334" t="s">
        <v>181</v>
      </c>
      <c r="L661" s="412" t="s">
        <v>181</v>
      </c>
      <c r="M661" s="334"/>
      <c r="N661" s="334" t="s">
        <v>181</v>
      </c>
      <c r="O661" s="380"/>
      <c r="P661" s="380"/>
      <c r="Q661" s="380"/>
    </row>
    <row r="662" spans="1:17" x14ac:dyDescent="0.2">
      <c r="A662" s="380"/>
      <c r="B662" s="380"/>
      <c r="C662" s="380"/>
      <c r="D662" s="380"/>
      <c r="E662" s="380"/>
      <c r="F662" s="378"/>
      <c r="G662" s="380"/>
      <c r="H662" s="380"/>
      <c r="I662" s="387"/>
      <c r="J662" s="380"/>
      <c r="K662" s="380"/>
      <c r="L662" s="378"/>
      <c r="M662" s="380"/>
      <c r="N662" s="380"/>
      <c r="O662" s="380"/>
      <c r="P662" s="380"/>
      <c r="Q662" s="380"/>
    </row>
    <row r="663" spans="1:17" x14ac:dyDescent="0.2">
      <c r="A663" s="334" t="s">
        <v>1733</v>
      </c>
      <c r="B663" s="380"/>
      <c r="C663" s="334" t="s">
        <v>27</v>
      </c>
      <c r="D663" s="380"/>
      <c r="E663" s="380"/>
      <c r="F663" s="378"/>
      <c r="G663" s="380"/>
      <c r="H663" s="380"/>
      <c r="I663" s="399"/>
      <c r="J663" s="380"/>
      <c r="K663" s="380"/>
      <c r="L663" s="378"/>
      <c r="M663" s="380"/>
      <c r="N663" s="380"/>
      <c r="O663" s="380"/>
      <c r="P663" s="380"/>
      <c r="Q663" s="380"/>
    </row>
    <row r="664" spans="1:17" x14ac:dyDescent="0.2">
      <c r="A664" s="334" t="s">
        <v>1743</v>
      </c>
      <c r="B664" s="380"/>
      <c r="C664" s="334" t="s">
        <v>1886</v>
      </c>
      <c r="D664" s="380"/>
      <c r="E664" s="380"/>
      <c r="F664" s="378"/>
      <c r="G664" s="380"/>
      <c r="H664" s="380"/>
      <c r="I664" s="399"/>
      <c r="J664" s="380"/>
      <c r="K664" s="380"/>
      <c r="L664" s="378"/>
      <c r="M664" s="380"/>
      <c r="N664" s="380"/>
      <c r="O664" s="380"/>
      <c r="P664" s="380"/>
      <c r="Q664" s="380"/>
    </row>
    <row r="665" spans="1:17" x14ac:dyDescent="0.2">
      <c r="A665" s="334" t="s">
        <v>1569</v>
      </c>
      <c r="B665" s="380"/>
      <c r="C665" s="334" t="s">
        <v>1888</v>
      </c>
      <c r="D665" s="380"/>
      <c r="E665" s="380"/>
      <c r="F665" s="378"/>
      <c r="G665" s="380"/>
      <c r="H665" s="380"/>
      <c r="I665" s="399"/>
      <c r="J665" s="380"/>
      <c r="K665" s="380"/>
      <c r="L665" s="378"/>
      <c r="M665" s="380"/>
      <c r="N665" s="380"/>
      <c r="O665" s="380"/>
      <c r="P665" s="380"/>
      <c r="Q665" s="380"/>
    </row>
    <row r="666" spans="1:17" x14ac:dyDescent="0.2">
      <c r="A666" s="334" t="s">
        <v>1724</v>
      </c>
      <c r="B666" s="380"/>
      <c r="C666" s="334" t="s">
        <v>1881</v>
      </c>
      <c r="D666" s="380"/>
      <c r="E666" s="380"/>
      <c r="F666" s="378"/>
      <c r="G666" s="380"/>
      <c r="H666" s="380"/>
      <c r="I666" s="399"/>
      <c r="J666" s="380">
        <v>0</v>
      </c>
      <c r="K666" s="380">
        <v>0</v>
      </c>
      <c r="L666" s="378">
        <v>0</v>
      </c>
      <c r="M666" s="380"/>
      <c r="N666" s="380"/>
      <c r="O666" s="380"/>
      <c r="P666" s="380"/>
      <c r="Q666" s="380"/>
    </row>
    <row r="667" spans="1:17" x14ac:dyDescent="0.2">
      <c r="A667" s="334" t="s">
        <v>1736</v>
      </c>
      <c r="B667" s="380"/>
      <c r="C667" s="334" t="s">
        <v>1747</v>
      </c>
      <c r="D667" s="380"/>
      <c r="E667" s="380"/>
      <c r="F667" s="378"/>
      <c r="G667" s="380"/>
      <c r="H667" s="380"/>
      <c r="I667" s="399"/>
      <c r="J667" s="380"/>
      <c r="K667" s="380"/>
      <c r="L667" s="378"/>
      <c r="M667" s="380"/>
      <c r="N667" s="380"/>
      <c r="O667" s="380"/>
      <c r="P667" s="380"/>
      <c r="Q667" s="380"/>
    </row>
    <row r="668" spans="1:17" x14ac:dyDescent="0.2">
      <c r="A668" s="334" t="s">
        <v>1744</v>
      </c>
      <c r="B668" s="380"/>
      <c r="C668" s="334" t="s">
        <v>1254</v>
      </c>
      <c r="D668" s="380"/>
      <c r="E668" s="380"/>
      <c r="F668" s="378"/>
      <c r="G668" s="380"/>
      <c r="H668" s="380"/>
      <c r="I668" s="399"/>
      <c r="J668" s="380"/>
      <c r="K668" s="380"/>
      <c r="L668" s="378"/>
      <c r="M668" s="380"/>
      <c r="N668" s="380"/>
      <c r="O668" s="380"/>
      <c r="P668" s="380"/>
      <c r="Q668" s="380"/>
    </row>
    <row r="669" spans="1:17" x14ac:dyDescent="0.2">
      <c r="A669" s="334" t="s">
        <v>1575</v>
      </c>
      <c r="B669" s="380"/>
      <c r="C669" s="334" t="s">
        <v>1889</v>
      </c>
      <c r="D669" s="380"/>
      <c r="E669" s="380"/>
      <c r="F669" s="378"/>
      <c r="G669" s="380"/>
      <c r="H669" s="380"/>
      <c r="I669" s="399"/>
      <c r="J669" s="380"/>
      <c r="K669" s="380"/>
      <c r="L669" s="378"/>
      <c r="M669" s="380"/>
      <c r="N669" s="380"/>
      <c r="O669" s="380"/>
      <c r="P669" s="380"/>
      <c r="Q669" s="380"/>
    </row>
    <row r="670" spans="1:17" x14ac:dyDescent="0.2">
      <c r="A670" s="334" t="s">
        <v>1725</v>
      </c>
      <c r="B670" s="380"/>
      <c r="C670" s="334" t="s">
        <v>1890</v>
      </c>
      <c r="D670" s="380"/>
      <c r="E670" s="380"/>
      <c r="F670" s="378"/>
      <c r="G670" s="380"/>
      <c r="H670" s="380"/>
      <c r="I670" s="399"/>
      <c r="J670" s="380"/>
      <c r="K670" s="380"/>
      <c r="L670" s="378"/>
      <c r="M670" s="380"/>
      <c r="N670" s="380"/>
      <c r="O670" s="380"/>
      <c r="P670" s="380"/>
      <c r="Q670" s="380"/>
    </row>
    <row r="671" spans="1:17" x14ac:dyDescent="0.2">
      <c r="A671" s="334" t="s">
        <v>1565</v>
      </c>
      <c r="B671" s="380"/>
      <c r="C671" s="334" t="s">
        <v>1927</v>
      </c>
      <c r="D671" s="380"/>
      <c r="E671" s="380"/>
      <c r="F671" s="378"/>
      <c r="G671" s="380"/>
      <c r="H671" s="380"/>
      <c r="I671" s="399"/>
      <c r="J671" s="380"/>
      <c r="K671" s="380"/>
      <c r="L671" s="378"/>
      <c r="M671" s="380"/>
      <c r="N671" s="380"/>
      <c r="O671" s="380"/>
      <c r="P671" s="380"/>
      <c r="Q671" s="380"/>
    </row>
    <row r="672" spans="1:17" x14ac:dyDescent="0.2">
      <c r="A672" s="334" t="s">
        <v>1737</v>
      </c>
      <c r="B672" s="380"/>
      <c r="C672" s="334" t="s">
        <v>1928</v>
      </c>
      <c r="D672" s="380"/>
      <c r="E672" s="380"/>
      <c r="F672" s="378"/>
      <c r="G672" s="380"/>
      <c r="H672" s="380"/>
      <c r="I672" s="399"/>
      <c r="J672" s="380"/>
      <c r="K672" s="380"/>
      <c r="L672" s="378"/>
      <c r="M672" s="380"/>
      <c r="N672" s="380"/>
      <c r="O672" s="380"/>
      <c r="P672" s="380"/>
      <c r="Q672" s="380"/>
    </row>
    <row r="673" spans="1:17" x14ac:dyDescent="0.2">
      <c r="A673" s="334" t="s">
        <v>1726</v>
      </c>
      <c r="B673" s="380"/>
      <c r="C673" s="334" t="s">
        <v>1117</v>
      </c>
      <c r="D673" s="380"/>
      <c r="E673" s="380"/>
      <c r="F673" s="378"/>
      <c r="G673" s="380"/>
      <c r="H673" s="380">
        <v>400</v>
      </c>
      <c r="I673" s="399"/>
      <c r="J673" s="380"/>
      <c r="K673" s="380"/>
      <c r="L673" s="378"/>
      <c r="M673" s="380"/>
      <c r="N673" s="380">
        <v>200</v>
      </c>
      <c r="O673" s="380"/>
      <c r="P673" s="380"/>
      <c r="Q673" s="380"/>
    </row>
    <row r="674" spans="1:17" x14ac:dyDescent="0.2">
      <c r="A674" s="334" t="s">
        <v>1756</v>
      </c>
      <c r="B674" s="380"/>
      <c r="C674" s="334" t="s">
        <v>3137</v>
      </c>
      <c r="D674" s="380"/>
      <c r="E674" s="380"/>
      <c r="F674" s="378"/>
      <c r="G674" s="380"/>
      <c r="H674" s="380"/>
      <c r="I674" s="399"/>
      <c r="J674" s="380"/>
      <c r="K674" s="380"/>
      <c r="L674" s="378"/>
      <c r="M674" s="380"/>
      <c r="N674" s="380"/>
      <c r="O674" s="380"/>
      <c r="P674" s="380"/>
      <c r="Q674" s="380"/>
    </row>
    <row r="675" spans="1:17" x14ac:dyDescent="0.2">
      <c r="A675" s="334" t="s">
        <v>1751</v>
      </c>
      <c r="B675" s="380"/>
      <c r="C675" s="334" t="s">
        <v>3138</v>
      </c>
      <c r="D675" s="380"/>
      <c r="E675" s="380"/>
      <c r="F675" s="378"/>
      <c r="G675" s="380"/>
      <c r="H675" s="380"/>
      <c r="I675" s="399"/>
      <c r="J675" s="380"/>
      <c r="K675" s="380"/>
      <c r="L675" s="378"/>
      <c r="M675" s="380"/>
      <c r="N675" s="380"/>
      <c r="O675" s="380"/>
      <c r="P675" s="380"/>
      <c r="Q675" s="380"/>
    </row>
    <row r="676" spans="1:17" x14ac:dyDescent="0.2">
      <c r="A676" s="334" t="s">
        <v>1752</v>
      </c>
      <c r="B676" s="380"/>
      <c r="C676" s="334" t="s">
        <v>367</v>
      </c>
      <c r="D676" s="380"/>
      <c r="E676" s="380"/>
      <c r="F676" s="378"/>
      <c r="G676" s="380"/>
      <c r="H676" s="380"/>
      <c r="I676" s="399"/>
      <c r="J676" s="380"/>
      <c r="K676" s="380"/>
      <c r="L676" s="378"/>
      <c r="M676" s="380"/>
      <c r="N676" s="380"/>
      <c r="O676" s="380"/>
      <c r="P676" s="380"/>
      <c r="Q676" s="380"/>
    </row>
    <row r="677" spans="1:17" x14ac:dyDescent="0.2">
      <c r="A677" s="334" t="s">
        <v>1577</v>
      </c>
      <c r="B677" s="380"/>
      <c r="C677" s="334" t="s">
        <v>1815</v>
      </c>
      <c r="D677" s="380"/>
      <c r="E677" s="380"/>
      <c r="F677" s="378"/>
      <c r="G677" s="380"/>
      <c r="H677" s="380"/>
      <c r="I677" s="399"/>
      <c r="J677" s="380"/>
      <c r="K677" s="380"/>
      <c r="L677" s="378"/>
      <c r="M677" s="380"/>
      <c r="N677" s="380"/>
      <c r="O677" s="380"/>
      <c r="P677" s="380"/>
      <c r="Q677" s="380"/>
    </row>
    <row r="678" spans="1:17" x14ac:dyDescent="0.2">
      <c r="A678" s="334" t="s">
        <v>1753</v>
      </c>
      <c r="B678" s="380"/>
      <c r="C678" s="334" t="s">
        <v>1816</v>
      </c>
      <c r="D678" s="380"/>
      <c r="E678" s="380"/>
      <c r="F678" s="378"/>
      <c r="G678" s="380"/>
      <c r="H678" s="380"/>
      <c r="I678" s="399"/>
      <c r="J678" s="380"/>
      <c r="K678" s="380"/>
      <c r="L678" s="378"/>
      <c r="M678" s="380"/>
      <c r="N678" s="380"/>
      <c r="O678" s="380"/>
      <c r="P678" s="380"/>
      <c r="Q678" s="380"/>
    </row>
    <row r="679" spans="1:17" x14ac:dyDescent="0.2">
      <c r="A679" s="334" t="s">
        <v>1734</v>
      </c>
      <c r="B679" s="380"/>
      <c r="C679" s="334" t="s">
        <v>1746</v>
      </c>
      <c r="D679" s="380"/>
      <c r="E679" s="380"/>
      <c r="F679" s="378"/>
      <c r="G679" s="380"/>
      <c r="H679" s="380"/>
      <c r="I679" s="399"/>
      <c r="J679" s="380"/>
      <c r="K679" s="380"/>
      <c r="L679" s="378"/>
      <c r="M679" s="380"/>
      <c r="N679" s="380"/>
      <c r="O679" s="380"/>
      <c r="P679" s="380"/>
      <c r="Q679" s="380"/>
    </row>
    <row r="680" spans="1:17" x14ac:dyDescent="0.2">
      <c r="A680" s="334" t="s">
        <v>1571</v>
      </c>
      <c r="B680" s="380"/>
      <c r="C680" s="334" t="s">
        <v>3</v>
      </c>
      <c r="D680" s="380"/>
      <c r="E680" s="380"/>
      <c r="F680" s="378"/>
      <c r="G680" s="380"/>
      <c r="H680" s="380"/>
      <c r="I680" s="399"/>
      <c r="J680" s="380"/>
      <c r="K680" s="380"/>
      <c r="L680" s="378"/>
      <c r="M680" s="380"/>
      <c r="N680" s="380"/>
      <c r="O680" s="380"/>
      <c r="P680" s="380"/>
      <c r="Q680" s="380"/>
    </row>
    <row r="681" spans="1:17" x14ac:dyDescent="0.2">
      <c r="A681" s="334" t="s">
        <v>1738</v>
      </c>
      <c r="B681" s="380"/>
      <c r="C681" s="334" t="s">
        <v>1591</v>
      </c>
      <c r="D681" s="380"/>
      <c r="E681" s="380"/>
      <c r="F681" s="378"/>
      <c r="G681" s="380"/>
      <c r="H681" s="380"/>
      <c r="I681" s="399"/>
      <c r="J681" s="380"/>
      <c r="K681" s="380"/>
      <c r="L681" s="378"/>
      <c r="M681" s="380"/>
      <c r="N681" s="380"/>
      <c r="O681" s="380"/>
      <c r="P681" s="380"/>
      <c r="Q681" s="380"/>
    </row>
    <row r="682" spans="1:17" x14ac:dyDescent="0.2">
      <c r="A682" s="334" t="s">
        <v>1727</v>
      </c>
      <c r="B682" s="380"/>
      <c r="C682" s="334" t="s">
        <v>307</v>
      </c>
      <c r="D682" s="380"/>
      <c r="E682" s="380"/>
      <c r="F682" s="378"/>
      <c r="G682" s="380"/>
      <c r="H682" s="380"/>
      <c r="I682" s="399"/>
      <c r="J682" s="380"/>
      <c r="K682" s="380"/>
      <c r="L682" s="378"/>
      <c r="M682" s="380"/>
      <c r="N682" s="380"/>
      <c r="O682" s="380"/>
      <c r="P682" s="380"/>
      <c r="Q682" s="380"/>
    </row>
    <row r="683" spans="1:17" x14ac:dyDescent="0.2">
      <c r="A683" s="334" t="s">
        <v>1728</v>
      </c>
      <c r="B683" s="380"/>
      <c r="C683" s="334" t="s">
        <v>310</v>
      </c>
      <c r="D683" s="380"/>
      <c r="E683" s="380"/>
      <c r="F683" s="378"/>
      <c r="G683" s="380"/>
      <c r="H683" s="380"/>
      <c r="I683" s="399"/>
      <c r="J683" s="380"/>
      <c r="K683" s="380"/>
      <c r="L683" s="378"/>
      <c r="M683" s="380"/>
      <c r="N683" s="380"/>
      <c r="O683" s="380"/>
      <c r="P683" s="380"/>
      <c r="Q683" s="380"/>
    </row>
    <row r="684" spans="1:17" x14ac:dyDescent="0.2">
      <c r="A684" s="334" t="s">
        <v>1729</v>
      </c>
      <c r="B684" s="380"/>
      <c r="C684" s="380" t="s">
        <v>1551</v>
      </c>
      <c r="D684" s="380"/>
      <c r="E684" s="380"/>
      <c r="F684" s="378"/>
      <c r="G684" s="380"/>
      <c r="H684" s="380"/>
      <c r="I684" s="399"/>
      <c r="J684" s="380"/>
      <c r="K684" s="380"/>
      <c r="L684" s="378"/>
      <c r="M684" s="380"/>
      <c r="N684" s="380"/>
      <c r="O684" s="380"/>
      <c r="P684" s="380"/>
      <c r="Q684" s="380"/>
    </row>
    <row r="685" spans="1:17" x14ac:dyDescent="0.2">
      <c r="A685" s="334" t="s">
        <v>1735</v>
      </c>
      <c r="B685" s="380"/>
      <c r="C685" s="380" t="s">
        <v>194</v>
      </c>
      <c r="D685" s="380"/>
      <c r="E685" s="380"/>
      <c r="F685" s="378"/>
      <c r="G685" s="380"/>
      <c r="H685" s="380"/>
      <c r="I685" s="399"/>
      <c r="J685" s="380"/>
      <c r="K685" s="380"/>
      <c r="L685" s="378"/>
      <c r="M685" s="380"/>
      <c r="N685" s="380"/>
      <c r="O685" s="380"/>
      <c r="P685" s="380"/>
      <c r="Q685" s="380"/>
    </row>
    <row r="686" spans="1:17" x14ac:dyDescent="0.2">
      <c r="A686" s="334" t="s">
        <v>1741</v>
      </c>
      <c r="B686" s="380"/>
      <c r="C686" s="334" t="s">
        <v>1748</v>
      </c>
      <c r="D686" s="380"/>
      <c r="E686" s="380"/>
      <c r="F686" s="378"/>
      <c r="G686" s="380"/>
      <c r="H686" s="380"/>
      <c r="I686" s="399"/>
      <c r="J686" s="380"/>
      <c r="K686" s="380"/>
      <c r="L686" s="378"/>
      <c r="M686" s="380"/>
      <c r="N686" s="380"/>
      <c r="O686" s="380"/>
      <c r="P686" s="380"/>
      <c r="Q686" s="380"/>
    </row>
    <row r="687" spans="1:17" x14ac:dyDescent="0.2">
      <c r="A687" s="334" t="s">
        <v>1742</v>
      </c>
      <c r="B687" s="380"/>
      <c r="C687" s="334" t="s">
        <v>1553</v>
      </c>
      <c r="D687" s="380"/>
      <c r="E687" s="380"/>
      <c r="F687" s="378"/>
      <c r="G687" s="380"/>
      <c r="H687" s="380"/>
      <c r="I687" s="399"/>
      <c r="J687" s="380"/>
      <c r="K687" s="380"/>
      <c r="L687" s="378"/>
      <c r="M687" s="380"/>
      <c r="N687" s="380"/>
      <c r="O687" s="380"/>
      <c r="P687" s="380"/>
      <c r="Q687" s="380"/>
    </row>
    <row r="688" spans="1:17" x14ac:dyDescent="0.2">
      <c r="A688" s="334" t="s">
        <v>1754</v>
      </c>
      <c r="B688" s="380"/>
      <c r="C688" s="334" t="s">
        <v>1929</v>
      </c>
      <c r="D688" s="380"/>
      <c r="E688" s="380"/>
      <c r="F688" s="378"/>
      <c r="G688" s="380"/>
      <c r="H688" s="380"/>
      <c r="I688" s="399"/>
      <c r="J688" s="380"/>
      <c r="K688" s="380"/>
      <c r="L688" s="378"/>
      <c r="M688" s="380"/>
      <c r="N688" s="380"/>
      <c r="O688" s="380"/>
      <c r="P688" s="380"/>
      <c r="Q688" s="380"/>
    </row>
    <row r="689" spans="1:17" x14ac:dyDescent="0.2">
      <c r="A689" s="334" t="s">
        <v>1584</v>
      </c>
      <c r="B689" s="380"/>
      <c r="C689" s="334" t="s">
        <v>0</v>
      </c>
      <c r="D689" s="380"/>
      <c r="E689" s="380"/>
      <c r="F689" s="378"/>
      <c r="G689" s="380"/>
      <c r="H689" s="380"/>
      <c r="I689" s="399"/>
      <c r="J689" s="380"/>
      <c r="K689" s="380"/>
      <c r="L689" s="378"/>
      <c r="M689" s="380"/>
      <c r="N689" s="380"/>
      <c r="O689" s="380"/>
      <c r="P689" s="380"/>
      <c r="Q689" s="380"/>
    </row>
    <row r="690" spans="1:17" x14ac:dyDescent="0.2">
      <c r="A690" s="334" t="s">
        <v>1580</v>
      </c>
      <c r="B690" s="380"/>
      <c r="C690" s="334" t="s">
        <v>1936</v>
      </c>
      <c r="D690" s="380"/>
      <c r="E690" s="380"/>
      <c r="F690" s="378"/>
      <c r="G690" s="380"/>
      <c r="H690" s="380"/>
      <c r="I690" s="399"/>
      <c r="J690" s="380"/>
      <c r="K690" s="380"/>
      <c r="L690" s="378"/>
      <c r="M690" s="380"/>
      <c r="N690" s="380"/>
      <c r="O690" s="380"/>
      <c r="P690" s="380"/>
      <c r="Q690" s="380"/>
    </row>
    <row r="691" spans="1:17" x14ac:dyDescent="0.2">
      <c r="A691" s="334" t="s">
        <v>1572</v>
      </c>
      <c r="B691" s="380"/>
      <c r="C691" s="334" t="s">
        <v>3134</v>
      </c>
      <c r="D691" s="380"/>
      <c r="E691" s="380"/>
      <c r="F691" s="378"/>
      <c r="G691" s="380"/>
      <c r="H691" s="380"/>
      <c r="I691" s="399"/>
      <c r="J691" s="380"/>
      <c r="K691" s="380"/>
      <c r="L691" s="378"/>
      <c r="M691" s="380"/>
      <c r="N691" s="380"/>
      <c r="O691" s="380"/>
      <c r="P691" s="380"/>
      <c r="Q691" s="380"/>
    </row>
    <row r="692" spans="1:17" x14ac:dyDescent="0.2">
      <c r="A692" s="334" t="s">
        <v>1730</v>
      </c>
      <c r="B692" s="380"/>
      <c r="C692" s="334" t="s">
        <v>1985</v>
      </c>
      <c r="D692" s="380"/>
      <c r="E692" s="380"/>
      <c r="F692" s="378"/>
      <c r="G692" s="380"/>
      <c r="H692" s="380"/>
      <c r="I692" s="399"/>
      <c r="J692" s="380"/>
      <c r="K692" s="380"/>
      <c r="L692" s="378"/>
      <c r="M692" s="380"/>
      <c r="N692" s="380"/>
      <c r="O692" s="380"/>
      <c r="P692" s="380"/>
      <c r="Q692" s="380"/>
    </row>
    <row r="693" spans="1:17" x14ac:dyDescent="0.2">
      <c r="A693" s="334" t="s">
        <v>1566</v>
      </c>
      <c r="B693" s="380"/>
      <c r="C693" s="334" t="s">
        <v>366</v>
      </c>
      <c r="D693" s="380"/>
      <c r="E693" s="380"/>
      <c r="F693" s="378"/>
      <c r="G693" s="380"/>
      <c r="H693" s="380"/>
      <c r="I693" s="399"/>
      <c r="J693" s="380"/>
      <c r="K693" s="380"/>
      <c r="L693" s="378"/>
      <c r="M693" s="380"/>
      <c r="N693" s="380"/>
      <c r="O693" s="380"/>
      <c r="P693" s="380"/>
      <c r="Q693" s="380"/>
    </row>
    <row r="694" spans="1:17" x14ac:dyDescent="0.2">
      <c r="A694" s="334" t="s">
        <v>1755</v>
      </c>
      <c r="B694" s="380"/>
      <c r="C694" s="380" t="s">
        <v>1986</v>
      </c>
      <c r="D694" s="380"/>
      <c r="E694" s="380"/>
      <c r="F694" s="378"/>
      <c r="G694" s="380"/>
      <c r="H694" s="380"/>
      <c r="I694" s="399"/>
      <c r="J694" s="380"/>
      <c r="K694" s="380"/>
      <c r="L694" s="378"/>
      <c r="M694" s="380"/>
      <c r="N694" s="380"/>
      <c r="O694" s="380"/>
      <c r="P694" s="380"/>
      <c r="Q694" s="380"/>
    </row>
    <row r="695" spans="1:17" x14ac:dyDescent="0.2">
      <c r="A695" s="334" t="s">
        <v>1567</v>
      </c>
      <c r="B695" s="380"/>
      <c r="C695" s="334" t="s">
        <v>3142</v>
      </c>
      <c r="D695" s="380"/>
      <c r="E695" s="380"/>
      <c r="F695" s="378"/>
      <c r="G695" s="380"/>
      <c r="H695" s="380"/>
      <c r="I695" s="399"/>
      <c r="J695" s="380"/>
      <c r="K695" s="380"/>
      <c r="L695" s="378"/>
      <c r="M695" s="380"/>
      <c r="N695" s="380"/>
      <c r="O695" s="380"/>
      <c r="P695" s="380"/>
      <c r="Q695" s="380"/>
    </row>
    <row r="696" spans="1:17" x14ac:dyDescent="0.2">
      <c r="A696" s="334"/>
      <c r="B696" s="334"/>
      <c r="C696" s="334"/>
      <c r="D696" s="394"/>
      <c r="E696" s="394"/>
      <c r="F696" s="413"/>
      <c r="G696" s="394"/>
      <c r="H696" s="394"/>
      <c r="I696" s="387"/>
      <c r="J696" s="394"/>
      <c r="K696" s="394"/>
      <c r="L696" s="413"/>
      <c r="M696" s="394"/>
      <c r="N696" s="394"/>
      <c r="O696" s="380"/>
      <c r="P696" s="380"/>
      <c r="Q696" s="380"/>
    </row>
    <row r="697" spans="1:17" ht="15.75" thickBot="1" x14ac:dyDescent="0.25">
      <c r="A697" s="334"/>
      <c r="B697" s="334"/>
      <c r="C697" s="334"/>
      <c r="D697" s="411">
        <f>SUM(D663:D695)</f>
        <v>0</v>
      </c>
      <c r="E697" s="411">
        <f t="shared" ref="E697:H697" si="12">SUM(E663:E695)</f>
        <v>0</v>
      </c>
      <c r="F697" s="414">
        <f t="shared" si="12"/>
        <v>0</v>
      </c>
      <c r="G697" s="411"/>
      <c r="H697" s="411">
        <f t="shared" si="12"/>
        <v>400</v>
      </c>
      <c r="I697" s="387"/>
      <c r="J697" s="411">
        <f>SUM(J663:J695)</f>
        <v>0</v>
      </c>
      <c r="K697" s="411">
        <f t="shared" ref="K697:L697" si="13">SUM(K663:K695)</f>
        <v>0</v>
      </c>
      <c r="L697" s="414">
        <f t="shared" si="13"/>
        <v>0</v>
      </c>
      <c r="M697" s="411"/>
      <c r="N697" s="411">
        <f t="shared" ref="N697" si="14">SUM(N663:N695)</f>
        <v>200</v>
      </c>
      <c r="O697" s="380"/>
      <c r="P697" s="380"/>
      <c r="Q697" s="380"/>
    </row>
    <row r="698" spans="1:17" x14ac:dyDescent="0.2">
      <c r="A698" s="334"/>
      <c r="B698" s="334"/>
      <c r="C698" s="334"/>
      <c r="D698" s="334"/>
      <c r="E698" s="334"/>
      <c r="F698" s="412"/>
      <c r="G698" s="334"/>
      <c r="H698" s="334"/>
      <c r="I698" s="387"/>
      <c r="J698" s="334"/>
      <c r="K698" s="334"/>
      <c r="L698" s="412"/>
      <c r="M698" s="334"/>
      <c r="N698" s="334"/>
      <c r="O698" s="380"/>
      <c r="P698" s="380"/>
      <c r="Q698" s="380"/>
    </row>
    <row r="699" spans="1:17" x14ac:dyDescent="0.2">
      <c r="A699" s="334"/>
      <c r="B699" s="334"/>
      <c r="C699" s="334"/>
      <c r="D699" s="334"/>
      <c r="E699" s="334"/>
      <c r="F699" s="412"/>
      <c r="G699" s="334"/>
      <c r="H699" s="334"/>
      <c r="I699" s="419"/>
      <c r="J699" s="334"/>
      <c r="K699" s="334"/>
      <c r="L699" s="412"/>
      <c r="M699" s="334"/>
      <c r="N699" s="334"/>
      <c r="O699" s="380"/>
      <c r="P699" s="380"/>
      <c r="Q699" s="380"/>
    </row>
    <row r="700" spans="1:17" x14ac:dyDescent="0.2">
      <c r="A700" s="334"/>
      <c r="B700" s="334"/>
      <c r="C700" s="334"/>
      <c r="D700" s="334"/>
      <c r="E700" s="334"/>
      <c r="F700" s="412"/>
      <c r="G700" s="334"/>
      <c r="H700" s="334"/>
      <c r="I700" s="387"/>
      <c r="J700" s="334"/>
      <c r="K700" s="334"/>
      <c r="L700" s="412"/>
      <c r="M700" s="334"/>
      <c r="N700" s="334"/>
      <c r="O700" s="380"/>
      <c r="P700" s="380"/>
      <c r="Q700" s="380"/>
    </row>
    <row r="701" spans="1:17" x14ac:dyDescent="0.2">
      <c r="A701" s="334" t="s">
        <v>539</v>
      </c>
      <c r="B701" s="380"/>
      <c r="C701" s="380"/>
      <c r="D701" s="334" t="s">
        <v>1484</v>
      </c>
      <c r="E701" s="334" t="s">
        <v>1485</v>
      </c>
      <c r="F701" s="412" t="s">
        <v>1486</v>
      </c>
      <c r="G701" s="334"/>
      <c r="H701" s="334" t="s">
        <v>1487</v>
      </c>
      <c r="I701" s="387"/>
      <c r="J701" s="334" t="s">
        <v>1484</v>
      </c>
      <c r="K701" s="334" t="s">
        <v>1485</v>
      </c>
      <c r="L701" s="412" t="s">
        <v>1486</v>
      </c>
      <c r="M701" s="334"/>
      <c r="N701" s="334" t="s">
        <v>1487</v>
      </c>
      <c r="O701" s="380"/>
      <c r="P701" s="380"/>
      <c r="Q701" s="380"/>
    </row>
    <row r="702" spans="1:17" x14ac:dyDescent="0.2">
      <c r="A702" s="380"/>
      <c r="B702" s="380"/>
      <c r="C702" s="384" t="s">
        <v>436</v>
      </c>
      <c r="D702" s="334" t="s">
        <v>163</v>
      </c>
      <c r="E702" s="334" t="s">
        <v>165</v>
      </c>
      <c r="F702" s="412" t="s">
        <v>167</v>
      </c>
      <c r="G702" s="334"/>
      <c r="H702" s="334" t="s">
        <v>169</v>
      </c>
      <c r="I702" s="387"/>
      <c r="J702" s="334" t="s">
        <v>163</v>
      </c>
      <c r="K702" s="334" t="s">
        <v>165</v>
      </c>
      <c r="L702" s="412" t="s">
        <v>167</v>
      </c>
      <c r="M702" s="334"/>
      <c r="N702" s="334" t="s">
        <v>169</v>
      </c>
      <c r="O702" s="380"/>
      <c r="P702" s="380"/>
      <c r="Q702" s="380"/>
    </row>
    <row r="703" spans="1:17" x14ac:dyDescent="0.2">
      <c r="A703" s="380"/>
      <c r="B703" s="380"/>
      <c r="C703" s="380"/>
      <c r="D703" s="334" t="s">
        <v>164</v>
      </c>
      <c r="E703" s="334" t="s">
        <v>166</v>
      </c>
      <c r="F703" s="412" t="s">
        <v>168</v>
      </c>
      <c r="G703" s="334"/>
      <c r="H703" s="334" t="s">
        <v>170</v>
      </c>
      <c r="I703" s="387"/>
      <c r="J703" s="334" t="s">
        <v>164</v>
      </c>
      <c r="K703" s="334" t="s">
        <v>166</v>
      </c>
      <c r="L703" s="412" t="s">
        <v>168</v>
      </c>
      <c r="M703" s="334"/>
      <c r="N703" s="334" t="s">
        <v>170</v>
      </c>
      <c r="O703" s="380"/>
      <c r="P703" s="380"/>
      <c r="Q703" s="380"/>
    </row>
    <row r="704" spans="1:17" x14ac:dyDescent="0.2">
      <c r="A704" s="334" t="s">
        <v>342</v>
      </c>
      <c r="B704" s="380"/>
      <c r="C704" s="334" t="s">
        <v>342</v>
      </c>
      <c r="D704" s="380"/>
      <c r="E704" s="380"/>
      <c r="F704" s="378"/>
      <c r="G704" s="380"/>
      <c r="H704" s="380"/>
      <c r="I704" s="387"/>
      <c r="J704" s="380"/>
      <c r="K704" s="380"/>
      <c r="L704" s="378"/>
      <c r="M704" s="380"/>
      <c r="N704" s="380"/>
      <c r="O704" s="380"/>
      <c r="P704" s="380"/>
      <c r="Q704" s="380"/>
    </row>
    <row r="705" spans="1:17" x14ac:dyDescent="0.2">
      <c r="A705" s="334" t="s">
        <v>1723</v>
      </c>
      <c r="B705" s="380"/>
      <c r="C705" s="334" t="s">
        <v>1880</v>
      </c>
      <c r="D705" s="334" t="s">
        <v>181</v>
      </c>
      <c r="E705" s="334" t="s">
        <v>181</v>
      </c>
      <c r="F705" s="412" t="s">
        <v>181</v>
      </c>
      <c r="G705" s="334"/>
      <c r="H705" s="334" t="s">
        <v>181</v>
      </c>
      <c r="I705" s="387"/>
      <c r="J705" s="334" t="s">
        <v>181</v>
      </c>
      <c r="K705" s="334" t="s">
        <v>181</v>
      </c>
      <c r="L705" s="412" t="s">
        <v>181</v>
      </c>
      <c r="M705" s="334"/>
      <c r="N705" s="334" t="s">
        <v>181</v>
      </c>
      <c r="O705" s="380"/>
      <c r="P705" s="380"/>
      <c r="Q705" s="380"/>
    </row>
    <row r="706" spans="1:17" x14ac:dyDescent="0.2">
      <c r="A706" s="380"/>
      <c r="B706" s="380"/>
      <c r="C706" s="380"/>
      <c r="D706" s="380"/>
      <c r="E706" s="380"/>
      <c r="F706" s="378"/>
      <c r="G706" s="380"/>
      <c r="H706" s="380"/>
      <c r="I706" s="387"/>
      <c r="J706" s="380"/>
      <c r="K706" s="380"/>
      <c r="L706" s="378"/>
      <c r="M706" s="380"/>
      <c r="N706" s="380"/>
      <c r="O706" s="380"/>
      <c r="P706" s="380"/>
      <c r="Q706" s="380"/>
    </row>
    <row r="707" spans="1:17" x14ac:dyDescent="0.2">
      <c r="A707" s="334" t="s">
        <v>1733</v>
      </c>
      <c r="B707" s="380"/>
      <c r="C707" s="334" t="s">
        <v>27</v>
      </c>
      <c r="D707" s="380"/>
      <c r="E707" s="380"/>
      <c r="F707" s="378"/>
      <c r="G707" s="380"/>
      <c r="H707" s="380"/>
      <c r="I707" s="399"/>
      <c r="J707" s="380"/>
      <c r="K707" s="380"/>
      <c r="L707" s="378"/>
      <c r="M707" s="380"/>
      <c r="N707" s="380"/>
      <c r="O707" s="380"/>
      <c r="P707" s="380"/>
      <c r="Q707" s="380"/>
    </row>
    <row r="708" spans="1:17" x14ac:dyDescent="0.2">
      <c r="A708" s="334" t="s">
        <v>1743</v>
      </c>
      <c r="B708" s="380"/>
      <c r="C708" s="334" t="s">
        <v>1886</v>
      </c>
      <c r="D708" s="380"/>
      <c r="E708" s="380"/>
      <c r="F708" s="378"/>
      <c r="G708" s="380"/>
      <c r="H708" s="380"/>
      <c r="I708" s="399"/>
      <c r="J708" s="380"/>
      <c r="K708" s="380"/>
      <c r="L708" s="378"/>
      <c r="M708" s="380"/>
      <c r="N708" s="380"/>
      <c r="O708" s="380"/>
      <c r="P708" s="380"/>
      <c r="Q708" s="380"/>
    </row>
    <row r="709" spans="1:17" x14ac:dyDescent="0.2">
      <c r="A709" s="334" t="s">
        <v>1569</v>
      </c>
      <c r="B709" s="380"/>
      <c r="C709" s="334" t="s">
        <v>1888</v>
      </c>
      <c r="D709" s="380"/>
      <c r="E709" s="380"/>
      <c r="F709" s="378"/>
      <c r="G709" s="380"/>
      <c r="H709" s="380"/>
      <c r="I709" s="399"/>
      <c r="J709" s="380"/>
      <c r="K709" s="380"/>
      <c r="L709" s="378"/>
      <c r="M709" s="380"/>
      <c r="N709" s="380"/>
      <c r="O709" s="380"/>
      <c r="P709" s="380"/>
      <c r="Q709" s="380"/>
    </row>
    <row r="710" spans="1:17" x14ac:dyDescent="0.2">
      <c r="A710" s="334" t="s">
        <v>1724</v>
      </c>
      <c r="B710" s="380"/>
      <c r="C710" s="334" t="s">
        <v>1881</v>
      </c>
      <c r="D710" s="380"/>
      <c r="E710" s="380"/>
      <c r="F710" s="378"/>
      <c r="G710" s="380"/>
      <c r="H710" s="380"/>
      <c r="I710" s="399"/>
      <c r="J710" s="380"/>
      <c r="K710" s="380"/>
      <c r="L710" s="378">
        <v>0</v>
      </c>
      <c r="M710" s="380"/>
      <c r="N710" s="380"/>
      <c r="O710" s="380"/>
      <c r="P710" s="380"/>
      <c r="Q710" s="380"/>
    </row>
    <row r="711" spans="1:17" x14ac:dyDescent="0.2">
      <c r="A711" s="334" t="s">
        <v>1736</v>
      </c>
      <c r="B711" s="380"/>
      <c r="C711" s="334" t="s">
        <v>1747</v>
      </c>
      <c r="D711" s="380"/>
      <c r="E711" s="380"/>
      <c r="F711" s="378"/>
      <c r="G711" s="380"/>
      <c r="H711" s="380"/>
      <c r="I711" s="399"/>
      <c r="J711" s="380"/>
      <c r="K711" s="380"/>
      <c r="L711" s="378"/>
      <c r="M711" s="380"/>
      <c r="N711" s="380"/>
      <c r="O711" s="380"/>
      <c r="P711" s="380"/>
      <c r="Q711" s="380"/>
    </row>
    <row r="712" spans="1:17" x14ac:dyDescent="0.2">
      <c r="A712" s="334" t="s">
        <v>1744</v>
      </c>
      <c r="B712" s="380"/>
      <c r="C712" s="334" t="s">
        <v>1254</v>
      </c>
      <c r="D712" s="380"/>
      <c r="E712" s="380"/>
      <c r="F712" s="378"/>
      <c r="G712" s="380"/>
      <c r="H712" s="380"/>
      <c r="I712" s="399"/>
      <c r="J712" s="380"/>
      <c r="K712" s="380"/>
      <c r="L712" s="378"/>
      <c r="M712" s="380"/>
      <c r="N712" s="380"/>
      <c r="O712" s="380"/>
      <c r="P712" s="380"/>
      <c r="Q712" s="380"/>
    </row>
    <row r="713" spans="1:17" x14ac:dyDescent="0.2">
      <c r="A713" s="334" t="s">
        <v>1575</v>
      </c>
      <c r="B713" s="380"/>
      <c r="C713" s="334" t="s">
        <v>1889</v>
      </c>
      <c r="D713" s="380"/>
      <c r="E713" s="380"/>
      <c r="F713" s="378"/>
      <c r="G713" s="380"/>
      <c r="H713" s="380"/>
      <c r="I713" s="399"/>
      <c r="J713" s="380"/>
      <c r="K713" s="380"/>
      <c r="L713" s="378"/>
      <c r="M713" s="380"/>
      <c r="N713" s="380"/>
      <c r="O713" s="380"/>
      <c r="P713" s="380"/>
      <c r="Q713" s="380"/>
    </row>
    <row r="714" spans="1:17" x14ac:dyDescent="0.2">
      <c r="A714" s="334" t="s">
        <v>1725</v>
      </c>
      <c r="B714" s="380"/>
      <c r="C714" s="334" t="s">
        <v>1890</v>
      </c>
      <c r="D714" s="380"/>
      <c r="E714" s="380"/>
      <c r="F714" s="378"/>
      <c r="G714" s="380"/>
      <c r="H714" s="380"/>
      <c r="I714" s="399"/>
      <c r="J714" s="380"/>
      <c r="K714" s="380"/>
      <c r="L714" s="378"/>
      <c r="M714" s="380"/>
      <c r="N714" s="380"/>
      <c r="O714" s="380"/>
      <c r="P714" s="380"/>
      <c r="Q714" s="380"/>
    </row>
    <row r="715" spans="1:17" x14ac:dyDescent="0.2">
      <c r="A715" s="334" t="s">
        <v>1565</v>
      </c>
      <c r="B715" s="380"/>
      <c r="C715" s="334" t="s">
        <v>1927</v>
      </c>
      <c r="D715" s="380"/>
      <c r="E715" s="380"/>
      <c r="F715" s="378"/>
      <c r="G715" s="380"/>
      <c r="H715" s="380"/>
      <c r="I715" s="399"/>
      <c r="J715" s="380"/>
      <c r="K715" s="380"/>
      <c r="L715" s="378"/>
      <c r="M715" s="380"/>
      <c r="N715" s="380"/>
      <c r="O715" s="380"/>
      <c r="P715" s="380"/>
      <c r="Q715" s="380"/>
    </row>
    <row r="716" spans="1:17" x14ac:dyDescent="0.2">
      <c r="A716" s="334" t="s">
        <v>1737</v>
      </c>
      <c r="B716" s="380"/>
      <c r="C716" s="334" t="s">
        <v>1928</v>
      </c>
      <c r="D716" s="380"/>
      <c r="E716" s="380"/>
      <c r="F716" s="378"/>
      <c r="G716" s="380"/>
      <c r="H716" s="380"/>
      <c r="I716" s="399"/>
      <c r="J716" s="380"/>
      <c r="K716" s="380"/>
      <c r="L716" s="378"/>
      <c r="M716" s="380"/>
      <c r="N716" s="380"/>
      <c r="O716" s="380"/>
      <c r="P716" s="380"/>
      <c r="Q716" s="380"/>
    </row>
    <row r="717" spans="1:17" x14ac:dyDescent="0.2">
      <c r="A717" s="334" t="s">
        <v>1726</v>
      </c>
      <c r="B717" s="380"/>
      <c r="C717" s="334" t="s">
        <v>1117</v>
      </c>
      <c r="D717" s="380">
        <v>200</v>
      </c>
      <c r="E717" s="380"/>
      <c r="F717" s="378"/>
      <c r="G717" s="380"/>
      <c r="H717" s="380"/>
      <c r="I717" s="399"/>
      <c r="J717" s="380">
        <v>200</v>
      </c>
      <c r="K717" s="380"/>
      <c r="L717" s="378"/>
      <c r="M717" s="380"/>
      <c r="N717" s="380"/>
      <c r="O717" s="380"/>
      <c r="P717" s="380"/>
      <c r="Q717" s="380"/>
    </row>
    <row r="718" spans="1:17" x14ac:dyDescent="0.2">
      <c r="A718" s="334" t="s">
        <v>1756</v>
      </c>
      <c r="B718" s="380"/>
      <c r="C718" s="334" t="s">
        <v>3137</v>
      </c>
      <c r="D718" s="380"/>
      <c r="E718" s="380"/>
      <c r="F718" s="378"/>
      <c r="G718" s="380"/>
      <c r="H718" s="380"/>
      <c r="I718" s="399"/>
      <c r="J718" s="380"/>
      <c r="K718" s="380"/>
      <c r="L718" s="378"/>
      <c r="M718" s="380"/>
      <c r="N718" s="380"/>
      <c r="O718" s="380"/>
      <c r="P718" s="380"/>
      <c r="Q718" s="380"/>
    </row>
    <row r="719" spans="1:17" x14ac:dyDescent="0.2">
      <c r="A719" s="334" t="s">
        <v>1751</v>
      </c>
      <c r="B719" s="380"/>
      <c r="C719" s="334" t="s">
        <v>3138</v>
      </c>
      <c r="D719" s="380"/>
      <c r="E719" s="380"/>
      <c r="F719" s="378"/>
      <c r="G719" s="380"/>
      <c r="H719" s="380"/>
      <c r="I719" s="399"/>
      <c r="J719" s="380"/>
      <c r="K719" s="380"/>
      <c r="L719" s="378"/>
      <c r="M719" s="380"/>
      <c r="N719" s="380"/>
      <c r="O719" s="380"/>
      <c r="P719" s="380"/>
      <c r="Q719" s="380"/>
    </row>
    <row r="720" spans="1:17" x14ac:dyDescent="0.2">
      <c r="A720" s="334" t="s">
        <v>1752</v>
      </c>
      <c r="B720" s="380"/>
      <c r="C720" s="334" t="s">
        <v>367</v>
      </c>
      <c r="D720" s="380"/>
      <c r="E720" s="380"/>
      <c r="F720" s="378"/>
      <c r="G720" s="380"/>
      <c r="H720" s="380"/>
      <c r="I720" s="399"/>
      <c r="J720" s="380"/>
      <c r="K720" s="380"/>
      <c r="L720" s="378"/>
      <c r="M720" s="380"/>
      <c r="N720" s="380"/>
      <c r="O720" s="380"/>
      <c r="P720" s="380"/>
      <c r="Q720" s="380"/>
    </row>
    <row r="721" spans="1:17" x14ac:dyDescent="0.2">
      <c r="A721" s="334" t="s">
        <v>1577</v>
      </c>
      <c r="B721" s="380"/>
      <c r="C721" s="334" t="s">
        <v>1815</v>
      </c>
      <c r="D721" s="380"/>
      <c r="E721" s="380"/>
      <c r="F721" s="378"/>
      <c r="G721" s="380"/>
      <c r="H721" s="380"/>
      <c r="I721" s="399"/>
      <c r="J721" s="380"/>
      <c r="K721" s="380"/>
      <c r="L721" s="378"/>
      <c r="M721" s="380"/>
      <c r="N721" s="380"/>
      <c r="O721" s="380"/>
      <c r="P721" s="380"/>
      <c r="Q721" s="380"/>
    </row>
    <row r="722" spans="1:17" x14ac:dyDescent="0.2">
      <c r="A722" s="334" t="s">
        <v>1753</v>
      </c>
      <c r="B722" s="380"/>
      <c r="C722" s="334" t="s">
        <v>1816</v>
      </c>
      <c r="D722" s="380"/>
      <c r="E722" s="380"/>
      <c r="F722" s="378"/>
      <c r="G722" s="380"/>
      <c r="H722" s="380"/>
      <c r="I722" s="399"/>
      <c r="J722" s="380"/>
      <c r="K722" s="380"/>
      <c r="L722" s="378"/>
      <c r="M722" s="380"/>
      <c r="N722" s="380"/>
      <c r="O722" s="380"/>
      <c r="P722" s="380"/>
      <c r="Q722" s="380"/>
    </row>
    <row r="723" spans="1:17" x14ac:dyDescent="0.2">
      <c r="A723" s="334" t="s">
        <v>1734</v>
      </c>
      <c r="B723" s="380"/>
      <c r="C723" s="334" t="s">
        <v>1746</v>
      </c>
      <c r="D723" s="380"/>
      <c r="E723" s="380"/>
      <c r="F723" s="378"/>
      <c r="G723" s="380"/>
      <c r="H723" s="380"/>
      <c r="I723" s="399"/>
      <c r="J723" s="380"/>
      <c r="K723" s="380"/>
      <c r="L723" s="378"/>
      <c r="M723" s="380"/>
      <c r="N723" s="380"/>
      <c r="O723" s="380"/>
      <c r="P723" s="380"/>
      <c r="Q723" s="380"/>
    </row>
    <row r="724" spans="1:17" x14ac:dyDescent="0.2">
      <c r="A724" s="334" t="s">
        <v>1571</v>
      </c>
      <c r="B724" s="380"/>
      <c r="C724" s="334" t="s">
        <v>3</v>
      </c>
      <c r="D724" s="380"/>
      <c r="E724" s="380"/>
      <c r="F724" s="378"/>
      <c r="G724" s="380"/>
      <c r="H724" s="380"/>
      <c r="I724" s="399"/>
      <c r="J724" s="380"/>
      <c r="K724" s="380"/>
      <c r="L724" s="378"/>
      <c r="M724" s="380"/>
      <c r="N724" s="380"/>
      <c r="O724" s="380"/>
      <c r="P724" s="380"/>
      <c r="Q724" s="380"/>
    </row>
    <row r="725" spans="1:17" x14ac:dyDescent="0.2">
      <c r="A725" s="334" t="s">
        <v>1738</v>
      </c>
      <c r="B725" s="380"/>
      <c r="C725" s="334" t="s">
        <v>1591</v>
      </c>
      <c r="D725" s="380"/>
      <c r="E725" s="380"/>
      <c r="F725" s="378"/>
      <c r="G725" s="380"/>
      <c r="H725" s="380"/>
      <c r="I725" s="399"/>
      <c r="J725" s="380"/>
      <c r="K725" s="380"/>
      <c r="L725" s="378"/>
      <c r="M725" s="380"/>
      <c r="N725" s="380"/>
      <c r="O725" s="380"/>
      <c r="P725" s="380"/>
      <c r="Q725" s="380"/>
    </row>
    <row r="726" spans="1:17" x14ac:dyDescent="0.2">
      <c r="A726" s="334" t="s">
        <v>1727</v>
      </c>
      <c r="B726" s="380"/>
      <c r="C726" s="334" t="s">
        <v>307</v>
      </c>
      <c r="D726" s="380"/>
      <c r="E726" s="380"/>
      <c r="F726" s="378"/>
      <c r="G726" s="380"/>
      <c r="H726" s="380"/>
      <c r="I726" s="399"/>
      <c r="J726" s="380"/>
      <c r="K726" s="380"/>
      <c r="L726" s="378"/>
      <c r="M726" s="380"/>
      <c r="N726" s="380"/>
      <c r="O726" s="380"/>
      <c r="P726" s="380"/>
      <c r="Q726" s="380"/>
    </row>
    <row r="727" spans="1:17" x14ac:dyDescent="0.2">
      <c r="A727" s="334" t="s">
        <v>1728</v>
      </c>
      <c r="B727" s="380"/>
      <c r="C727" s="334" t="s">
        <v>310</v>
      </c>
      <c r="D727" s="380"/>
      <c r="E727" s="380"/>
      <c r="F727" s="378"/>
      <c r="G727" s="380"/>
      <c r="H727" s="380"/>
      <c r="I727" s="399"/>
      <c r="J727" s="380"/>
      <c r="K727" s="380"/>
      <c r="L727" s="378"/>
      <c r="M727" s="380"/>
      <c r="N727" s="380"/>
      <c r="O727" s="380"/>
      <c r="P727" s="380"/>
      <c r="Q727" s="380"/>
    </row>
    <row r="728" spans="1:17" x14ac:dyDescent="0.2">
      <c r="A728" s="334" t="s">
        <v>1729</v>
      </c>
      <c r="B728" s="380"/>
      <c r="C728" s="380" t="s">
        <v>1551</v>
      </c>
      <c r="D728" s="380"/>
      <c r="E728" s="380"/>
      <c r="F728" s="378"/>
      <c r="G728" s="380"/>
      <c r="H728" s="380"/>
      <c r="I728" s="399"/>
      <c r="J728" s="380"/>
      <c r="K728" s="380"/>
      <c r="L728" s="378"/>
      <c r="M728" s="380"/>
      <c r="N728" s="380"/>
      <c r="O728" s="380"/>
      <c r="P728" s="380"/>
      <c r="Q728" s="380"/>
    </row>
    <row r="729" spans="1:17" x14ac:dyDescent="0.2">
      <c r="A729" s="334" t="s">
        <v>1735</v>
      </c>
      <c r="B729" s="380"/>
      <c r="C729" s="380" t="s">
        <v>194</v>
      </c>
      <c r="D729" s="380"/>
      <c r="E729" s="380"/>
      <c r="F729" s="378"/>
      <c r="G729" s="380"/>
      <c r="H729" s="380"/>
      <c r="I729" s="399"/>
      <c r="J729" s="380"/>
      <c r="K729" s="380"/>
      <c r="L729" s="378"/>
      <c r="M729" s="380"/>
      <c r="N729" s="380"/>
      <c r="O729" s="380"/>
      <c r="P729" s="380"/>
      <c r="Q729" s="380"/>
    </row>
    <row r="730" spans="1:17" x14ac:dyDescent="0.2">
      <c r="A730" s="334" t="s">
        <v>1741</v>
      </c>
      <c r="B730" s="380"/>
      <c r="C730" s="334" t="s">
        <v>1748</v>
      </c>
      <c r="D730" s="380"/>
      <c r="E730" s="380"/>
      <c r="F730" s="378"/>
      <c r="G730" s="380"/>
      <c r="H730" s="380"/>
      <c r="I730" s="399"/>
      <c r="J730" s="380"/>
      <c r="K730" s="380"/>
      <c r="L730" s="378"/>
      <c r="M730" s="380"/>
      <c r="N730" s="380"/>
      <c r="O730" s="380"/>
      <c r="P730" s="380"/>
      <c r="Q730" s="380"/>
    </row>
    <row r="731" spans="1:17" x14ac:dyDescent="0.2">
      <c r="A731" s="334" t="s">
        <v>1742</v>
      </c>
      <c r="B731" s="380"/>
      <c r="C731" s="334" t="s">
        <v>1553</v>
      </c>
      <c r="D731" s="380"/>
      <c r="E731" s="380"/>
      <c r="F731" s="378"/>
      <c r="G731" s="380"/>
      <c r="H731" s="380"/>
      <c r="I731" s="399"/>
      <c r="J731" s="380"/>
      <c r="K731" s="380"/>
      <c r="L731" s="378"/>
      <c r="M731" s="380"/>
      <c r="N731" s="380"/>
      <c r="O731" s="380"/>
      <c r="P731" s="380"/>
      <c r="Q731" s="380"/>
    </row>
    <row r="732" spans="1:17" x14ac:dyDescent="0.2">
      <c r="A732" s="334" t="s">
        <v>1754</v>
      </c>
      <c r="B732" s="380"/>
      <c r="C732" s="334" t="s">
        <v>1929</v>
      </c>
      <c r="D732" s="380"/>
      <c r="E732" s="380"/>
      <c r="F732" s="378"/>
      <c r="G732" s="380"/>
      <c r="H732" s="380"/>
      <c r="I732" s="399"/>
      <c r="J732" s="380"/>
      <c r="K732" s="380"/>
      <c r="L732" s="378"/>
      <c r="M732" s="380"/>
      <c r="N732" s="380"/>
      <c r="O732" s="380"/>
      <c r="P732" s="380"/>
      <c r="Q732" s="380"/>
    </row>
    <row r="733" spans="1:17" x14ac:dyDescent="0.2">
      <c r="A733" s="334" t="s">
        <v>1584</v>
      </c>
      <c r="B733" s="380"/>
      <c r="C733" s="334" t="s">
        <v>0</v>
      </c>
      <c r="D733" s="380"/>
      <c r="E733" s="380"/>
      <c r="F733" s="378"/>
      <c r="G733" s="380"/>
      <c r="H733" s="380"/>
      <c r="I733" s="399"/>
      <c r="J733" s="380"/>
      <c r="K733" s="380"/>
      <c r="L733" s="378"/>
      <c r="M733" s="380"/>
      <c r="N733" s="380"/>
      <c r="O733" s="380"/>
      <c r="P733" s="380"/>
      <c r="Q733" s="380"/>
    </row>
    <row r="734" spans="1:17" x14ac:dyDescent="0.2">
      <c r="A734" s="334" t="s">
        <v>1580</v>
      </c>
      <c r="B734" s="380"/>
      <c r="C734" s="334" t="s">
        <v>1936</v>
      </c>
      <c r="D734" s="380"/>
      <c r="E734" s="380"/>
      <c r="F734" s="378"/>
      <c r="G734" s="380"/>
      <c r="H734" s="380"/>
      <c r="I734" s="399"/>
      <c r="J734" s="380"/>
      <c r="K734" s="380"/>
      <c r="L734" s="378"/>
      <c r="M734" s="380"/>
      <c r="N734" s="380"/>
      <c r="O734" s="380"/>
      <c r="P734" s="380"/>
      <c r="Q734" s="380"/>
    </row>
    <row r="735" spans="1:17" x14ac:dyDescent="0.2">
      <c r="A735" s="334" t="s">
        <v>1572</v>
      </c>
      <c r="B735" s="380"/>
      <c r="C735" s="334" t="s">
        <v>3134</v>
      </c>
      <c r="D735" s="380"/>
      <c r="E735" s="380"/>
      <c r="F735" s="378"/>
      <c r="G735" s="380"/>
      <c r="H735" s="380"/>
      <c r="I735" s="399"/>
      <c r="J735" s="380"/>
      <c r="K735" s="380"/>
      <c r="L735" s="378"/>
      <c r="M735" s="380"/>
      <c r="N735" s="380"/>
      <c r="O735" s="380"/>
      <c r="P735" s="380"/>
      <c r="Q735" s="380"/>
    </row>
    <row r="736" spans="1:17" x14ac:dyDescent="0.2">
      <c r="A736" s="334" t="s">
        <v>1730</v>
      </c>
      <c r="B736" s="380"/>
      <c r="C736" s="334" t="s">
        <v>1985</v>
      </c>
      <c r="D736" s="380"/>
      <c r="E736" s="380"/>
      <c r="F736" s="378"/>
      <c r="G736" s="380"/>
      <c r="H736" s="380">
        <v>1000</v>
      </c>
      <c r="I736" s="399"/>
      <c r="J736" s="380"/>
      <c r="K736" s="380"/>
      <c r="L736" s="378"/>
      <c r="M736" s="380"/>
      <c r="N736" s="380">
        <v>500</v>
      </c>
      <c r="O736" s="380"/>
      <c r="P736" s="380"/>
      <c r="Q736" s="380"/>
    </row>
    <row r="737" spans="1:17" x14ac:dyDescent="0.2">
      <c r="A737" s="334" t="s">
        <v>1566</v>
      </c>
      <c r="B737" s="380"/>
      <c r="C737" s="334" t="s">
        <v>366</v>
      </c>
      <c r="D737" s="380"/>
      <c r="E737" s="380"/>
      <c r="F737" s="378"/>
      <c r="G737" s="380"/>
      <c r="H737" s="380"/>
      <c r="I737" s="399"/>
      <c r="J737" s="380"/>
      <c r="K737" s="380"/>
      <c r="L737" s="378"/>
      <c r="M737" s="380"/>
      <c r="N737" s="380"/>
      <c r="O737" s="380"/>
      <c r="P737" s="380"/>
      <c r="Q737" s="380"/>
    </row>
    <row r="738" spans="1:17" x14ac:dyDescent="0.2">
      <c r="A738" s="334" t="s">
        <v>1755</v>
      </c>
      <c r="B738" s="380"/>
      <c r="C738" s="380" t="s">
        <v>1986</v>
      </c>
      <c r="D738" s="380"/>
      <c r="E738" s="380">
        <v>200</v>
      </c>
      <c r="F738" s="378"/>
      <c r="G738" s="380"/>
      <c r="H738" s="380"/>
      <c r="I738" s="399"/>
      <c r="J738" s="380"/>
      <c r="K738" s="380">
        <v>200</v>
      </c>
      <c r="L738" s="378"/>
      <c r="M738" s="380"/>
      <c r="N738" s="380"/>
      <c r="O738" s="380"/>
      <c r="P738" s="380"/>
      <c r="Q738" s="380"/>
    </row>
    <row r="739" spans="1:17" x14ac:dyDescent="0.2">
      <c r="A739" s="334" t="s">
        <v>1567</v>
      </c>
      <c r="B739" s="380"/>
      <c r="C739" s="334" t="s">
        <v>3142</v>
      </c>
      <c r="D739" s="380"/>
      <c r="E739" s="380"/>
      <c r="F739" s="378"/>
      <c r="G739" s="380"/>
      <c r="H739" s="380"/>
      <c r="I739" s="399"/>
      <c r="J739" s="380"/>
      <c r="K739" s="380"/>
      <c r="L739" s="378"/>
      <c r="M739" s="380"/>
      <c r="N739" s="380"/>
      <c r="O739" s="380"/>
      <c r="P739" s="380"/>
      <c r="Q739" s="380"/>
    </row>
    <row r="740" spans="1:17" x14ac:dyDescent="0.2">
      <c r="A740" s="334"/>
      <c r="B740" s="334"/>
      <c r="C740" s="334"/>
      <c r="D740" s="394"/>
      <c r="E740" s="394"/>
      <c r="F740" s="413"/>
      <c r="G740" s="394"/>
      <c r="H740" s="394"/>
      <c r="I740" s="387"/>
      <c r="J740" s="394"/>
      <c r="K740" s="394"/>
      <c r="L740" s="413"/>
      <c r="M740" s="394"/>
      <c r="N740" s="394"/>
      <c r="O740" s="380"/>
      <c r="P740" s="380"/>
      <c r="Q740" s="380"/>
    </row>
    <row r="741" spans="1:17" ht="15.75" thickBot="1" x14ac:dyDescent="0.25">
      <c r="A741" s="334"/>
      <c r="B741" s="334"/>
      <c r="C741" s="334"/>
      <c r="D741" s="411">
        <f>SUM(D707:D739)</f>
        <v>200</v>
      </c>
      <c r="E741" s="411">
        <f t="shared" ref="E741:H741" si="15">SUM(E707:E739)</f>
        <v>200</v>
      </c>
      <c r="F741" s="414">
        <f t="shared" si="15"/>
        <v>0</v>
      </c>
      <c r="G741" s="411"/>
      <c r="H741" s="411">
        <f t="shared" si="15"/>
        <v>1000</v>
      </c>
      <c r="I741" s="387"/>
      <c r="J741" s="411">
        <f>SUM(J707:J739)</f>
        <v>200</v>
      </c>
      <c r="K741" s="411">
        <f t="shared" ref="K741:L741" si="16">SUM(K707:K739)</f>
        <v>200</v>
      </c>
      <c r="L741" s="414">
        <f t="shared" si="16"/>
        <v>0</v>
      </c>
      <c r="M741" s="411"/>
      <c r="N741" s="411">
        <f t="shared" ref="N741" si="17">SUM(N707:N739)</f>
        <v>500</v>
      </c>
      <c r="O741" s="380"/>
      <c r="P741" s="380"/>
      <c r="Q741" s="380"/>
    </row>
    <row r="742" spans="1:17" x14ac:dyDescent="0.2">
      <c r="A742" s="334"/>
      <c r="B742" s="334"/>
      <c r="C742" s="334"/>
      <c r="D742" s="385"/>
      <c r="E742" s="385"/>
      <c r="F742" s="415"/>
      <c r="G742" s="385"/>
      <c r="H742" s="385"/>
      <c r="I742" s="387"/>
      <c r="J742" s="385"/>
      <c r="K742" s="385"/>
      <c r="L742" s="415"/>
      <c r="M742" s="385"/>
      <c r="N742" s="385"/>
      <c r="O742" s="380"/>
      <c r="P742" s="380"/>
      <c r="Q742" s="380"/>
    </row>
    <row r="743" spans="1:17" ht="15.75" x14ac:dyDescent="0.25">
      <c r="A743" s="334"/>
      <c r="B743" s="334"/>
      <c r="C743" s="334"/>
      <c r="D743" s="334"/>
      <c r="E743" s="334"/>
      <c r="F743" s="412"/>
      <c r="G743" s="334"/>
      <c r="H743" s="334"/>
      <c r="I743" s="397"/>
      <c r="J743" s="334"/>
      <c r="K743" s="334"/>
      <c r="L743" s="412"/>
      <c r="M743" s="334"/>
      <c r="N743" s="334"/>
      <c r="O743" s="380"/>
      <c r="P743" s="380"/>
      <c r="Q743" s="380"/>
    </row>
    <row r="744" spans="1:17" x14ac:dyDescent="0.2">
      <c r="A744" s="334"/>
      <c r="B744" s="334"/>
      <c r="C744" s="334"/>
      <c r="D744" s="334"/>
      <c r="E744" s="334"/>
      <c r="F744" s="412"/>
      <c r="G744" s="334"/>
      <c r="H744" s="334"/>
      <c r="I744" s="387"/>
      <c r="J744" s="334"/>
      <c r="K744" s="334"/>
      <c r="L744" s="412"/>
      <c r="M744" s="334"/>
      <c r="N744" s="334"/>
      <c r="O744" s="380"/>
      <c r="P744" s="380"/>
      <c r="Q744" s="380"/>
    </row>
    <row r="745" spans="1:17" x14ac:dyDescent="0.2">
      <c r="A745" s="334"/>
      <c r="B745" s="334"/>
      <c r="C745" s="334"/>
      <c r="D745" s="334"/>
      <c r="E745" s="334"/>
      <c r="F745" s="412"/>
      <c r="G745" s="334"/>
      <c r="H745" s="334"/>
      <c r="I745" s="387"/>
      <c r="J745" s="334"/>
      <c r="K745" s="334"/>
      <c r="L745" s="412"/>
      <c r="M745" s="334"/>
      <c r="N745" s="334"/>
      <c r="O745" s="380"/>
      <c r="P745" s="380"/>
      <c r="Q745" s="380"/>
    </row>
    <row r="746" spans="1:17" x14ac:dyDescent="0.2">
      <c r="A746" s="334" t="s">
        <v>539</v>
      </c>
      <c r="B746" s="380"/>
      <c r="C746" s="380"/>
      <c r="D746" s="334" t="s">
        <v>1488</v>
      </c>
      <c r="E746" s="334" t="s">
        <v>1490</v>
      </c>
      <c r="F746" s="412" t="s">
        <v>1491</v>
      </c>
      <c r="G746" s="334"/>
      <c r="H746" s="334" t="s">
        <v>1493</v>
      </c>
      <c r="I746" s="387"/>
      <c r="J746" s="334" t="s">
        <v>1488</v>
      </c>
      <c r="K746" s="334" t="s">
        <v>1490</v>
      </c>
      <c r="L746" s="412" t="s">
        <v>1491</v>
      </c>
      <c r="M746" s="334"/>
      <c r="N746" s="334" t="s">
        <v>1493</v>
      </c>
      <c r="O746" s="380"/>
      <c r="P746" s="380"/>
      <c r="Q746" s="380"/>
    </row>
    <row r="747" spans="1:17" x14ac:dyDescent="0.2">
      <c r="A747" s="380"/>
      <c r="B747" s="380"/>
      <c r="C747" s="384" t="s">
        <v>436</v>
      </c>
      <c r="D747" s="334" t="s">
        <v>317</v>
      </c>
      <c r="E747" s="334" t="s">
        <v>319</v>
      </c>
      <c r="F747" s="412" t="s">
        <v>2917</v>
      </c>
      <c r="G747" s="334"/>
      <c r="H747" s="334" t="s">
        <v>1905</v>
      </c>
      <c r="I747" s="387"/>
      <c r="J747" s="334" t="s">
        <v>317</v>
      </c>
      <c r="K747" s="334" t="s">
        <v>319</v>
      </c>
      <c r="L747" s="412" t="s">
        <v>321</v>
      </c>
      <c r="M747" s="334"/>
      <c r="N747" s="334" t="s">
        <v>1905</v>
      </c>
      <c r="O747" s="380"/>
      <c r="P747" s="380"/>
      <c r="Q747" s="380"/>
    </row>
    <row r="748" spans="1:17" x14ac:dyDescent="0.2">
      <c r="A748" s="380"/>
      <c r="B748" s="380"/>
      <c r="C748" s="380"/>
      <c r="D748" s="334" t="s">
        <v>318</v>
      </c>
      <c r="E748" s="334" t="s">
        <v>320</v>
      </c>
      <c r="F748" s="412" t="s">
        <v>322</v>
      </c>
      <c r="G748" s="334"/>
      <c r="H748" s="334" t="s">
        <v>323</v>
      </c>
      <c r="I748" s="387"/>
      <c r="J748" s="334" t="s">
        <v>318</v>
      </c>
      <c r="K748" s="334" t="s">
        <v>320</v>
      </c>
      <c r="L748" s="412" t="s">
        <v>322</v>
      </c>
      <c r="M748" s="334"/>
      <c r="N748" s="334" t="s">
        <v>323</v>
      </c>
      <c r="O748" s="380"/>
      <c r="P748" s="380"/>
      <c r="Q748" s="380"/>
    </row>
    <row r="749" spans="1:17" x14ac:dyDescent="0.2">
      <c r="A749" s="334" t="s">
        <v>342</v>
      </c>
      <c r="B749" s="380"/>
      <c r="C749" s="334" t="s">
        <v>342</v>
      </c>
      <c r="D749" s="380"/>
      <c r="E749" s="380"/>
      <c r="F749" s="378"/>
      <c r="G749" s="380"/>
      <c r="H749" s="380"/>
      <c r="I749" s="387"/>
      <c r="J749" s="380"/>
      <c r="K749" s="380"/>
      <c r="L749" s="378"/>
      <c r="M749" s="380"/>
      <c r="N749" s="380"/>
      <c r="O749" s="380"/>
      <c r="P749" s="380"/>
      <c r="Q749" s="380"/>
    </row>
    <row r="750" spans="1:17" x14ac:dyDescent="0.2">
      <c r="A750" s="334" t="s">
        <v>1723</v>
      </c>
      <c r="B750" s="380"/>
      <c r="C750" s="334" t="s">
        <v>1880</v>
      </c>
      <c r="D750" s="334" t="s">
        <v>181</v>
      </c>
      <c r="E750" s="334" t="s">
        <v>181</v>
      </c>
      <c r="F750" s="412" t="s">
        <v>181</v>
      </c>
      <c r="G750" s="334"/>
      <c r="H750" s="334" t="s">
        <v>181</v>
      </c>
      <c r="I750" s="387"/>
      <c r="J750" s="334" t="s">
        <v>181</v>
      </c>
      <c r="K750" s="334" t="s">
        <v>181</v>
      </c>
      <c r="L750" s="412" t="s">
        <v>181</v>
      </c>
      <c r="M750" s="334"/>
      <c r="N750" s="334" t="s">
        <v>181</v>
      </c>
      <c r="O750" s="380"/>
      <c r="P750" s="380"/>
      <c r="Q750" s="380"/>
    </row>
    <row r="751" spans="1:17" x14ac:dyDescent="0.2">
      <c r="A751" s="380"/>
      <c r="B751" s="380"/>
      <c r="C751" s="380"/>
      <c r="D751" s="380"/>
      <c r="E751" s="380"/>
      <c r="F751" s="378"/>
      <c r="G751" s="380"/>
      <c r="H751" s="380"/>
      <c r="I751" s="387"/>
      <c r="J751" s="380"/>
      <c r="K751" s="380"/>
      <c r="L751" s="378"/>
      <c r="M751" s="380"/>
      <c r="N751" s="380"/>
      <c r="O751" s="380"/>
      <c r="P751" s="380"/>
      <c r="Q751" s="380"/>
    </row>
    <row r="752" spans="1:17" x14ac:dyDescent="0.2">
      <c r="A752" s="334" t="s">
        <v>1733</v>
      </c>
      <c r="B752" s="380"/>
      <c r="C752" s="334" t="s">
        <v>27</v>
      </c>
      <c r="D752" s="377"/>
      <c r="E752" s="377"/>
      <c r="F752" s="378"/>
      <c r="G752" s="377"/>
      <c r="H752" s="377"/>
      <c r="I752" s="399"/>
      <c r="J752" s="377"/>
      <c r="K752" s="377"/>
      <c r="L752" s="378"/>
      <c r="M752" s="377"/>
      <c r="N752" s="377"/>
      <c r="O752" s="380"/>
      <c r="P752" s="380"/>
      <c r="Q752" s="380"/>
    </row>
    <row r="753" spans="1:17" x14ac:dyDescent="0.2">
      <c r="A753" s="334" t="s">
        <v>1743</v>
      </c>
      <c r="B753" s="380"/>
      <c r="C753" s="334" t="s">
        <v>1886</v>
      </c>
      <c r="D753" s="377"/>
      <c r="E753" s="377"/>
      <c r="F753" s="378"/>
      <c r="G753" s="377"/>
      <c r="H753" s="377"/>
      <c r="I753" s="399"/>
      <c r="J753" s="377"/>
      <c r="K753" s="377"/>
      <c r="L753" s="378"/>
      <c r="M753" s="377"/>
      <c r="N753" s="377"/>
      <c r="O753" s="380"/>
      <c r="P753" s="380"/>
      <c r="Q753" s="380"/>
    </row>
    <row r="754" spans="1:17" x14ac:dyDescent="0.2">
      <c r="A754" s="334" t="s">
        <v>1569</v>
      </c>
      <c r="B754" s="380"/>
      <c r="C754" s="334" t="s">
        <v>1888</v>
      </c>
      <c r="D754" s="377"/>
      <c r="E754" s="377"/>
      <c r="F754" s="378"/>
      <c r="G754" s="377"/>
      <c r="H754" s="377"/>
      <c r="I754" s="399"/>
      <c r="J754" s="377"/>
      <c r="K754" s="377"/>
      <c r="L754" s="378"/>
      <c r="M754" s="377"/>
      <c r="N754" s="377"/>
      <c r="O754" s="380"/>
      <c r="P754" s="380"/>
      <c r="Q754" s="380"/>
    </row>
    <row r="755" spans="1:17" x14ac:dyDescent="0.2">
      <c r="A755" s="334" t="s">
        <v>1724</v>
      </c>
      <c r="B755" s="380"/>
      <c r="C755" s="334" t="s">
        <v>1881</v>
      </c>
      <c r="D755" s="377">
        <v>400</v>
      </c>
      <c r="E755" s="377"/>
      <c r="F755" s="378"/>
      <c r="G755" s="377"/>
      <c r="H755" s="377">
        <v>700</v>
      </c>
      <c r="I755" s="399"/>
      <c r="J755" s="377">
        <v>200</v>
      </c>
      <c r="K755" s="377"/>
      <c r="L755" s="378">
        <v>0</v>
      </c>
      <c r="M755" s="377"/>
      <c r="N755" s="377">
        <v>300</v>
      </c>
      <c r="O755" s="380"/>
      <c r="P755" s="380"/>
      <c r="Q755" s="380"/>
    </row>
    <row r="756" spans="1:17" x14ac:dyDescent="0.2">
      <c r="A756" s="334" t="s">
        <v>1736</v>
      </c>
      <c r="B756" s="380"/>
      <c r="C756" s="334" t="s">
        <v>1747</v>
      </c>
      <c r="D756" s="377"/>
      <c r="E756" s="377"/>
      <c r="F756" s="378"/>
      <c r="G756" s="377"/>
      <c r="H756" s="377"/>
      <c r="I756" s="399"/>
      <c r="J756" s="377"/>
      <c r="K756" s="377"/>
      <c r="L756" s="378"/>
      <c r="M756" s="377"/>
      <c r="N756" s="377"/>
      <c r="O756" s="380"/>
      <c r="P756" s="380"/>
      <c r="Q756" s="380"/>
    </row>
    <row r="757" spans="1:17" x14ac:dyDescent="0.2">
      <c r="A757" s="334" t="s">
        <v>1744</v>
      </c>
      <c r="B757" s="380"/>
      <c r="C757" s="334" t="s">
        <v>1254</v>
      </c>
      <c r="D757" s="377"/>
      <c r="E757" s="377"/>
      <c r="F757" s="378"/>
      <c r="G757" s="377"/>
      <c r="H757" s="377"/>
      <c r="I757" s="399"/>
      <c r="J757" s="377"/>
      <c r="K757" s="377"/>
      <c r="L757" s="378"/>
      <c r="M757" s="377"/>
      <c r="N757" s="377"/>
      <c r="O757" s="380"/>
      <c r="P757" s="380"/>
      <c r="Q757" s="380"/>
    </row>
    <row r="758" spans="1:17" x14ac:dyDescent="0.2">
      <c r="A758" s="334" t="s">
        <v>1575</v>
      </c>
      <c r="B758" s="380"/>
      <c r="C758" s="334" t="s">
        <v>1889</v>
      </c>
      <c r="D758" s="377"/>
      <c r="E758" s="377"/>
      <c r="F758" s="378"/>
      <c r="G758" s="377"/>
      <c r="H758" s="377"/>
      <c r="I758" s="399"/>
      <c r="J758" s="377"/>
      <c r="K758" s="377"/>
      <c r="L758" s="378"/>
      <c r="M758" s="377"/>
      <c r="N758" s="377"/>
      <c r="O758" s="380"/>
      <c r="P758" s="380"/>
      <c r="Q758" s="380"/>
    </row>
    <row r="759" spans="1:17" x14ac:dyDescent="0.2">
      <c r="A759" s="334" t="s">
        <v>1725</v>
      </c>
      <c r="B759" s="380"/>
      <c r="C759" s="334" t="s">
        <v>1890</v>
      </c>
      <c r="D759" s="377"/>
      <c r="E759" s="377"/>
      <c r="F759" s="378"/>
      <c r="G759" s="377"/>
      <c r="H759" s="377"/>
      <c r="I759" s="399"/>
      <c r="J759" s="377"/>
      <c r="K759" s="377"/>
      <c r="L759" s="378"/>
      <c r="M759" s="377"/>
      <c r="N759" s="377">
        <v>525</v>
      </c>
      <c r="O759" s="380"/>
      <c r="P759" s="380"/>
      <c r="Q759" s="380"/>
    </row>
    <row r="760" spans="1:17" x14ac:dyDescent="0.2">
      <c r="A760" s="334" t="s">
        <v>1565</v>
      </c>
      <c r="B760" s="380"/>
      <c r="C760" s="334" t="s">
        <v>1927</v>
      </c>
      <c r="D760" s="377"/>
      <c r="E760" s="377"/>
      <c r="F760" s="378"/>
      <c r="G760" s="377"/>
      <c r="H760" s="377">
        <v>725</v>
      </c>
      <c r="I760" s="399"/>
      <c r="J760" s="377"/>
      <c r="K760" s="377"/>
      <c r="L760" s="378"/>
      <c r="M760" s="377"/>
      <c r="N760" s="377"/>
      <c r="O760" s="380"/>
      <c r="P760" s="380"/>
      <c r="Q760" s="380"/>
    </row>
    <row r="761" spans="1:17" x14ac:dyDescent="0.2">
      <c r="A761" s="334" t="s">
        <v>1737</v>
      </c>
      <c r="B761" s="380"/>
      <c r="C761" s="334" t="s">
        <v>1928</v>
      </c>
      <c r="D761" s="377"/>
      <c r="E761" s="377"/>
      <c r="F761" s="378"/>
      <c r="G761" s="377"/>
      <c r="H761" s="377"/>
      <c r="I761" s="399"/>
      <c r="J761" s="377"/>
      <c r="K761" s="377"/>
      <c r="L761" s="378"/>
      <c r="M761" s="377"/>
      <c r="N761" s="377"/>
      <c r="O761" s="380"/>
      <c r="P761" s="380"/>
      <c r="Q761" s="380"/>
    </row>
    <row r="762" spans="1:17" x14ac:dyDescent="0.2">
      <c r="A762" s="334" t="s">
        <v>1726</v>
      </c>
      <c r="B762" s="380"/>
      <c r="C762" s="334" t="s">
        <v>1117</v>
      </c>
      <c r="D762" s="377"/>
      <c r="E762" s="377">
        <v>500</v>
      </c>
      <c r="F762" s="378"/>
      <c r="G762" s="377"/>
      <c r="H762" s="377"/>
      <c r="I762" s="399"/>
      <c r="J762" s="377"/>
      <c r="K762" s="377">
        <v>200</v>
      </c>
      <c r="L762" s="378"/>
      <c r="M762" s="377"/>
      <c r="N762" s="377"/>
      <c r="O762" s="380"/>
      <c r="P762" s="380"/>
      <c r="Q762" s="380"/>
    </row>
    <row r="763" spans="1:17" x14ac:dyDescent="0.2">
      <c r="A763" s="334" t="s">
        <v>1756</v>
      </c>
      <c r="B763" s="380"/>
      <c r="C763" s="334" t="s">
        <v>3137</v>
      </c>
      <c r="D763" s="377"/>
      <c r="E763" s="377"/>
      <c r="F763" s="378"/>
      <c r="G763" s="377"/>
      <c r="H763" s="377"/>
      <c r="I763" s="399"/>
      <c r="J763" s="377"/>
      <c r="K763" s="377"/>
      <c r="L763" s="378"/>
      <c r="M763" s="377"/>
      <c r="N763" s="377"/>
      <c r="O763" s="380"/>
      <c r="P763" s="380"/>
      <c r="Q763" s="380"/>
    </row>
    <row r="764" spans="1:17" x14ac:dyDescent="0.2">
      <c r="A764" s="334" t="s">
        <v>1751</v>
      </c>
      <c r="B764" s="380"/>
      <c r="C764" s="334" t="s">
        <v>3138</v>
      </c>
      <c r="D764" s="377"/>
      <c r="E764" s="377"/>
      <c r="F764" s="378"/>
      <c r="G764" s="377"/>
      <c r="H764" s="377"/>
      <c r="I764" s="399"/>
      <c r="J764" s="377"/>
      <c r="K764" s="377"/>
      <c r="L764" s="378"/>
      <c r="M764" s="377"/>
      <c r="N764" s="377"/>
      <c r="O764" s="380"/>
      <c r="P764" s="380"/>
      <c r="Q764" s="380"/>
    </row>
    <row r="765" spans="1:17" x14ac:dyDescent="0.2">
      <c r="A765" s="334" t="s">
        <v>1752</v>
      </c>
      <c r="B765" s="380"/>
      <c r="C765" s="334" t="s">
        <v>367</v>
      </c>
      <c r="D765" s="377"/>
      <c r="E765" s="377"/>
      <c r="F765" s="378"/>
      <c r="G765" s="377"/>
      <c r="H765" s="377"/>
      <c r="I765" s="399"/>
      <c r="J765" s="377"/>
      <c r="K765" s="377"/>
      <c r="L765" s="378"/>
      <c r="M765" s="377"/>
      <c r="N765" s="377"/>
      <c r="O765" s="380"/>
      <c r="P765" s="380"/>
      <c r="Q765" s="380"/>
    </row>
    <row r="766" spans="1:17" x14ac:dyDescent="0.2">
      <c r="A766" s="334" t="s">
        <v>1577</v>
      </c>
      <c r="B766" s="380"/>
      <c r="C766" s="334" t="s">
        <v>1815</v>
      </c>
      <c r="D766" s="377"/>
      <c r="E766" s="377"/>
      <c r="F766" s="378"/>
      <c r="G766" s="377"/>
      <c r="H766" s="377"/>
      <c r="I766" s="399"/>
      <c r="J766" s="377"/>
      <c r="K766" s="377"/>
      <c r="L766" s="378"/>
      <c r="M766" s="377"/>
      <c r="N766" s="377"/>
      <c r="O766" s="380"/>
      <c r="P766" s="380"/>
      <c r="Q766" s="380"/>
    </row>
    <row r="767" spans="1:17" x14ac:dyDescent="0.2">
      <c r="A767" s="334" t="s">
        <v>1753</v>
      </c>
      <c r="B767" s="380"/>
      <c r="C767" s="334" t="s">
        <v>1816</v>
      </c>
      <c r="D767" s="377"/>
      <c r="E767" s="377"/>
      <c r="F767" s="378"/>
      <c r="G767" s="377"/>
      <c r="H767" s="377"/>
      <c r="I767" s="399"/>
      <c r="J767" s="377"/>
      <c r="K767" s="377"/>
      <c r="L767" s="378"/>
      <c r="M767" s="377"/>
      <c r="N767" s="377"/>
      <c r="O767" s="380"/>
      <c r="P767" s="380"/>
      <c r="Q767" s="380"/>
    </row>
    <row r="768" spans="1:17" x14ac:dyDescent="0.2">
      <c r="A768" s="334" t="s">
        <v>1734</v>
      </c>
      <c r="B768" s="380"/>
      <c r="C768" s="334" t="s">
        <v>1746</v>
      </c>
      <c r="D768" s="377"/>
      <c r="E768" s="377"/>
      <c r="F768" s="378"/>
      <c r="G768" s="377"/>
      <c r="H768" s="377"/>
      <c r="I768" s="399"/>
      <c r="J768" s="377"/>
      <c r="K768" s="377"/>
      <c r="L768" s="378"/>
      <c r="M768" s="377"/>
      <c r="N768" s="377"/>
      <c r="O768" s="380"/>
      <c r="P768" s="380"/>
      <c r="Q768" s="380"/>
    </row>
    <row r="769" spans="1:17" x14ac:dyDescent="0.2">
      <c r="A769" s="334" t="s">
        <v>1571</v>
      </c>
      <c r="B769" s="380"/>
      <c r="C769" s="334" t="s">
        <v>3</v>
      </c>
      <c r="D769" s="377"/>
      <c r="E769" s="377"/>
      <c r="F769" s="378"/>
      <c r="G769" s="377"/>
      <c r="H769" s="377"/>
      <c r="I769" s="399"/>
      <c r="J769" s="377"/>
      <c r="K769" s="377"/>
      <c r="L769" s="378"/>
      <c r="M769" s="377"/>
      <c r="N769" s="377"/>
      <c r="O769" s="380"/>
      <c r="P769" s="380"/>
      <c r="Q769" s="380"/>
    </row>
    <row r="770" spans="1:17" x14ac:dyDescent="0.2">
      <c r="A770" s="334" t="s">
        <v>1738</v>
      </c>
      <c r="B770" s="380"/>
      <c r="C770" s="334" t="s">
        <v>1591</v>
      </c>
      <c r="D770" s="377">
        <v>125</v>
      </c>
      <c r="E770" s="377"/>
      <c r="F770" s="378"/>
      <c r="G770" s="377"/>
      <c r="H770" s="377">
        <v>325</v>
      </c>
      <c r="I770" s="399"/>
      <c r="J770" s="377"/>
      <c r="K770" s="377"/>
      <c r="L770" s="378"/>
      <c r="M770" s="377"/>
      <c r="N770" s="377">
        <v>225</v>
      </c>
      <c r="O770" s="380"/>
      <c r="P770" s="380"/>
      <c r="Q770" s="380"/>
    </row>
    <row r="771" spans="1:17" x14ac:dyDescent="0.2">
      <c r="A771" s="334" t="s">
        <v>1727</v>
      </c>
      <c r="B771" s="380"/>
      <c r="C771" s="334" t="s">
        <v>307</v>
      </c>
      <c r="D771" s="377">
        <v>125</v>
      </c>
      <c r="E771" s="377"/>
      <c r="F771" s="378"/>
      <c r="G771" s="377"/>
      <c r="H771" s="377">
        <v>125</v>
      </c>
      <c r="I771" s="399"/>
      <c r="J771" s="377"/>
      <c r="K771" s="377"/>
      <c r="L771" s="378"/>
      <c r="M771" s="377"/>
      <c r="N771" s="377">
        <v>125</v>
      </c>
      <c r="O771" s="380"/>
      <c r="P771" s="380"/>
      <c r="Q771" s="380"/>
    </row>
    <row r="772" spans="1:17" x14ac:dyDescent="0.2">
      <c r="A772" s="334" t="s">
        <v>1728</v>
      </c>
      <c r="B772" s="380"/>
      <c r="C772" s="334" t="s">
        <v>310</v>
      </c>
      <c r="D772" s="377">
        <v>50</v>
      </c>
      <c r="E772" s="377"/>
      <c r="F772" s="378"/>
      <c r="G772" s="377"/>
      <c r="H772" s="377">
        <v>50</v>
      </c>
      <c r="I772" s="399"/>
      <c r="J772" s="377"/>
      <c r="K772" s="377"/>
      <c r="L772" s="378"/>
      <c r="M772" s="377"/>
      <c r="N772" s="377">
        <v>50</v>
      </c>
      <c r="O772" s="380"/>
      <c r="P772" s="380"/>
      <c r="Q772" s="380"/>
    </row>
    <row r="773" spans="1:17" x14ac:dyDescent="0.2">
      <c r="A773" s="334" t="s">
        <v>1729</v>
      </c>
      <c r="B773" s="380"/>
      <c r="C773" s="380" t="s">
        <v>1551</v>
      </c>
      <c r="D773" s="377"/>
      <c r="E773" s="377"/>
      <c r="F773" s="378"/>
      <c r="G773" s="377"/>
      <c r="H773" s="377"/>
      <c r="I773" s="399"/>
      <c r="J773" s="377"/>
      <c r="K773" s="377"/>
      <c r="L773" s="378"/>
      <c r="M773" s="377"/>
      <c r="N773" s="377">
        <v>75</v>
      </c>
      <c r="O773" s="380"/>
      <c r="P773" s="380"/>
      <c r="Q773" s="380"/>
    </row>
    <row r="774" spans="1:17" x14ac:dyDescent="0.2">
      <c r="A774" s="334" t="s">
        <v>1735</v>
      </c>
      <c r="B774" s="380"/>
      <c r="C774" s="380" t="s">
        <v>194</v>
      </c>
      <c r="D774" s="377"/>
      <c r="E774" s="377"/>
      <c r="F774" s="378"/>
      <c r="G774" s="377"/>
      <c r="H774" s="377"/>
      <c r="I774" s="399"/>
      <c r="J774" s="377">
        <v>40</v>
      </c>
      <c r="K774" s="377"/>
      <c r="L774" s="378"/>
      <c r="M774" s="377"/>
      <c r="N774" s="377">
        <v>25</v>
      </c>
      <c r="O774" s="380"/>
      <c r="P774" s="380"/>
      <c r="Q774" s="380"/>
    </row>
    <row r="775" spans="1:17" x14ac:dyDescent="0.2">
      <c r="A775" s="334" t="s">
        <v>1741</v>
      </c>
      <c r="B775" s="380"/>
      <c r="C775" s="334" t="s">
        <v>1748</v>
      </c>
      <c r="D775" s="377"/>
      <c r="E775" s="377"/>
      <c r="F775" s="378"/>
      <c r="G775" s="377"/>
      <c r="H775" s="377"/>
      <c r="I775" s="399"/>
      <c r="J775" s="377"/>
      <c r="K775" s="377"/>
      <c r="L775" s="378"/>
      <c r="M775" s="377"/>
      <c r="N775" s="377"/>
      <c r="O775" s="380"/>
      <c r="P775" s="380"/>
      <c r="Q775" s="380"/>
    </row>
    <row r="776" spans="1:17" x14ac:dyDescent="0.2">
      <c r="A776" s="334" t="s">
        <v>1742</v>
      </c>
      <c r="B776" s="380"/>
      <c r="C776" s="334" t="s">
        <v>1553</v>
      </c>
      <c r="D776" s="377"/>
      <c r="E776" s="377"/>
      <c r="F776" s="378"/>
      <c r="G776" s="377"/>
      <c r="H776" s="377"/>
      <c r="I776" s="399"/>
      <c r="J776" s="377"/>
      <c r="K776" s="377"/>
      <c r="L776" s="378"/>
      <c r="M776" s="377"/>
      <c r="N776" s="377"/>
      <c r="O776" s="380"/>
      <c r="P776" s="380"/>
      <c r="Q776" s="380"/>
    </row>
    <row r="777" spans="1:17" x14ac:dyDescent="0.2">
      <c r="A777" s="334" t="s">
        <v>1754</v>
      </c>
      <c r="B777" s="380"/>
      <c r="C777" s="334" t="s">
        <v>1929</v>
      </c>
      <c r="D777" s="377"/>
      <c r="E777" s="377"/>
      <c r="F777" s="378"/>
      <c r="G777" s="377"/>
      <c r="H777" s="377"/>
      <c r="I777" s="399"/>
      <c r="J777" s="377"/>
      <c r="K777" s="377"/>
      <c r="L777" s="378"/>
      <c r="M777" s="377"/>
      <c r="N777" s="377"/>
      <c r="O777" s="380"/>
      <c r="P777" s="380"/>
      <c r="Q777" s="380"/>
    </row>
    <row r="778" spans="1:17" x14ac:dyDescent="0.2">
      <c r="A778" s="334" t="s">
        <v>1584</v>
      </c>
      <c r="B778" s="380"/>
      <c r="C778" s="334" t="s">
        <v>0</v>
      </c>
      <c r="D778" s="377"/>
      <c r="E778" s="377"/>
      <c r="F778" s="378"/>
      <c r="G778" s="377"/>
      <c r="H778" s="377"/>
      <c r="I778" s="399"/>
      <c r="J778" s="377"/>
      <c r="K778" s="377"/>
      <c r="L778" s="378"/>
      <c r="M778" s="377"/>
      <c r="N778" s="377"/>
      <c r="O778" s="380"/>
      <c r="P778" s="380"/>
      <c r="Q778" s="380"/>
    </row>
    <row r="779" spans="1:17" x14ac:dyDescent="0.2">
      <c r="A779" s="334" t="s">
        <v>1580</v>
      </c>
      <c r="B779" s="380"/>
      <c r="C779" s="334" t="s">
        <v>1936</v>
      </c>
      <c r="D779" s="377"/>
      <c r="E779" s="377"/>
      <c r="F779" s="378"/>
      <c r="G779" s="377"/>
      <c r="H779" s="377"/>
      <c r="I779" s="399"/>
      <c r="J779" s="377"/>
      <c r="K779" s="377"/>
      <c r="L779" s="378"/>
      <c r="M779" s="377"/>
      <c r="N779" s="377"/>
      <c r="O779" s="380"/>
      <c r="P779" s="380"/>
      <c r="Q779" s="380"/>
    </row>
    <row r="780" spans="1:17" x14ac:dyDescent="0.2">
      <c r="A780" s="334" t="s">
        <v>1572</v>
      </c>
      <c r="B780" s="380"/>
      <c r="C780" s="334" t="s">
        <v>3134</v>
      </c>
      <c r="D780" s="377"/>
      <c r="E780" s="377"/>
      <c r="F780" s="378"/>
      <c r="G780" s="377"/>
      <c r="H780" s="377">
        <v>25</v>
      </c>
      <c r="I780" s="399"/>
      <c r="J780" s="377"/>
      <c r="K780" s="377"/>
      <c r="L780" s="378"/>
      <c r="M780" s="377"/>
      <c r="N780" s="377"/>
      <c r="O780" s="380"/>
      <c r="P780" s="380"/>
      <c r="Q780" s="380"/>
    </row>
    <row r="781" spans="1:17" x14ac:dyDescent="0.2">
      <c r="A781" s="334" t="s">
        <v>1730</v>
      </c>
      <c r="B781" s="380"/>
      <c r="C781" s="334" t="s">
        <v>1985</v>
      </c>
      <c r="D781" s="377"/>
      <c r="E781" s="377"/>
      <c r="F781" s="378"/>
      <c r="G781" s="377"/>
      <c r="H781" s="377"/>
      <c r="I781" s="399"/>
      <c r="J781" s="377">
        <v>760</v>
      </c>
      <c r="K781" s="377"/>
      <c r="L781" s="378"/>
      <c r="M781" s="377"/>
      <c r="N781" s="377">
        <v>1000</v>
      </c>
      <c r="O781" s="380"/>
      <c r="P781" s="380"/>
      <c r="Q781" s="380"/>
    </row>
    <row r="782" spans="1:17" x14ac:dyDescent="0.2">
      <c r="A782" s="334" t="s">
        <v>1566</v>
      </c>
      <c r="B782" s="380"/>
      <c r="C782" s="334" t="s">
        <v>366</v>
      </c>
      <c r="D782" s="377"/>
      <c r="E782" s="377"/>
      <c r="F782" s="378"/>
      <c r="G782" s="377"/>
      <c r="H782" s="377"/>
      <c r="I782" s="399"/>
      <c r="J782" s="377"/>
      <c r="K782" s="377"/>
      <c r="L782" s="378"/>
      <c r="M782" s="377"/>
      <c r="N782" s="377"/>
      <c r="O782" s="380"/>
      <c r="P782" s="380"/>
      <c r="Q782" s="380"/>
    </row>
    <row r="783" spans="1:17" x14ac:dyDescent="0.2">
      <c r="A783" s="334" t="s">
        <v>1755</v>
      </c>
      <c r="B783" s="380"/>
      <c r="C783" s="380" t="s">
        <v>1986</v>
      </c>
      <c r="D783" s="377">
        <v>1700</v>
      </c>
      <c r="E783" s="377">
        <v>200</v>
      </c>
      <c r="F783" s="378"/>
      <c r="G783" s="377"/>
      <c r="H783" s="377">
        <v>2500</v>
      </c>
      <c r="I783" s="399"/>
      <c r="J783" s="377"/>
      <c r="K783" s="377">
        <v>0</v>
      </c>
      <c r="L783" s="378"/>
      <c r="M783" s="377"/>
      <c r="N783" s="377"/>
      <c r="O783" s="380"/>
      <c r="P783" s="380"/>
      <c r="Q783" s="380"/>
    </row>
    <row r="784" spans="1:17" x14ac:dyDescent="0.2">
      <c r="A784" s="334" t="s">
        <v>1567</v>
      </c>
      <c r="B784" s="380"/>
      <c r="C784" s="334" t="s">
        <v>3142</v>
      </c>
      <c r="D784" s="377"/>
      <c r="E784" s="377"/>
      <c r="F784" s="378"/>
      <c r="G784" s="377"/>
      <c r="H784" s="377"/>
      <c r="I784" s="399"/>
      <c r="J784" s="377"/>
      <c r="K784" s="377"/>
      <c r="L784" s="378"/>
      <c r="M784" s="377"/>
      <c r="N784" s="377"/>
      <c r="O784" s="380"/>
      <c r="P784" s="380"/>
      <c r="Q784" s="380"/>
    </row>
    <row r="785" spans="1:17" x14ac:dyDescent="0.2">
      <c r="A785" s="334"/>
      <c r="B785" s="334"/>
      <c r="C785" s="334"/>
      <c r="D785" s="394"/>
      <c r="E785" s="394"/>
      <c r="F785" s="413"/>
      <c r="G785" s="394"/>
      <c r="H785" s="394"/>
      <c r="I785" s="387"/>
      <c r="J785" s="394"/>
      <c r="K785" s="394"/>
      <c r="L785" s="413"/>
      <c r="M785" s="394"/>
      <c r="N785" s="394"/>
      <c r="O785" s="380"/>
      <c r="P785" s="380"/>
      <c r="Q785" s="380"/>
    </row>
    <row r="786" spans="1:17" ht="15.75" thickBot="1" x14ac:dyDescent="0.25">
      <c r="A786" s="334"/>
      <c r="B786" s="334"/>
      <c r="C786" s="334"/>
      <c r="D786" s="411">
        <f>SUM(D752:D784)</f>
        <v>2400</v>
      </c>
      <c r="E786" s="411">
        <f>SUM(E752:E784)</f>
        <v>700</v>
      </c>
      <c r="F786" s="414">
        <f>SUM(F752:F784)</f>
        <v>0</v>
      </c>
      <c r="G786" s="411"/>
      <c r="H786" s="411">
        <f>SUM(H752:H784)</f>
        <v>4450</v>
      </c>
      <c r="I786" s="387"/>
      <c r="J786" s="411">
        <f>SUM(J752:J784)</f>
        <v>1000</v>
      </c>
      <c r="K786" s="411">
        <f>SUM(K752:K784)</f>
        <v>200</v>
      </c>
      <c r="L786" s="414">
        <f>SUM(L752:L784)</f>
        <v>0</v>
      </c>
      <c r="M786" s="411"/>
      <c r="N786" s="411">
        <f>SUM(N752:N784)</f>
        <v>2325</v>
      </c>
      <c r="O786" s="380"/>
      <c r="P786" s="380"/>
      <c r="Q786" s="380"/>
    </row>
    <row r="787" spans="1:17" x14ac:dyDescent="0.2">
      <c r="A787" s="334"/>
      <c r="B787" s="334"/>
      <c r="C787" s="334"/>
      <c r="D787" s="385"/>
      <c r="E787" s="385"/>
      <c r="F787" s="415"/>
      <c r="G787" s="385"/>
      <c r="H787" s="385"/>
      <c r="I787" s="387"/>
      <c r="J787" s="385"/>
      <c r="K787" s="385"/>
      <c r="L787" s="415"/>
      <c r="M787" s="385"/>
      <c r="N787" s="385"/>
      <c r="O787" s="380"/>
      <c r="P787" s="380"/>
      <c r="Q787" s="380"/>
    </row>
    <row r="788" spans="1:17" ht="15.75" x14ac:dyDescent="0.25">
      <c r="A788" s="334"/>
      <c r="B788" s="334"/>
      <c r="C788" s="334"/>
      <c r="D788" s="385"/>
      <c r="E788" s="385"/>
      <c r="F788" s="415"/>
      <c r="G788" s="385"/>
      <c r="H788" s="385"/>
      <c r="I788" s="397"/>
      <c r="J788" s="385"/>
      <c r="K788" s="385"/>
      <c r="L788" s="415"/>
      <c r="M788" s="385"/>
      <c r="N788" s="385"/>
      <c r="O788" s="380"/>
      <c r="P788" s="380"/>
      <c r="Q788" s="380"/>
    </row>
    <row r="789" spans="1:17" x14ac:dyDescent="0.2">
      <c r="A789" s="334"/>
      <c r="B789" s="334"/>
      <c r="C789" s="334"/>
      <c r="D789" s="334"/>
      <c r="E789" s="334"/>
      <c r="F789" s="412"/>
      <c r="G789" s="334"/>
      <c r="H789" s="334"/>
      <c r="I789" s="387"/>
      <c r="J789" s="334"/>
      <c r="K789" s="334"/>
      <c r="L789" s="412"/>
      <c r="M789" s="334"/>
      <c r="N789" s="334"/>
      <c r="O789" s="380"/>
      <c r="P789" s="380"/>
      <c r="Q789" s="380"/>
    </row>
    <row r="790" spans="1:17" x14ac:dyDescent="0.2">
      <c r="A790" s="334" t="s">
        <v>539</v>
      </c>
      <c r="B790" s="380"/>
      <c r="C790" s="380"/>
      <c r="D790" s="334" t="s">
        <v>1492</v>
      </c>
      <c r="E790" s="334" t="s">
        <v>1494</v>
      </c>
      <c r="F790" s="412" t="s">
        <v>1499</v>
      </c>
      <c r="G790" s="334"/>
      <c r="H790" s="334" t="s">
        <v>1498</v>
      </c>
      <c r="I790" s="387"/>
      <c r="J790" s="334" t="s">
        <v>1492</v>
      </c>
      <c r="K790" s="334" t="s">
        <v>1494</v>
      </c>
      <c r="L790" s="412" t="s">
        <v>1499</v>
      </c>
      <c r="M790" s="334"/>
      <c r="N790" s="334" t="s">
        <v>1498</v>
      </c>
      <c r="O790" s="380"/>
      <c r="P790" s="380"/>
      <c r="Q790" s="380"/>
    </row>
    <row r="791" spans="1:17" x14ac:dyDescent="0.2">
      <c r="A791" s="380"/>
      <c r="B791" s="380"/>
      <c r="C791" s="384" t="s">
        <v>436</v>
      </c>
      <c r="D791" s="334" t="s">
        <v>254</v>
      </c>
      <c r="E791" s="380" t="s">
        <v>324</v>
      </c>
      <c r="F791" s="412" t="s">
        <v>326</v>
      </c>
      <c r="G791" s="334"/>
      <c r="H791" s="380" t="s">
        <v>879</v>
      </c>
      <c r="I791" s="387"/>
      <c r="J791" s="334" t="s">
        <v>254</v>
      </c>
      <c r="K791" s="380" t="s">
        <v>324</v>
      </c>
      <c r="L791" s="412" t="s">
        <v>326</v>
      </c>
      <c r="M791" s="334"/>
      <c r="N791" s="380" t="s">
        <v>879</v>
      </c>
      <c r="O791" s="380"/>
      <c r="P791" s="380"/>
      <c r="Q791" s="380"/>
    </row>
    <row r="792" spans="1:17" x14ac:dyDescent="0.2">
      <c r="A792" s="380"/>
      <c r="B792" s="380"/>
      <c r="C792" s="380"/>
      <c r="D792" s="334" t="s">
        <v>255</v>
      </c>
      <c r="E792" s="334" t="s">
        <v>325</v>
      </c>
      <c r="F792" s="412" t="s">
        <v>327</v>
      </c>
      <c r="G792" s="334"/>
      <c r="H792" s="334" t="s">
        <v>328</v>
      </c>
      <c r="I792" s="387"/>
      <c r="J792" s="334" t="s">
        <v>255</v>
      </c>
      <c r="K792" s="334" t="s">
        <v>325</v>
      </c>
      <c r="L792" s="412" t="s">
        <v>327</v>
      </c>
      <c r="M792" s="334"/>
      <c r="N792" s="334" t="s">
        <v>328</v>
      </c>
      <c r="O792" s="380"/>
      <c r="P792" s="380"/>
      <c r="Q792" s="380"/>
    </row>
    <row r="793" spans="1:17" x14ac:dyDescent="0.2">
      <c r="A793" s="334" t="s">
        <v>342</v>
      </c>
      <c r="B793" s="380"/>
      <c r="C793" s="334" t="s">
        <v>342</v>
      </c>
      <c r="D793" s="380"/>
      <c r="E793" s="380"/>
      <c r="F793" s="378"/>
      <c r="G793" s="380"/>
      <c r="H793" s="380"/>
      <c r="I793" s="387"/>
      <c r="J793" s="380"/>
      <c r="K793" s="380"/>
      <c r="L793" s="378"/>
      <c r="M793" s="380"/>
      <c r="N793" s="380"/>
      <c r="O793" s="380"/>
      <c r="P793" s="380"/>
      <c r="Q793" s="380"/>
    </row>
    <row r="794" spans="1:17" x14ac:dyDescent="0.2">
      <c r="A794" s="334" t="s">
        <v>1723</v>
      </c>
      <c r="B794" s="380"/>
      <c r="C794" s="334" t="s">
        <v>1880</v>
      </c>
      <c r="D794" s="334" t="s">
        <v>181</v>
      </c>
      <c r="E794" s="334" t="s">
        <v>181</v>
      </c>
      <c r="F794" s="412" t="s">
        <v>181</v>
      </c>
      <c r="G794" s="334"/>
      <c r="H794" s="334" t="s">
        <v>181</v>
      </c>
      <c r="I794" s="387"/>
      <c r="J794" s="334" t="s">
        <v>181</v>
      </c>
      <c r="K794" s="334" t="s">
        <v>181</v>
      </c>
      <c r="L794" s="412" t="s">
        <v>181</v>
      </c>
      <c r="M794" s="334"/>
      <c r="N794" s="334" t="s">
        <v>181</v>
      </c>
      <c r="O794" s="380"/>
      <c r="P794" s="380"/>
      <c r="Q794" s="380"/>
    </row>
    <row r="795" spans="1:17" x14ac:dyDescent="0.2">
      <c r="A795" s="380"/>
      <c r="B795" s="380"/>
      <c r="C795" s="380"/>
      <c r="D795" s="380"/>
      <c r="E795" s="380"/>
      <c r="F795" s="378"/>
      <c r="G795" s="380"/>
      <c r="H795" s="380"/>
      <c r="I795" s="387"/>
      <c r="J795" s="380"/>
      <c r="K795" s="380"/>
      <c r="L795" s="378"/>
      <c r="M795" s="380"/>
      <c r="N795" s="380"/>
      <c r="O795" s="380"/>
      <c r="P795" s="380"/>
      <c r="Q795" s="380"/>
    </row>
    <row r="796" spans="1:17" x14ac:dyDescent="0.2">
      <c r="A796" s="334" t="s">
        <v>1733</v>
      </c>
      <c r="B796" s="380"/>
      <c r="C796" s="334" t="s">
        <v>27</v>
      </c>
      <c r="D796" s="377"/>
      <c r="E796" s="377"/>
      <c r="F796" s="378"/>
      <c r="G796" s="377"/>
      <c r="H796" s="377"/>
      <c r="I796" s="399"/>
      <c r="J796" s="377"/>
      <c r="K796" s="377"/>
      <c r="L796" s="378"/>
      <c r="M796" s="377"/>
      <c r="N796" s="377"/>
      <c r="O796" s="380"/>
      <c r="P796" s="380"/>
      <c r="Q796" s="380"/>
    </row>
    <row r="797" spans="1:17" x14ac:dyDescent="0.2">
      <c r="A797" s="334" t="s">
        <v>1743</v>
      </c>
      <c r="B797" s="380"/>
      <c r="C797" s="334" t="s">
        <v>1886</v>
      </c>
      <c r="D797" s="377"/>
      <c r="E797" s="377"/>
      <c r="F797" s="378"/>
      <c r="G797" s="377"/>
      <c r="H797" s="377"/>
      <c r="I797" s="399"/>
      <c r="J797" s="377"/>
      <c r="K797" s="377"/>
      <c r="L797" s="378"/>
      <c r="M797" s="377"/>
      <c r="N797" s="377"/>
      <c r="O797" s="380"/>
      <c r="P797" s="380"/>
      <c r="Q797" s="380"/>
    </row>
    <row r="798" spans="1:17" x14ac:dyDescent="0.2">
      <c r="A798" s="334" t="s">
        <v>1569</v>
      </c>
      <c r="B798" s="380"/>
      <c r="C798" s="334" t="s">
        <v>1888</v>
      </c>
      <c r="D798" s="377"/>
      <c r="E798" s="377"/>
      <c r="F798" s="378"/>
      <c r="G798" s="377"/>
      <c r="H798" s="377"/>
      <c r="I798" s="399"/>
      <c r="J798" s="377"/>
      <c r="K798" s="377"/>
      <c r="L798" s="378"/>
      <c r="M798" s="377"/>
      <c r="N798" s="377"/>
      <c r="O798" s="380"/>
      <c r="P798" s="380"/>
      <c r="Q798" s="380"/>
    </row>
    <row r="799" spans="1:17" x14ac:dyDescent="0.2">
      <c r="A799" s="334" t="s">
        <v>1724</v>
      </c>
      <c r="B799" s="380"/>
      <c r="C799" s="334" t="s">
        <v>1881</v>
      </c>
      <c r="D799" s="377"/>
      <c r="E799" s="377"/>
      <c r="F799" s="378">
        <v>50</v>
      </c>
      <c r="G799" s="377"/>
      <c r="H799" s="377"/>
      <c r="I799" s="399"/>
      <c r="J799" s="377"/>
      <c r="K799" s="377"/>
      <c r="L799" s="378">
        <v>50</v>
      </c>
      <c r="M799" s="377"/>
      <c r="N799" s="377">
        <v>0</v>
      </c>
      <c r="O799" s="380"/>
      <c r="P799" s="380"/>
      <c r="Q799" s="380"/>
    </row>
    <row r="800" spans="1:17" x14ac:dyDescent="0.2">
      <c r="A800" s="334" t="s">
        <v>1736</v>
      </c>
      <c r="B800" s="380"/>
      <c r="C800" s="334" t="s">
        <v>1747</v>
      </c>
      <c r="D800" s="377"/>
      <c r="E800" s="377"/>
      <c r="F800" s="378"/>
      <c r="G800" s="377"/>
      <c r="H800" s="377"/>
      <c r="I800" s="399"/>
      <c r="J800" s="377"/>
      <c r="K800" s="377"/>
      <c r="L800" s="378"/>
      <c r="M800" s="377"/>
      <c r="N800" s="377"/>
      <c r="O800" s="380"/>
      <c r="P800" s="380"/>
      <c r="Q800" s="380"/>
    </row>
    <row r="801" spans="1:17" x14ac:dyDescent="0.2">
      <c r="A801" s="334" t="s">
        <v>1744</v>
      </c>
      <c r="B801" s="380"/>
      <c r="C801" s="334" t="s">
        <v>1254</v>
      </c>
      <c r="D801" s="377"/>
      <c r="E801" s="377"/>
      <c r="F801" s="378"/>
      <c r="G801" s="377"/>
      <c r="H801" s="377"/>
      <c r="I801" s="399"/>
      <c r="J801" s="377"/>
      <c r="K801" s="377"/>
      <c r="L801" s="378"/>
      <c r="M801" s="377"/>
      <c r="N801" s="377"/>
      <c r="O801" s="380"/>
      <c r="P801" s="380"/>
      <c r="Q801" s="380"/>
    </row>
    <row r="802" spans="1:17" x14ac:dyDescent="0.2">
      <c r="A802" s="334" t="s">
        <v>1575</v>
      </c>
      <c r="B802" s="380"/>
      <c r="C802" s="334" t="s">
        <v>1889</v>
      </c>
      <c r="D802" s="377"/>
      <c r="E802" s="377"/>
      <c r="F802" s="378"/>
      <c r="G802" s="377"/>
      <c r="H802" s="377"/>
      <c r="I802" s="399"/>
      <c r="J802" s="377"/>
      <c r="K802" s="377"/>
      <c r="L802" s="378"/>
      <c r="M802" s="377"/>
      <c r="N802" s="377"/>
      <c r="O802" s="380"/>
      <c r="P802" s="380"/>
      <c r="Q802" s="380"/>
    </row>
    <row r="803" spans="1:17" x14ac:dyDescent="0.2">
      <c r="A803" s="334" t="s">
        <v>1725</v>
      </c>
      <c r="B803" s="380"/>
      <c r="C803" s="334" t="s">
        <v>1890</v>
      </c>
      <c r="D803" s="377"/>
      <c r="E803" s="377"/>
      <c r="F803" s="378"/>
      <c r="G803" s="377"/>
      <c r="H803" s="377"/>
      <c r="I803" s="399"/>
      <c r="J803" s="377"/>
      <c r="K803" s="377"/>
      <c r="L803" s="378"/>
      <c r="M803" s="377"/>
      <c r="N803" s="377"/>
      <c r="O803" s="380"/>
      <c r="P803" s="380"/>
      <c r="Q803" s="380"/>
    </row>
    <row r="804" spans="1:17" x14ac:dyDescent="0.2">
      <c r="A804" s="334" t="s">
        <v>1565</v>
      </c>
      <c r="B804" s="380"/>
      <c r="C804" s="334" t="s">
        <v>1927</v>
      </c>
      <c r="D804" s="377"/>
      <c r="E804" s="377"/>
      <c r="F804" s="378"/>
      <c r="G804" s="377"/>
      <c r="H804" s="377"/>
      <c r="I804" s="399"/>
      <c r="J804" s="377"/>
      <c r="K804" s="377"/>
      <c r="L804" s="378"/>
      <c r="M804" s="377"/>
      <c r="N804" s="377"/>
      <c r="O804" s="380"/>
      <c r="P804" s="380"/>
      <c r="Q804" s="380"/>
    </row>
    <row r="805" spans="1:17" x14ac:dyDescent="0.2">
      <c r="A805" s="334" t="s">
        <v>1737</v>
      </c>
      <c r="B805" s="380"/>
      <c r="C805" s="334" t="s">
        <v>1928</v>
      </c>
      <c r="D805" s="377"/>
      <c r="E805" s="377"/>
      <c r="F805" s="378"/>
      <c r="G805" s="377"/>
      <c r="H805" s="377"/>
      <c r="I805" s="399"/>
      <c r="J805" s="377"/>
      <c r="K805" s="377"/>
      <c r="L805" s="378"/>
      <c r="M805" s="377"/>
      <c r="N805" s="377"/>
      <c r="O805" s="380"/>
      <c r="P805" s="380"/>
      <c r="Q805" s="380"/>
    </row>
    <row r="806" spans="1:17" x14ac:dyDescent="0.2">
      <c r="A806" s="334" t="s">
        <v>1726</v>
      </c>
      <c r="B806" s="380"/>
      <c r="C806" s="334" t="s">
        <v>1117</v>
      </c>
      <c r="D806" s="377">
        <v>600</v>
      </c>
      <c r="E806" s="377">
        <v>600</v>
      </c>
      <c r="F806" s="378">
        <v>200</v>
      </c>
      <c r="G806" s="377"/>
      <c r="H806" s="377"/>
      <c r="I806" s="399"/>
      <c r="J806" s="377">
        <v>3000</v>
      </c>
      <c r="K806" s="377">
        <v>200</v>
      </c>
      <c r="L806" s="378">
        <v>0</v>
      </c>
      <c r="M806" s="377"/>
      <c r="N806" s="377"/>
      <c r="O806" s="380"/>
      <c r="P806" s="380"/>
      <c r="Q806" s="380"/>
    </row>
    <row r="807" spans="1:17" x14ac:dyDescent="0.2">
      <c r="A807" s="334" t="s">
        <v>1756</v>
      </c>
      <c r="B807" s="380"/>
      <c r="C807" s="334" t="s">
        <v>3137</v>
      </c>
      <c r="D807" s="377"/>
      <c r="E807" s="377"/>
      <c r="F807" s="378"/>
      <c r="G807" s="377"/>
      <c r="H807" s="377"/>
      <c r="I807" s="399"/>
      <c r="J807" s="377"/>
      <c r="K807" s="377"/>
      <c r="L807" s="378"/>
      <c r="M807" s="377"/>
      <c r="N807" s="377"/>
      <c r="O807" s="380"/>
      <c r="P807" s="380"/>
      <c r="Q807" s="380"/>
    </row>
    <row r="808" spans="1:17" x14ac:dyDescent="0.2">
      <c r="A808" s="334" t="s">
        <v>1751</v>
      </c>
      <c r="B808" s="380"/>
      <c r="C808" s="334" t="s">
        <v>3138</v>
      </c>
      <c r="D808" s="377"/>
      <c r="E808" s="377"/>
      <c r="F808" s="378"/>
      <c r="G808" s="377"/>
      <c r="H808" s="377"/>
      <c r="I808" s="399"/>
      <c r="J808" s="377"/>
      <c r="K808" s="377"/>
      <c r="L808" s="378"/>
      <c r="M808" s="377"/>
      <c r="N808" s="377"/>
      <c r="O808" s="380"/>
      <c r="P808" s="380"/>
      <c r="Q808" s="380"/>
    </row>
    <row r="809" spans="1:17" x14ac:dyDescent="0.2">
      <c r="A809" s="334" t="s">
        <v>1752</v>
      </c>
      <c r="B809" s="380"/>
      <c r="C809" s="334" t="s">
        <v>367</v>
      </c>
      <c r="D809" s="377"/>
      <c r="E809" s="377"/>
      <c r="F809" s="378"/>
      <c r="G809" s="377"/>
      <c r="H809" s="377"/>
      <c r="I809" s="399"/>
      <c r="J809" s="377"/>
      <c r="K809" s="377"/>
      <c r="L809" s="378"/>
      <c r="M809" s="377"/>
      <c r="N809" s="377"/>
      <c r="O809" s="380"/>
      <c r="P809" s="380"/>
      <c r="Q809" s="380"/>
    </row>
    <row r="810" spans="1:17" x14ac:dyDescent="0.2">
      <c r="A810" s="334" t="s">
        <v>1577</v>
      </c>
      <c r="B810" s="380"/>
      <c r="C810" s="334" t="s">
        <v>1815</v>
      </c>
      <c r="D810" s="377"/>
      <c r="E810" s="377"/>
      <c r="F810" s="378"/>
      <c r="G810" s="377"/>
      <c r="H810" s="377"/>
      <c r="I810" s="399"/>
      <c r="J810" s="377"/>
      <c r="K810" s="377"/>
      <c r="L810" s="378"/>
      <c r="M810" s="377"/>
      <c r="N810" s="377"/>
      <c r="O810" s="380"/>
      <c r="P810" s="380"/>
      <c r="Q810" s="380"/>
    </row>
    <row r="811" spans="1:17" x14ac:dyDescent="0.2">
      <c r="A811" s="334" t="s">
        <v>1753</v>
      </c>
      <c r="B811" s="380"/>
      <c r="C811" s="334" t="s">
        <v>1816</v>
      </c>
      <c r="D811" s="377"/>
      <c r="E811" s="377"/>
      <c r="F811" s="378"/>
      <c r="G811" s="377"/>
      <c r="H811" s="377"/>
      <c r="I811" s="399"/>
      <c r="J811" s="377"/>
      <c r="K811" s="377"/>
      <c r="L811" s="378"/>
      <c r="M811" s="377"/>
      <c r="N811" s="377"/>
      <c r="O811" s="380"/>
      <c r="P811" s="380"/>
      <c r="Q811" s="380"/>
    </row>
    <row r="812" spans="1:17" x14ac:dyDescent="0.2">
      <c r="A812" s="334" t="s">
        <v>1734</v>
      </c>
      <c r="B812" s="380"/>
      <c r="C812" s="334" t="s">
        <v>1746</v>
      </c>
      <c r="D812" s="377"/>
      <c r="E812" s="377"/>
      <c r="F812" s="378"/>
      <c r="G812" s="377"/>
      <c r="H812" s="377"/>
      <c r="I812" s="399"/>
      <c r="J812" s="377"/>
      <c r="K812" s="377"/>
      <c r="L812" s="378"/>
      <c r="M812" s="377"/>
      <c r="N812" s="377"/>
      <c r="O812" s="380"/>
      <c r="P812" s="380"/>
      <c r="Q812" s="380"/>
    </row>
    <row r="813" spans="1:17" x14ac:dyDescent="0.2">
      <c r="A813" s="334" t="s">
        <v>1571</v>
      </c>
      <c r="B813" s="380"/>
      <c r="C813" s="334" t="s">
        <v>3</v>
      </c>
      <c r="D813" s="377"/>
      <c r="E813" s="377"/>
      <c r="F813" s="378"/>
      <c r="G813" s="377"/>
      <c r="H813" s="377"/>
      <c r="I813" s="399"/>
      <c r="J813" s="377"/>
      <c r="K813" s="377"/>
      <c r="L813" s="378"/>
      <c r="M813" s="377"/>
      <c r="N813" s="377"/>
      <c r="O813" s="380"/>
      <c r="P813" s="380"/>
      <c r="Q813" s="380"/>
    </row>
    <row r="814" spans="1:17" x14ac:dyDescent="0.2">
      <c r="A814" s="334" t="s">
        <v>1738</v>
      </c>
      <c r="B814" s="380"/>
      <c r="C814" s="334" t="s">
        <v>1591</v>
      </c>
      <c r="D814" s="377"/>
      <c r="E814" s="377"/>
      <c r="F814" s="378"/>
      <c r="G814" s="377"/>
      <c r="H814" s="377"/>
      <c r="I814" s="399"/>
      <c r="J814" s="377"/>
      <c r="K814" s="377"/>
      <c r="L814" s="378"/>
      <c r="M814" s="377"/>
      <c r="N814" s="377"/>
      <c r="O814" s="380"/>
      <c r="P814" s="380"/>
      <c r="Q814" s="380"/>
    </row>
    <row r="815" spans="1:17" x14ac:dyDescent="0.2">
      <c r="A815" s="334" t="s">
        <v>1727</v>
      </c>
      <c r="B815" s="380"/>
      <c r="C815" s="334" t="s">
        <v>307</v>
      </c>
      <c r="D815" s="377"/>
      <c r="E815" s="377"/>
      <c r="F815" s="378"/>
      <c r="G815" s="377"/>
      <c r="H815" s="377"/>
      <c r="I815" s="399"/>
      <c r="J815" s="377"/>
      <c r="K815" s="377"/>
      <c r="L815" s="378"/>
      <c r="M815" s="377"/>
      <c r="N815" s="377"/>
      <c r="O815" s="380"/>
      <c r="P815" s="380"/>
      <c r="Q815" s="380"/>
    </row>
    <row r="816" spans="1:17" x14ac:dyDescent="0.2">
      <c r="A816" s="334" t="s">
        <v>1728</v>
      </c>
      <c r="B816" s="380"/>
      <c r="C816" s="334" t="s">
        <v>310</v>
      </c>
      <c r="D816" s="377"/>
      <c r="E816" s="377"/>
      <c r="F816" s="378"/>
      <c r="G816" s="377"/>
      <c r="H816" s="377"/>
      <c r="I816" s="399"/>
      <c r="J816" s="377"/>
      <c r="K816" s="377"/>
      <c r="L816" s="378"/>
      <c r="M816" s="377"/>
      <c r="N816" s="377"/>
      <c r="O816" s="380"/>
      <c r="P816" s="380"/>
      <c r="Q816" s="380"/>
    </row>
    <row r="817" spans="1:17" x14ac:dyDescent="0.2">
      <c r="A817" s="334" t="s">
        <v>1729</v>
      </c>
      <c r="B817" s="380"/>
      <c r="C817" s="380" t="s">
        <v>1551</v>
      </c>
      <c r="D817" s="377">
        <v>-600</v>
      </c>
      <c r="E817" s="377"/>
      <c r="F817" s="378">
        <v>-400</v>
      </c>
      <c r="G817" s="377"/>
      <c r="H817" s="377"/>
      <c r="I817" s="399"/>
      <c r="J817" s="377"/>
      <c r="K817" s="377"/>
      <c r="L817" s="378"/>
      <c r="M817" s="377"/>
      <c r="N817" s="377"/>
      <c r="O817" s="380"/>
      <c r="P817" s="380"/>
      <c r="Q817" s="380"/>
    </row>
    <row r="818" spans="1:17" x14ac:dyDescent="0.2">
      <c r="A818" s="334" t="s">
        <v>1735</v>
      </c>
      <c r="B818" s="380"/>
      <c r="C818" s="380" t="s">
        <v>194</v>
      </c>
      <c r="D818" s="377"/>
      <c r="E818" s="377"/>
      <c r="F818" s="378"/>
      <c r="G818" s="377"/>
      <c r="H818" s="377"/>
      <c r="I818" s="399"/>
      <c r="J818" s="377"/>
      <c r="K818" s="377"/>
      <c r="L818" s="378"/>
      <c r="M818" s="377"/>
      <c r="N818" s="377"/>
      <c r="O818" s="380"/>
      <c r="P818" s="380"/>
      <c r="Q818" s="380"/>
    </row>
    <row r="819" spans="1:17" x14ac:dyDescent="0.2">
      <c r="A819" s="334" t="s">
        <v>1741</v>
      </c>
      <c r="B819" s="380"/>
      <c r="C819" s="334" t="s">
        <v>1748</v>
      </c>
      <c r="D819" s="377"/>
      <c r="E819" s="377"/>
      <c r="F819" s="378"/>
      <c r="G819" s="377"/>
      <c r="H819" s="377"/>
      <c r="I819" s="399"/>
      <c r="J819" s="377"/>
      <c r="K819" s="377"/>
      <c r="L819" s="378"/>
      <c r="M819" s="377"/>
      <c r="N819" s="377"/>
      <c r="O819" s="380"/>
      <c r="P819" s="380"/>
      <c r="Q819" s="380"/>
    </row>
    <row r="820" spans="1:17" x14ac:dyDescent="0.2">
      <c r="A820" s="334" t="s">
        <v>1742</v>
      </c>
      <c r="B820" s="380"/>
      <c r="C820" s="334" t="s">
        <v>1553</v>
      </c>
      <c r="D820" s="377"/>
      <c r="E820" s="377"/>
      <c r="F820" s="378"/>
      <c r="G820" s="377"/>
      <c r="H820" s="377"/>
      <c r="I820" s="399"/>
      <c r="J820" s="377"/>
      <c r="K820" s="377"/>
      <c r="L820" s="378"/>
      <c r="M820" s="377"/>
      <c r="N820" s="377"/>
      <c r="O820" s="380"/>
      <c r="P820" s="380"/>
      <c r="Q820" s="380"/>
    </row>
    <row r="821" spans="1:17" x14ac:dyDescent="0.2">
      <c r="A821" s="334" t="s">
        <v>1754</v>
      </c>
      <c r="B821" s="380"/>
      <c r="C821" s="334" t="s">
        <v>1929</v>
      </c>
      <c r="D821" s="377"/>
      <c r="E821" s="377"/>
      <c r="F821" s="378"/>
      <c r="G821" s="377"/>
      <c r="H821" s="377"/>
      <c r="I821" s="399"/>
      <c r="J821" s="377"/>
      <c r="K821" s="377"/>
      <c r="L821" s="378"/>
      <c r="M821" s="377"/>
      <c r="N821" s="377"/>
      <c r="O821" s="380"/>
      <c r="P821" s="380"/>
      <c r="Q821" s="380"/>
    </row>
    <row r="822" spans="1:17" x14ac:dyDescent="0.2">
      <c r="A822" s="334" t="s">
        <v>1584</v>
      </c>
      <c r="B822" s="380"/>
      <c r="C822" s="334" t="s">
        <v>0</v>
      </c>
      <c r="D822" s="377"/>
      <c r="E822" s="377"/>
      <c r="F822" s="378"/>
      <c r="G822" s="377"/>
      <c r="H822" s="377"/>
      <c r="I822" s="399"/>
      <c r="J822" s="377"/>
      <c r="K822" s="377"/>
      <c r="L822" s="378"/>
      <c r="M822" s="377"/>
      <c r="N822" s="377"/>
      <c r="O822" s="380"/>
      <c r="P822" s="380"/>
      <c r="Q822" s="380"/>
    </row>
    <row r="823" spans="1:17" x14ac:dyDescent="0.2">
      <c r="A823" s="334" t="s">
        <v>1580</v>
      </c>
      <c r="B823" s="380"/>
      <c r="C823" s="334" t="s">
        <v>1936</v>
      </c>
      <c r="D823" s="377"/>
      <c r="E823" s="377"/>
      <c r="F823" s="378"/>
      <c r="G823" s="377"/>
      <c r="H823" s="377"/>
      <c r="I823" s="399"/>
      <c r="J823" s="377"/>
      <c r="K823" s="377"/>
      <c r="L823" s="378"/>
      <c r="M823" s="377"/>
      <c r="N823" s="377"/>
      <c r="O823" s="380"/>
      <c r="P823" s="380"/>
      <c r="Q823" s="380"/>
    </row>
    <row r="824" spans="1:17" x14ac:dyDescent="0.2">
      <c r="A824" s="334" t="s">
        <v>1572</v>
      </c>
      <c r="B824" s="380"/>
      <c r="C824" s="334" t="s">
        <v>3134</v>
      </c>
      <c r="D824" s="377"/>
      <c r="E824" s="377"/>
      <c r="F824" s="378"/>
      <c r="G824" s="377"/>
      <c r="H824" s="377"/>
      <c r="I824" s="399"/>
      <c r="J824" s="377"/>
      <c r="K824" s="377"/>
      <c r="L824" s="378"/>
      <c r="M824" s="377"/>
      <c r="N824" s="377"/>
      <c r="O824" s="380"/>
      <c r="P824" s="380"/>
      <c r="Q824" s="380"/>
    </row>
    <row r="825" spans="1:17" x14ac:dyDescent="0.2">
      <c r="A825" s="334" t="s">
        <v>1730</v>
      </c>
      <c r="B825" s="380"/>
      <c r="C825" s="334" t="s">
        <v>1985</v>
      </c>
      <c r="D825" s="377"/>
      <c r="E825" s="377"/>
      <c r="F825" s="378"/>
      <c r="G825" s="377"/>
      <c r="H825" s="377"/>
      <c r="I825" s="399"/>
      <c r="J825" s="377"/>
      <c r="K825" s="377"/>
      <c r="L825" s="378"/>
      <c r="M825" s="377"/>
      <c r="N825" s="377"/>
      <c r="O825" s="380"/>
      <c r="P825" s="380"/>
      <c r="Q825" s="380"/>
    </row>
    <row r="826" spans="1:17" x14ac:dyDescent="0.2">
      <c r="A826" s="334" t="s">
        <v>1566</v>
      </c>
      <c r="B826" s="380"/>
      <c r="C826" s="334" t="s">
        <v>366</v>
      </c>
      <c r="D826" s="377"/>
      <c r="E826" s="377"/>
      <c r="F826" s="378"/>
      <c r="G826" s="377"/>
      <c r="H826" s="377"/>
      <c r="I826" s="399"/>
      <c r="J826" s="377"/>
      <c r="K826" s="377"/>
      <c r="L826" s="378"/>
      <c r="M826" s="377"/>
      <c r="N826" s="377"/>
      <c r="O826" s="380"/>
      <c r="P826" s="380"/>
      <c r="Q826" s="380"/>
    </row>
    <row r="827" spans="1:17" x14ac:dyDescent="0.2">
      <c r="A827" s="334" t="s">
        <v>1755</v>
      </c>
      <c r="B827" s="380"/>
      <c r="C827" s="380" t="s">
        <v>1986</v>
      </c>
      <c r="D827" s="377"/>
      <c r="E827" s="377"/>
      <c r="F827" s="378">
        <v>150</v>
      </c>
      <c r="G827" s="377"/>
      <c r="H827" s="377"/>
      <c r="I827" s="399"/>
      <c r="J827" s="377"/>
      <c r="K827" s="377"/>
      <c r="L827" s="378">
        <v>150</v>
      </c>
      <c r="M827" s="377"/>
      <c r="N827" s="377"/>
      <c r="O827" s="380"/>
      <c r="P827" s="380"/>
      <c r="Q827" s="380"/>
    </row>
    <row r="828" spans="1:17" x14ac:dyDescent="0.2">
      <c r="A828" s="334" t="s">
        <v>1567</v>
      </c>
      <c r="B828" s="380"/>
      <c r="C828" s="334" t="s">
        <v>3142</v>
      </c>
      <c r="D828" s="377"/>
      <c r="E828" s="377"/>
      <c r="F828" s="378"/>
      <c r="G828" s="377"/>
      <c r="H828" s="377"/>
      <c r="I828" s="399"/>
      <c r="J828" s="377"/>
      <c r="K828" s="377"/>
      <c r="L828" s="378"/>
      <c r="M828" s="377"/>
      <c r="N828" s="377"/>
      <c r="O828" s="380"/>
      <c r="P828" s="380"/>
      <c r="Q828" s="380"/>
    </row>
    <row r="829" spans="1:17" x14ac:dyDescent="0.2">
      <c r="A829" s="334"/>
      <c r="B829" s="334"/>
      <c r="C829" s="334"/>
      <c r="D829" s="394"/>
      <c r="E829" s="394"/>
      <c r="F829" s="413"/>
      <c r="G829" s="394"/>
      <c r="H829" s="394"/>
      <c r="I829" s="387"/>
      <c r="J829" s="394"/>
      <c r="K829" s="394"/>
      <c r="L829" s="413"/>
      <c r="M829" s="394"/>
      <c r="N829" s="394"/>
      <c r="O829" s="380"/>
      <c r="P829" s="380"/>
      <c r="Q829" s="380"/>
    </row>
    <row r="830" spans="1:17" ht="15.75" thickBot="1" x14ac:dyDescent="0.25">
      <c r="A830" s="334"/>
      <c r="B830" s="334"/>
      <c r="C830" s="334"/>
      <c r="D830" s="411">
        <f>SUM(D796:D828)</f>
        <v>0</v>
      </c>
      <c r="E830" s="411">
        <f>SUM(E796:E828)</f>
        <v>600</v>
      </c>
      <c r="F830" s="414">
        <f>SUM(F796:F828)</f>
        <v>0</v>
      </c>
      <c r="G830" s="411"/>
      <c r="H830" s="411">
        <f>SUM(H796:H828)</f>
        <v>0</v>
      </c>
      <c r="I830" s="387"/>
      <c r="J830" s="411">
        <f>SUM(J796:J828)</f>
        <v>3000</v>
      </c>
      <c r="K830" s="411">
        <f>SUM(K796:K828)</f>
        <v>200</v>
      </c>
      <c r="L830" s="414">
        <f>SUM(L796:L828)</f>
        <v>200</v>
      </c>
      <c r="M830" s="411"/>
      <c r="N830" s="411">
        <f>SUM(N796:N828)</f>
        <v>0</v>
      </c>
      <c r="O830" s="380"/>
      <c r="P830" s="380"/>
      <c r="Q830" s="380"/>
    </row>
    <row r="831" spans="1:17" x14ac:dyDescent="0.2">
      <c r="A831" s="334"/>
      <c r="B831" s="334"/>
      <c r="C831" s="334"/>
      <c r="D831" s="334"/>
      <c r="E831" s="377"/>
      <c r="F831" s="378"/>
      <c r="G831" s="377"/>
      <c r="H831" s="377"/>
      <c r="I831" s="387"/>
      <c r="J831" s="334"/>
      <c r="K831" s="377"/>
      <c r="L831" s="378"/>
      <c r="M831" s="377"/>
      <c r="N831" s="377"/>
      <c r="O831" s="380"/>
      <c r="P831" s="380"/>
      <c r="Q831" s="380"/>
    </row>
    <row r="832" spans="1:17" ht="15.75" x14ac:dyDescent="0.25">
      <c r="A832" s="334"/>
      <c r="B832" s="334"/>
      <c r="C832" s="334"/>
      <c r="D832" s="334"/>
      <c r="E832" s="377"/>
      <c r="F832" s="378"/>
      <c r="G832" s="377"/>
      <c r="H832" s="377"/>
      <c r="I832" s="397"/>
      <c r="J832" s="334"/>
      <c r="K832" s="377"/>
      <c r="L832" s="378"/>
      <c r="M832" s="377"/>
      <c r="N832" s="377"/>
      <c r="O832" s="380"/>
      <c r="P832" s="380"/>
      <c r="Q832" s="380"/>
    </row>
    <row r="833" spans="1:17" x14ac:dyDescent="0.2">
      <c r="A833" s="334"/>
      <c r="B833" s="334"/>
      <c r="C833" s="334"/>
      <c r="D833" s="334"/>
      <c r="E833" s="377"/>
      <c r="F833" s="378"/>
      <c r="G833" s="377"/>
      <c r="H833" s="377"/>
      <c r="I833" s="387"/>
      <c r="J833" s="334"/>
      <c r="K833" s="377"/>
      <c r="L833" s="378"/>
      <c r="M833" s="377"/>
      <c r="N833" s="377"/>
      <c r="O833" s="380"/>
      <c r="P833" s="380"/>
      <c r="Q833" s="380"/>
    </row>
    <row r="834" spans="1:17" x14ac:dyDescent="0.2">
      <c r="A834" s="334" t="s">
        <v>539</v>
      </c>
      <c r="B834" s="380"/>
      <c r="C834" s="380"/>
      <c r="D834" s="334" t="s">
        <v>1495</v>
      </c>
      <c r="E834" s="334" t="s">
        <v>1496</v>
      </c>
      <c r="F834" s="412" t="s">
        <v>1497</v>
      </c>
      <c r="G834" s="334"/>
      <c r="H834" s="334" t="s">
        <v>1500</v>
      </c>
      <c r="I834" s="387"/>
      <c r="J834" s="334" t="s">
        <v>1495</v>
      </c>
      <c r="K834" s="334" t="s">
        <v>1496</v>
      </c>
      <c r="L834" s="412" t="s">
        <v>1497</v>
      </c>
      <c r="M834" s="334"/>
      <c r="N834" s="334" t="s">
        <v>1500</v>
      </c>
      <c r="O834" s="380"/>
      <c r="P834" s="380"/>
      <c r="Q834" s="380"/>
    </row>
    <row r="835" spans="1:17" x14ac:dyDescent="0.2">
      <c r="A835" s="380"/>
      <c r="B835" s="380"/>
      <c r="C835" s="384" t="s">
        <v>436</v>
      </c>
      <c r="D835" s="380" t="s">
        <v>114</v>
      </c>
      <c r="E835" s="380" t="s">
        <v>329</v>
      </c>
      <c r="F835" s="378" t="s">
        <v>331</v>
      </c>
      <c r="G835" s="380"/>
      <c r="H835" s="334" t="s">
        <v>306</v>
      </c>
      <c r="I835" s="387"/>
      <c r="J835" s="380" t="s">
        <v>114</v>
      </c>
      <c r="K835" s="380" t="s">
        <v>329</v>
      </c>
      <c r="L835" s="378" t="s">
        <v>331</v>
      </c>
      <c r="M835" s="380"/>
      <c r="N835" s="334" t="s">
        <v>306</v>
      </c>
      <c r="O835" s="380"/>
      <c r="P835" s="380"/>
      <c r="Q835" s="380"/>
    </row>
    <row r="836" spans="1:17" x14ac:dyDescent="0.2">
      <c r="A836" s="380"/>
      <c r="B836" s="380"/>
      <c r="C836" s="380"/>
      <c r="D836" s="334" t="s">
        <v>115</v>
      </c>
      <c r="E836" s="334" t="s">
        <v>330</v>
      </c>
      <c r="F836" s="412" t="s">
        <v>332</v>
      </c>
      <c r="G836" s="334"/>
      <c r="H836" s="334" t="s">
        <v>333</v>
      </c>
      <c r="I836" s="387"/>
      <c r="J836" s="334" t="s">
        <v>115</v>
      </c>
      <c r="K836" s="334" t="s">
        <v>330</v>
      </c>
      <c r="L836" s="412" t="s">
        <v>332</v>
      </c>
      <c r="M836" s="334"/>
      <c r="N836" s="334" t="s">
        <v>333</v>
      </c>
      <c r="O836" s="380"/>
      <c r="P836" s="380"/>
      <c r="Q836" s="380"/>
    </row>
    <row r="837" spans="1:17" x14ac:dyDescent="0.2">
      <c r="A837" s="334" t="s">
        <v>342</v>
      </c>
      <c r="B837" s="380"/>
      <c r="C837" s="334" t="s">
        <v>342</v>
      </c>
      <c r="D837" s="380"/>
      <c r="E837" s="380"/>
      <c r="F837" s="378"/>
      <c r="G837" s="380"/>
      <c r="H837" s="380"/>
      <c r="I837" s="387"/>
      <c r="J837" s="380"/>
      <c r="K837" s="380"/>
      <c r="L837" s="378"/>
      <c r="M837" s="380"/>
      <c r="N837" s="380"/>
      <c r="O837" s="380"/>
      <c r="P837" s="380"/>
      <c r="Q837" s="380"/>
    </row>
    <row r="838" spans="1:17" x14ac:dyDescent="0.2">
      <c r="A838" s="334" t="s">
        <v>1723</v>
      </c>
      <c r="B838" s="380"/>
      <c r="C838" s="334" t="s">
        <v>1880</v>
      </c>
      <c r="D838" s="334" t="s">
        <v>181</v>
      </c>
      <c r="E838" s="334" t="s">
        <v>181</v>
      </c>
      <c r="F838" s="412" t="s">
        <v>181</v>
      </c>
      <c r="G838" s="334"/>
      <c r="H838" s="380" t="s">
        <v>181</v>
      </c>
      <c r="I838" s="387"/>
      <c r="J838" s="334" t="s">
        <v>181</v>
      </c>
      <c r="K838" s="334" t="s">
        <v>181</v>
      </c>
      <c r="L838" s="412" t="s">
        <v>181</v>
      </c>
      <c r="M838" s="334"/>
      <c r="N838" s="380" t="s">
        <v>181</v>
      </c>
      <c r="O838" s="380"/>
      <c r="P838" s="380"/>
      <c r="Q838" s="380"/>
    </row>
    <row r="839" spans="1:17" x14ac:dyDescent="0.2">
      <c r="A839" s="380"/>
      <c r="B839" s="380"/>
      <c r="C839" s="380"/>
      <c r="D839" s="380"/>
      <c r="E839" s="380"/>
      <c r="F839" s="378"/>
      <c r="G839" s="380"/>
      <c r="H839" s="380"/>
      <c r="I839" s="387"/>
      <c r="J839" s="380"/>
      <c r="K839" s="380"/>
      <c r="L839" s="378"/>
      <c r="M839" s="380"/>
      <c r="N839" s="380"/>
      <c r="O839" s="380"/>
      <c r="P839" s="380"/>
      <c r="Q839" s="380"/>
    </row>
    <row r="840" spans="1:17" x14ac:dyDescent="0.2">
      <c r="A840" s="334" t="s">
        <v>1733</v>
      </c>
      <c r="B840" s="380"/>
      <c r="C840" s="334" t="s">
        <v>27</v>
      </c>
      <c r="D840" s="377"/>
      <c r="E840" s="377"/>
      <c r="F840" s="378"/>
      <c r="G840" s="377"/>
      <c r="H840" s="377"/>
      <c r="I840" s="399"/>
      <c r="J840" s="377"/>
      <c r="K840" s="377"/>
      <c r="L840" s="378"/>
      <c r="M840" s="377"/>
      <c r="N840" s="377"/>
      <c r="O840" s="380"/>
      <c r="P840" s="380"/>
      <c r="Q840" s="380"/>
    </row>
    <row r="841" spans="1:17" x14ac:dyDescent="0.2">
      <c r="A841" s="334" t="s">
        <v>1743</v>
      </c>
      <c r="B841" s="380"/>
      <c r="C841" s="334" t="s">
        <v>1886</v>
      </c>
      <c r="D841" s="377"/>
      <c r="E841" s="377"/>
      <c r="F841" s="378"/>
      <c r="G841" s="377"/>
      <c r="H841" s="377"/>
      <c r="I841" s="399"/>
      <c r="J841" s="377"/>
      <c r="K841" s="377"/>
      <c r="L841" s="378"/>
      <c r="M841" s="377"/>
      <c r="N841" s="377"/>
      <c r="O841" s="380"/>
      <c r="P841" s="380"/>
      <c r="Q841" s="380"/>
    </row>
    <row r="842" spans="1:17" x14ac:dyDescent="0.2">
      <c r="A842" s="334" t="s">
        <v>1569</v>
      </c>
      <c r="B842" s="380"/>
      <c r="C842" s="334" t="s">
        <v>1888</v>
      </c>
      <c r="D842" s="377"/>
      <c r="E842" s="377"/>
      <c r="F842" s="378"/>
      <c r="G842" s="377"/>
      <c r="H842" s="377"/>
      <c r="I842" s="399"/>
      <c r="J842" s="377"/>
      <c r="K842" s="377"/>
      <c r="L842" s="378"/>
      <c r="M842" s="377"/>
      <c r="N842" s="377"/>
      <c r="O842" s="380"/>
      <c r="P842" s="380"/>
      <c r="Q842" s="380"/>
    </row>
    <row r="843" spans="1:17" x14ac:dyDescent="0.2">
      <c r="A843" s="334" t="s">
        <v>1724</v>
      </c>
      <c r="B843" s="380"/>
      <c r="C843" s="334" t="s">
        <v>1881</v>
      </c>
      <c r="D843" s="377"/>
      <c r="E843" s="377"/>
      <c r="F843" s="378"/>
      <c r="G843" s="377"/>
      <c r="H843" s="377">
        <v>200</v>
      </c>
      <c r="I843" s="399"/>
      <c r="J843" s="377"/>
      <c r="K843" s="377"/>
      <c r="L843" s="378"/>
      <c r="M843" s="377"/>
      <c r="N843" s="377">
        <v>100</v>
      </c>
      <c r="O843" s="380"/>
      <c r="P843" s="380"/>
      <c r="Q843" s="380"/>
    </row>
    <row r="844" spans="1:17" x14ac:dyDescent="0.2">
      <c r="A844" s="334" t="s">
        <v>1736</v>
      </c>
      <c r="B844" s="380"/>
      <c r="C844" s="334" t="s">
        <v>1747</v>
      </c>
      <c r="D844" s="377"/>
      <c r="E844" s="377"/>
      <c r="F844" s="378"/>
      <c r="G844" s="377"/>
      <c r="H844" s="377"/>
      <c r="I844" s="399"/>
      <c r="J844" s="377"/>
      <c r="K844" s="377"/>
      <c r="L844" s="378"/>
      <c r="M844" s="377"/>
      <c r="N844" s="377"/>
      <c r="O844" s="380"/>
      <c r="P844" s="380"/>
      <c r="Q844" s="380"/>
    </row>
    <row r="845" spans="1:17" x14ac:dyDescent="0.2">
      <c r="A845" s="334" t="s">
        <v>1744</v>
      </c>
      <c r="B845" s="380"/>
      <c r="C845" s="334" t="s">
        <v>1254</v>
      </c>
      <c r="D845" s="377"/>
      <c r="E845" s="377"/>
      <c r="F845" s="378"/>
      <c r="G845" s="377"/>
      <c r="H845" s="377"/>
      <c r="I845" s="399"/>
      <c r="J845" s="377"/>
      <c r="K845" s="377"/>
      <c r="L845" s="378"/>
      <c r="M845" s="377"/>
      <c r="N845" s="377"/>
      <c r="O845" s="380"/>
      <c r="P845" s="380"/>
      <c r="Q845" s="380"/>
    </row>
    <row r="846" spans="1:17" x14ac:dyDescent="0.2">
      <c r="A846" s="334" t="s">
        <v>1575</v>
      </c>
      <c r="B846" s="380"/>
      <c r="C846" s="334" t="s">
        <v>1889</v>
      </c>
      <c r="D846" s="377"/>
      <c r="E846" s="377"/>
      <c r="F846" s="378"/>
      <c r="G846" s="377"/>
      <c r="H846" s="377"/>
      <c r="I846" s="399"/>
      <c r="J846" s="377"/>
      <c r="K846" s="377"/>
      <c r="L846" s="378"/>
      <c r="M846" s="377"/>
      <c r="N846" s="377"/>
      <c r="O846" s="380"/>
      <c r="P846" s="380"/>
      <c r="Q846" s="380"/>
    </row>
    <row r="847" spans="1:17" x14ac:dyDescent="0.2">
      <c r="A847" s="334" t="s">
        <v>1725</v>
      </c>
      <c r="B847" s="380"/>
      <c r="C847" s="334" t="s">
        <v>1890</v>
      </c>
      <c r="D847" s="377"/>
      <c r="E847" s="377"/>
      <c r="F847" s="378"/>
      <c r="G847" s="377"/>
      <c r="H847" s="377">
        <v>100</v>
      </c>
      <c r="I847" s="399"/>
      <c r="J847" s="377"/>
      <c r="K847" s="377"/>
      <c r="L847" s="378"/>
      <c r="M847" s="377"/>
      <c r="N847" s="377">
        <v>100</v>
      </c>
      <c r="O847" s="380"/>
      <c r="P847" s="380"/>
      <c r="Q847" s="380"/>
    </row>
    <row r="848" spans="1:17" x14ac:dyDescent="0.2">
      <c r="A848" s="334" t="s">
        <v>1565</v>
      </c>
      <c r="B848" s="380"/>
      <c r="C848" s="334" t="s">
        <v>1927</v>
      </c>
      <c r="D848" s="377"/>
      <c r="E848" s="377"/>
      <c r="F848" s="378"/>
      <c r="G848" s="377"/>
      <c r="H848" s="377"/>
      <c r="I848" s="399"/>
      <c r="J848" s="377"/>
      <c r="K848" s="377"/>
      <c r="L848" s="378"/>
      <c r="M848" s="377"/>
      <c r="N848" s="377"/>
      <c r="O848" s="380"/>
      <c r="P848" s="380"/>
      <c r="Q848" s="380"/>
    </row>
    <row r="849" spans="1:17" x14ac:dyDescent="0.2">
      <c r="A849" s="334" t="s">
        <v>1737</v>
      </c>
      <c r="B849" s="380"/>
      <c r="C849" s="334" t="s">
        <v>1928</v>
      </c>
      <c r="D849" s="377"/>
      <c r="E849" s="377"/>
      <c r="F849" s="378"/>
      <c r="G849" s="377"/>
      <c r="H849" s="377">
        <v>600</v>
      </c>
      <c r="I849" s="399"/>
      <c r="J849" s="377"/>
      <c r="K849" s="377"/>
      <c r="L849" s="378"/>
      <c r="M849" s="377"/>
      <c r="N849" s="377">
        <v>125</v>
      </c>
      <c r="O849" s="380"/>
      <c r="P849" s="380"/>
      <c r="Q849" s="380"/>
    </row>
    <row r="850" spans="1:17" x14ac:dyDescent="0.2">
      <c r="A850" s="334" t="s">
        <v>1726</v>
      </c>
      <c r="B850" s="380"/>
      <c r="C850" s="334" t="s">
        <v>1117</v>
      </c>
      <c r="D850" s="377">
        <v>800</v>
      </c>
      <c r="E850" s="377">
        <v>8000</v>
      </c>
      <c r="F850" s="378">
        <v>600</v>
      </c>
      <c r="G850" s="377"/>
      <c r="H850" s="377"/>
      <c r="I850" s="399"/>
      <c r="J850" s="377">
        <v>500</v>
      </c>
      <c r="K850" s="377">
        <v>5000</v>
      </c>
      <c r="L850" s="378">
        <v>400</v>
      </c>
      <c r="M850" s="377"/>
      <c r="N850" s="377"/>
      <c r="O850" s="380"/>
      <c r="P850" s="380"/>
      <c r="Q850" s="380"/>
    </row>
    <row r="851" spans="1:17" x14ac:dyDescent="0.2">
      <c r="A851" s="334" t="s">
        <v>1756</v>
      </c>
      <c r="B851" s="380"/>
      <c r="C851" s="334" t="s">
        <v>3137</v>
      </c>
      <c r="D851" s="377"/>
      <c r="E851" s="377"/>
      <c r="F851" s="378"/>
      <c r="G851" s="377"/>
      <c r="H851" s="377"/>
      <c r="I851" s="399"/>
      <c r="J851" s="377"/>
      <c r="K851" s="377"/>
      <c r="L851" s="378"/>
      <c r="M851" s="377"/>
      <c r="N851" s="377"/>
      <c r="O851" s="380"/>
      <c r="P851" s="380"/>
      <c r="Q851" s="380"/>
    </row>
    <row r="852" spans="1:17" x14ac:dyDescent="0.2">
      <c r="A852" s="334" t="s">
        <v>1751</v>
      </c>
      <c r="B852" s="380"/>
      <c r="C852" s="334" t="s">
        <v>3138</v>
      </c>
      <c r="D852" s="377"/>
      <c r="E852" s="377"/>
      <c r="F852" s="378"/>
      <c r="G852" s="377"/>
      <c r="H852" s="377"/>
      <c r="I852" s="399"/>
      <c r="J852" s="377"/>
      <c r="K852" s="377"/>
      <c r="L852" s="378"/>
      <c r="M852" s="377"/>
      <c r="N852" s="377"/>
      <c r="O852" s="380"/>
      <c r="P852" s="380"/>
      <c r="Q852" s="380"/>
    </row>
    <row r="853" spans="1:17" x14ac:dyDescent="0.2">
      <c r="A853" s="334" t="s">
        <v>1752</v>
      </c>
      <c r="B853" s="380"/>
      <c r="C853" s="334" t="s">
        <v>367</v>
      </c>
      <c r="D853" s="377"/>
      <c r="E853" s="377"/>
      <c r="F853" s="378"/>
      <c r="G853" s="377"/>
      <c r="H853" s="377"/>
      <c r="I853" s="399"/>
      <c r="J853" s="377"/>
      <c r="K853" s="377"/>
      <c r="L853" s="378"/>
      <c r="M853" s="377"/>
      <c r="N853" s="377"/>
      <c r="O853" s="380"/>
      <c r="P853" s="380"/>
      <c r="Q853" s="380"/>
    </row>
    <row r="854" spans="1:17" x14ac:dyDescent="0.2">
      <c r="A854" s="334" t="s">
        <v>1577</v>
      </c>
      <c r="B854" s="380"/>
      <c r="C854" s="334" t="s">
        <v>1815</v>
      </c>
      <c r="D854" s="377"/>
      <c r="E854" s="377"/>
      <c r="F854" s="378"/>
      <c r="G854" s="377"/>
      <c r="H854" s="377"/>
      <c r="I854" s="399"/>
      <c r="J854" s="377"/>
      <c r="K854" s="377"/>
      <c r="L854" s="378"/>
      <c r="M854" s="377"/>
      <c r="N854" s="377"/>
      <c r="O854" s="380"/>
      <c r="P854" s="380"/>
      <c r="Q854" s="380"/>
    </row>
    <row r="855" spans="1:17" x14ac:dyDescent="0.2">
      <c r="A855" s="334" t="s">
        <v>1753</v>
      </c>
      <c r="B855" s="380"/>
      <c r="C855" s="334" t="s">
        <v>1816</v>
      </c>
      <c r="D855" s="377"/>
      <c r="E855" s="377"/>
      <c r="F855" s="378"/>
      <c r="G855" s="377"/>
      <c r="H855" s="377"/>
      <c r="I855" s="399"/>
      <c r="J855" s="377"/>
      <c r="K855" s="377"/>
      <c r="L855" s="378"/>
      <c r="M855" s="377"/>
      <c r="N855" s="377"/>
      <c r="O855" s="380"/>
      <c r="P855" s="380"/>
      <c r="Q855" s="380"/>
    </row>
    <row r="856" spans="1:17" x14ac:dyDescent="0.2">
      <c r="A856" s="334" t="s">
        <v>1734</v>
      </c>
      <c r="B856" s="380"/>
      <c r="C856" s="334" t="s">
        <v>1746</v>
      </c>
      <c r="D856" s="377"/>
      <c r="E856" s="377"/>
      <c r="F856" s="378"/>
      <c r="G856" s="377"/>
      <c r="H856" s="377"/>
      <c r="I856" s="399"/>
      <c r="J856" s="377"/>
      <c r="K856" s="377"/>
      <c r="L856" s="378"/>
      <c r="M856" s="377"/>
      <c r="N856" s="377"/>
      <c r="O856" s="380"/>
      <c r="P856" s="380"/>
      <c r="Q856" s="380"/>
    </row>
    <row r="857" spans="1:17" x14ac:dyDescent="0.2">
      <c r="A857" s="334" t="s">
        <v>1571</v>
      </c>
      <c r="B857" s="380"/>
      <c r="C857" s="334" t="s">
        <v>3</v>
      </c>
      <c r="D857" s="377"/>
      <c r="E857" s="377"/>
      <c r="F857" s="378"/>
      <c r="G857" s="377"/>
      <c r="H857" s="377"/>
      <c r="I857" s="399"/>
      <c r="J857" s="377"/>
      <c r="K857" s="377"/>
      <c r="L857" s="378"/>
      <c r="M857" s="377"/>
      <c r="N857" s="377"/>
      <c r="O857" s="380"/>
      <c r="P857" s="380"/>
      <c r="Q857" s="380"/>
    </row>
    <row r="858" spans="1:17" x14ac:dyDescent="0.2">
      <c r="A858" s="334" t="s">
        <v>1738</v>
      </c>
      <c r="B858" s="380"/>
      <c r="C858" s="334" t="s">
        <v>1591</v>
      </c>
      <c r="D858" s="377"/>
      <c r="E858" s="377"/>
      <c r="F858" s="378"/>
      <c r="G858" s="377"/>
      <c r="H858" s="377">
        <v>50</v>
      </c>
      <c r="I858" s="399"/>
      <c r="J858" s="377"/>
      <c r="K858" s="377"/>
      <c r="L858" s="378"/>
      <c r="M858" s="377"/>
      <c r="N858" s="377">
        <v>25</v>
      </c>
      <c r="O858" s="380"/>
      <c r="P858" s="380"/>
      <c r="Q858" s="380"/>
    </row>
    <row r="859" spans="1:17" x14ac:dyDescent="0.2">
      <c r="A859" s="334" t="s">
        <v>1727</v>
      </c>
      <c r="B859" s="380"/>
      <c r="C859" s="334" t="s">
        <v>307</v>
      </c>
      <c r="D859" s="377"/>
      <c r="E859" s="377"/>
      <c r="F859" s="378"/>
      <c r="G859" s="377"/>
      <c r="H859" s="377"/>
      <c r="I859" s="399"/>
      <c r="J859" s="377"/>
      <c r="K859" s="377"/>
      <c r="L859" s="378"/>
      <c r="M859" s="377"/>
      <c r="N859" s="377"/>
      <c r="O859" s="380"/>
      <c r="P859" s="380"/>
      <c r="Q859" s="380"/>
    </row>
    <row r="860" spans="1:17" x14ac:dyDescent="0.2">
      <c r="A860" s="334" t="s">
        <v>1728</v>
      </c>
      <c r="B860" s="380"/>
      <c r="C860" s="334" t="s">
        <v>310</v>
      </c>
      <c r="D860" s="377"/>
      <c r="E860" s="377"/>
      <c r="F860" s="378"/>
      <c r="G860" s="377"/>
      <c r="H860" s="377">
        <v>100</v>
      </c>
      <c r="I860" s="399"/>
      <c r="J860" s="377"/>
      <c r="K860" s="377"/>
      <c r="L860" s="378"/>
      <c r="M860" s="377"/>
      <c r="N860" s="377">
        <v>50</v>
      </c>
      <c r="O860" s="380"/>
      <c r="P860" s="380"/>
      <c r="Q860" s="380"/>
    </row>
    <row r="861" spans="1:17" x14ac:dyDescent="0.2">
      <c r="A861" s="334" t="s">
        <v>1729</v>
      </c>
      <c r="B861" s="380"/>
      <c r="C861" s="380" t="s">
        <v>1551</v>
      </c>
      <c r="D861" s="377">
        <v>-800</v>
      </c>
      <c r="E861" s="377"/>
      <c r="F861" s="378">
        <v>-600</v>
      </c>
      <c r="G861" s="377"/>
      <c r="H861" s="377">
        <v>-1150</v>
      </c>
      <c r="I861" s="399"/>
      <c r="J861" s="377"/>
      <c r="K861" s="377"/>
      <c r="L861" s="378"/>
      <c r="M861" s="377"/>
      <c r="N861" s="377">
        <v>25</v>
      </c>
      <c r="O861" s="380"/>
      <c r="P861" s="380"/>
      <c r="Q861" s="380"/>
    </row>
    <row r="862" spans="1:17" x14ac:dyDescent="0.2">
      <c r="A862" s="334" t="s">
        <v>1735</v>
      </c>
      <c r="B862" s="380"/>
      <c r="C862" s="380" t="s">
        <v>194</v>
      </c>
      <c r="D862" s="377"/>
      <c r="E862" s="377"/>
      <c r="F862" s="378"/>
      <c r="G862" s="377"/>
      <c r="H862" s="377"/>
      <c r="I862" s="399"/>
      <c r="J862" s="377"/>
      <c r="K862" s="377"/>
      <c r="L862" s="378"/>
      <c r="M862" s="377"/>
      <c r="N862" s="377">
        <v>25</v>
      </c>
      <c r="O862" s="380"/>
      <c r="P862" s="380"/>
      <c r="Q862" s="380"/>
    </row>
    <row r="863" spans="1:17" x14ac:dyDescent="0.2">
      <c r="A863" s="334" t="s">
        <v>1741</v>
      </c>
      <c r="B863" s="380"/>
      <c r="C863" s="334" t="s">
        <v>1748</v>
      </c>
      <c r="D863" s="377"/>
      <c r="E863" s="377"/>
      <c r="F863" s="378"/>
      <c r="G863" s="377"/>
      <c r="H863" s="377"/>
      <c r="I863" s="399"/>
      <c r="J863" s="377"/>
      <c r="K863" s="377"/>
      <c r="L863" s="378"/>
      <c r="M863" s="377"/>
      <c r="N863" s="377"/>
      <c r="O863" s="380"/>
      <c r="P863" s="380"/>
      <c r="Q863" s="380"/>
    </row>
    <row r="864" spans="1:17" x14ac:dyDescent="0.2">
      <c r="A864" s="334" t="s">
        <v>1742</v>
      </c>
      <c r="B864" s="380"/>
      <c r="C864" s="334" t="s">
        <v>1553</v>
      </c>
      <c r="D864" s="377"/>
      <c r="E864" s="377"/>
      <c r="F864" s="378"/>
      <c r="G864" s="377"/>
      <c r="H864" s="377"/>
      <c r="I864" s="399"/>
      <c r="J864" s="377"/>
      <c r="K864" s="377"/>
      <c r="L864" s="378"/>
      <c r="M864" s="377"/>
      <c r="N864" s="377"/>
      <c r="O864" s="380"/>
      <c r="P864" s="380"/>
      <c r="Q864" s="380"/>
    </row>
    <row r="865" spans="1:17" x14ac:dyDescent="0.2">
      <c r="A865" s="334" t="s">
        <v>1754</v>
      </c>
      <c r="B865" s="380"/>
      <c r="C865" s="334" t="s">
        <v>1929</v>
      </c>
      <c r="D865" s="377"/>
      <c r="E865" s="377"/>
      <c r="F865" s="378"/>
      <c r="G865" s="377"/>
      <c r="H865" s="377"/>
      <c r="I865" s="399"/>
      <c r="J865" s="377"/>
      <c r="K865" s="377"/>
      <c r="L865" s="378"/>
      <c r="M865" s="377"/>
      <c r="N865" s="377"/>
      <c r="O865" s="380"/>
      <c r="P865" s="380"/>
      <c r="Q865" s="380"/>
    </row>
    <row r="866" spans="1:17" x14ac:dyDescent="0.2">
      <c r="A866" s="334" t="s">
        <v>1584</v>
      </c>
      <c r="B866" s="380"/>
      <c r="C866" s="334" t="s">
        <v>0</v>
      </c>
      <c r="D866" s="377"/>
      <c r="E866" s="377"/>
      <c r="F866" s="378"/>
      <c r="G866" s="377"/>
      <c r="H866" s="377"/>
      <c r="I866" s="399"/>
      <c r="J866" s="377"/>
      <c r="K866" s="377"/>
      <c r="L866" s="378"/>
      <c r="M866" s="377"/>
      <c r="N866" s="377"/>
      <c r="O866" s="380"/>
      <c r="P866" s="380"/>
      <c r="Q866" s="380"/>
    </row>
    <row r="867" spans="1:17" x14ac:dyDescent="0.2">
      <c r="A867" s="334" t="s">
        <v>1580</v>
      </c>
      <c r="B867" s="380"/>
      <c r="C867" s="334" t="s">
        <v>1936</v>
      </c>
      <c r="D867" s="377"/>
      <c r="E867" s="377"/>
      <c r="F867" s="378"/>
      <c r="G867" s="377"/>
      <c r="H867" s="377"/>
      <c r="I867" s="399"/>
      <c r="J867" s="377"/>
      <c r="K867" s="377"/>
      <c r="L867" s="378"/>
      <c r="M867" s="377"/>
      <c r="N867" s="377"/>
      <c r="O867" s="380"/>
      <c r="P867" s="380"/>
      <c r="Q867" s="380"/>
    </row>
    <row r="868" spans="1:17" x14ac:dyDescent="0.2">
      <c r="A868" s="334" t="s">
        <v>1572</v>
      </c>
      <c r="B868" s="380"/>
      <c r="C868" s="334" t="s">
        <v>3134</v>
      </c>
      <c r="D868" s="377"/>
      <c r="E868" s="377"/>
      <c r="F868" s="378"/>
      <c r="G868" s="377"/>
      <c r="H868" s="377"/>
      <c r="I868" s="399"/>
      <c r="J868" s="377"/>
      <c r="K868" s="377"/>
      <c r="L868" s="378"/>
      <c r="M868" s="377"/>
      <c r="N868" s="377"/>
      <c r="O868" s="380"/>
      <c r="P868" s="380"/>
      <c r="Q868" s="380"/>
    </row>
    <row r="869" spans="1:17" x14ac:dyDescent="0.2">
      <c r="A869" s="334" t="s">
        <v>1730</v>
      </c>
      <c r="B869" s="380"/>
      <c r="C869" s="334" t="s">
        <v>1985</v>
      </c>
      <c r="D869" s="377"/>
      <c r="E869" s="377"/>
      <c r="F869" s="378"/>
      <c r="G869" s="377"/>
      <c r="H869" s="377">
        <v>100</v>
      </c>
      <c r="I869" s="399"/>
      <c r="J869" s="377"/>
      <c r="K869" s="377"/>
      <c r="L869" s="378"/>
      <c r="M869" s="377"/>
      <c r="N869" s="377">
        <v>100</v>
      </c>
      <c r="O869" s="380"/>
      <c r="P869" s="380"/>
      <c r="Q869" s="380"/>
    </row>
    <row r="870" spans="1:17" x14ac:dyDescent="0.2">
      <c r="A870" s="334" t="s">
        <v>1566</v>
      </c>
      <c r="B870" s="380"/>
      <c r="C870" s="334" t="s">
        <v>366</v>
      </c>
      <c r="D870" s="377"/>
      <c r="E870" s="377"/>
      <c r="F870" s="378"/>
      <c r="G870" s="377"/>
      <c r="H870" s="377"/>
      <c r="I870" s="399"/>
      <c r="J870" s="377"/>
      <c r="K870" s="377"/>
      <c r="L870" s="378"/>
      <c r="M870" s="377"/>
      <c r="N870" s="377"/>
      <c r="O870" s="380"/>
      <c r="P870" s="380"/>
      <c r="Q870" s="380"/>
    </row>
    <row r="871" spans="1:17" x14ac:dyDescent="0.2">
      <c r="A871" s="334" t="s">
        <v>1755</v>
      </c>
      <c r="B871" s="380"/>
      <c r="C871" s="380" t="s">
        <v>1986</v>
      </c>
      <c r="D871" s="377"/>
      <c r="E871" s="377"/>
      <c r="F871" s="378"/>
      <c r="G871" s="377"/>
      <c r="H871" s="377"/>
      <c r="I871" s="399"/>
      <c r="J871" s="377"/>
      <c r="K871" s="377"/>
      <c r="L871" s="378"/>
      <c r="M871" s="377"/>
      <c r="N871" s="377"/>
      <c r="O871" s="380"/>
      <c r="P871" s="380"/>
      <c r="Q871" s="380"/>
    </row>
    <row r="872" spans="1:17" x14ac:dyDescent="0.2">
      <c r="A872" s="334" t="s">
        <v>1567</v>
      </c>
      <c r="B872" s="380"/>
      <c r="C872" s="334" t="s">
        <v>3142</v>
      </c>
      <c r="D872" s="377"/>
      <c r="E872" s="377"/>
      <c r="F872" s="378"/>
      <c r="G872" s="377"/>
      <c r="H872" s="377"/>
      <c r="I872" s="399"/>
      <c r="J872" s="377"/>
      <c r="K872" s="377"/>
      <c r="L872" s="378"/>
      <c r="M872" s="377"/>
      <c r="N872" s="377"/>
      <c r="O872" s="380"/>
      <c r="P872" s="380"/>
      <c r="Q872" s="380"/>
    </row>
    <row r="873" spans="1:17" x14ac:dyDescent="0.2">
      <c r="A873" s="334"/>
      <c r="B873" s="334"/>
      <c r="C873" s="334"/>
      <c r="D873" s="394"/>
      <c r="E873" s="394"/>
      <c r="F873" s="413"/>
      <c r="G873" s="394"/>
      <c r="H873" s="394"/>
      <c r="I873" s="387"/>
      <c r="J873" s="394"/>
      <c r="K873" s="394"/>
      <c r="L873" s="413"/>
      <c r="M873" s="394"/>
      <c r="N873" s="394"/>
      <c r="O873" s="380"/>
      <c r="P873" s="380"/>
      <c r="Q873" s="380"/>
    </row>
    <row r="874" spans="1:17" ht="15.75" thickBot="1" x14ac:dyDescent="0.25">
      <c r="A874" s="334"/>
      <c r="B874" s="334"/>
      <c r="C874" s="334"/>
      <c r="D874" s="411">
        <f>SUM(D840:D872)</f>
        <v>0</v>
      </c>
      <c r="E874" s="411">
        <f>SUM(E840:E872)</f>
        <v>8000</v>
      </c>
      <c r="F874" s="414">
        <f>SUM(F840:F872)</f>
        <v>0</v>
      </c>
      <c r="G874" s="411"/>
      <c r="H874" s="411">
        <f>SUM(H840:H872)</f>
        <v>0</v>
      </c>
      <c r="I874" s="387"/>
      <c r="J874" s="411">
        <f>SUM(J840:J872)</f>
        <v>500</v>
      </c>
      <c r="K874" s="411">
        <f>SUM(K840:K872)</f>
        <v>5000</v>
      </c>
      <c r="L874" s="414">
        <f>SUM(L840:L872)</f>
        <v>400</v>
      </c>
      <c r="M874" s="411"/>
      <c r="N874" s="411">
        <f>SUM(N840:N872)</f>
        <v>550</v>
      </c>
      <c r="O874" s="380"/>
      <c r="P874" s="380"/>
      <c r="Q874" s="380"/>
    </row>
    <row r="875" spans="1:17" x14ac:dyDescent="0.2">
      <c r="A875" s="334"/>
      <c r="B875" s="334"/>
      <c r="C875" s="334"/>
      <c r="D875" s="334"/>
      <c r="E875" s="377"/>
      <c r="F875" s="378"/>
      <c r="G875" s="377"/>
      <c r="H875" s="377"/>
      <c r="I875" s="387"/>
      <c r="J875" s="334"/>
      <c r="K875" s="377"/>
      <c r="L875" s="378"/>
      <c r="M875" s="377"/>
      <c r="N875" s="377"/>
      <c r="O875" s="380"/>
      <c r="P875" s="380"/>
      <c r="Q875" s="380"/>
    </row>
    <row r="876" spans="1:17" ht="15.75" x14ac:dyDescent="0.25">
      <c r="A876" s="334"/>
      <c r="B876" s="334"/>
      <c r="C876" s="334"/>
      <c r="D876" s="334"/>
      <c r="E876" s="377"/>
      <c r="F876" s="378"/>
      <c r="G876" s="377"/>
      <c r="H876" s="377"/>
      <c r="I876" s="397"/>
      <c r="J876" s="334"/>
      <c r="K876" s="377"/>
      <c r="L876" s="378"/>
      <c r="M876" s="377"/>
      <c r="N876" s="377"/>
      <c r="O876" s="380"/>
      <c r="P876" s="380"/>
      <c r="Q876" s="380"/>
    </row>
    <row r="877" spans="1:17" x14ac:dyDescent="0.2">
      <c r="A877" s="334"/>
      <c r="B877" s="334"/>
      <c r="C877" s="334"/>
      <c r="D877" s="334"/>
      <c r="E877" s="377"/>
      <c r="F877" s="378"/>
      <c r="G877" s="377"/>
      <c r="H877" s="377"/>
      <c r="I877" s="387"/>
      <c r="J877" s="334"/>
      <c r="K877" s="377"/>
      <c r="L877" s="378"/>
      <c r="M877" s="377"/>
      <c r="N877" s="377"/>
      <c r="O877" s="380"/>
      <c r="P877" s="380"/>
      <c r="Q877" s="380"/>
    </row>
    <row r="878" spans="1:17" x14ac:dyDescent="0.2">
      <c r="A878" s="334" t="s">
        <v>539</v>
      </c>
      <c r="B878" s="380"/>
      <c r="C878" s="380"/>
      <c r="D878" s="334" t="s">
        <v>1501</v>
      </c>
      <c r="E878" s="334" t="s">
        <v>1502</v>
      </c>
      <c r="F878" s="412" t="s">
        <v>1503</v>
      </c>
      <c r="G878" s="334"/>
      <c r="H878" s="334" t="s">
        <v>1504</v>
      </c>
      <c r="I878" s="387"/>
      <c r="J878" s="334" t="s">
        <v>1501</v>
      </c>
      <c r="K878" s="334" t="s">
        <v>1502</v>
      </c>
      <c r="L878" s="412" t="s">
        <v>1503</v>
      </c>
      <c r="M878" s="334"/>
      <c r="N878" s="334" t="s">
        <v>1504</v>
      </c>
      <c r="O878" s="380"/>
      <c r="P878" s="380"/>
      <c r="Q878" s="380"/>
    </row>
    <row r="879" spans="1:17" x14ac:dyDescent="0.2">
      <c r="A879" s="380"/>
      <c r="B879" s="380"/>
      <c r="C879" s="384" t="s">
        <v>436</v>
      </c>
      <c r="D879" s="380" t="s">
        <v>698</v>
      </c>
      <c r="E879" s="380" t="s">
        <v>1715</v>
      </c>
      <c r="F879" s="378" t="s">
        <v>196</v>
      </c>
      <c r="G879" s="380"/>
      <c r="H879" s="380" t="s">
        <v>1717</v>
      </c>
      <c r="I879" s="387"/>
      <c r="J879" s="380" t="s">
        <v>698</v>
      </c>
      <c r="K879" s="380" t="s">
        <v>1715</v>
      </c>
      <c r="L879" s="378" t="s">
        <v>196</v>
      </c>
      <c r="M879" s="380"/>
      <c r="N879" s="380" t="s">
        <v>1717</v>
      </c>
      <c r="O879" s="380"/>
      <c r="P879" s="380"/>
      <c r="Q879" s="380"/>
    </row>
    <row r="880" spans="1:17" x14ac:dyDescent="0.2">
      <c r="A880" s="380"/>
      <c r="B880" s="380"/>
      <c r="C880" s="380"/>
      <c r="D880" s="384" t="s">
        <v>1075</v>
      </c>
      <c r="E880" s="334" t="s">
        <v>335</v>
      </c>
      <c r="F880" s="412" t="s">
        <v>336</v>
      </c>
      <c r="G880" s="334"/>
      <c r="H880" s="334" t="s">
        <v>337</v>
      </c>
      <c r="I880" s="387"/>
      <c r="J880" s="384" t="s">
        <v>1075</v>
      </c>
      <c r="K880" s="334" t="s">
        <v>335</v>
      </c>
      <c r="L880" s="412" t="s">
        <v>336</v>
      </c>
      <c r="M880" s="334"/>
      <c r="N880" s="334" t="s">
        <v>337</v>
      </c>
      <c r="O880" s="380"/>
      <c r="P880" s="380"/>
      <c r="Q880" s="380"/>
    </row>
    <row r="881" spans="1:17" x14ac:dyDescent="0.2">
      <c r="A881" s="334" t="s">
        <v>342</v>
      </c>
      <c r="B881" s="380"/>
      <c r="C881" s="334" t="s">
        <v>342</v>
      </c>
      <c r="D881" s="380"/>
      <c r="E881" s="380"/>
      <c r="F881" s="378"/>
      <c r="G881" s="380"/>
      <c r="H881" s="380"/>
      <c r="I881" s="387"/>
      <c r="J881" s="380"/>
      <c r="K881" s="380"/>
      <c r="L881" s="378"/>
      <c r="M881" s="380"/>
      <c r="N881" s="380"/>
      <c r="O881" s="380"/>
      <c r="P881" s="380"/>
      <c r="Q881" s="380"/>
    </row>
    <row r="882" spans="1:17" x14ac:dyDescent="0.2">
      <c r="A882" s="334" t="s">
        <v>1723</v>
      </c>
      <c r="B882" s="380"/>
      <c r="C882" s="334" t="s">
        <v>1880</v>
      </c>
      <c r="D882" s="380" t="s">
        <v>181</v>
      </c>
      <c r="E882" s="380" t="s">
        <v>181</v>
      </c>
      <c r="F882" s="378" t="s">
        <v>181</v>
      </c>
      <c r="G882" s="380"/>
      <c r="H882" s="380" t="s">
        <v>181</v>
      </c>
      <c r="I882" s="387"/>
      <c r="J882" s="380" t="s">
        <v>181</v>
      </c>
      <c r="K882" s="380" t="s">
        <v>181</v>
      </c>
      <c r="L882" s="378" t="s">
        <v>181</v>
      </c>
      <c r="M882" s="380"/>
      <c r="N882" s="380" t="s">
        <v>181</v>
      </c>
      <c r="O882" s="380"/>
      <c r="P882" s="380"/>
      <c r="Q882" s="380"/>
    </row>
    <row r="883" spans="1:17" x14ac:dyDescent="0.2">
      <c r="A883" s="380"/>
      <c r="B883" s="380"/>
      <c r="C883" s="380"/>
      <c r="D883" s="380"/>
      <c r="E883" s="380"/>
      <c r="F883" s="378"/>
      <c r="G883" s="380"/>
      <c r="H883" s="380"/>
      <c r="I883" s="387"/>
      <c r="J883" s="380"/>
      <c r="K883" s="380"/>
      <c r="L883" s="378"/>
      <c r="M883" s="380"/>
      <c r="N883" s="380"/>
      <c r="O883" s="380"/>
      <c r="P883" s="380"/>
      <c r="Q883" s="380"/>
    </row>
    <row r="884" spans="1:17" x14ac:dyDescent="0.2">
      <c r="A884" s="334" t="s">
        <v>1733</v>
      </c>
      <c r="B884" s="380"/>
      <c r="C884" s="334" t="s">
        <v>27</v>
      </c>
      <c r="D884" s="388"/>
      <c r="E884" s="377"/>
      <c r="F884" s="378"/>
      <c r="G884" s="377"/>
      <c r="H884" s="377"/>
      <c r="I884" s="420"/>
      <c r="J884" s="388"/>
      <c r="K884" s="377"/>
      <c r="L884" s="378"/>
      <c r="M884" s="377"/>
      <c r="N884" s="377"/>
      <c r="O884" s="380"/>
      <c r="P884" s="380"/>
      <c r="Q884" s="380"/>
    </row>
    <row r="885" spans="1:17" x14ac:dyDescent="0.2">
      <c r="A885" s="334" t="s">
        <v>1743</v>
      </c>
      <c r="B885" s="380"/>
      <c r="C885" s="334" t="s">
        <v>1886</v>
      </c>
      <c r="D885" s="377"/>
      <c r="E885" s="377"/>
      <c r="F885" s="378"/>
      <c r="G885" s="377"/>
      <c r="H885" s="377"/>
      <c r="I885" s="399"/>
      <c r="J885" s="377"/>
      <c r="K885" s="377"/>
      <c r="L885" s="378"/>
      <c r="M885" s="377"/>
      <c r="N885" s="377"/>
      <c r="O885" s="380"/>
      <c r="P885" s="380"/>
      <c r="Q885" s="380"/>
    </row>
    <row r="886" spans="1:17" x14ac:dyDescent="0.2">
      <c r="A886" s="334" t="s">
        <v>1569</v>
      </c>
      <c r="B886" s="380"/>
      <c r="C886" s="334" t="s">
        <v>1888</v>
      </c>
      <c r="D886" s="377"/>
      <c r="E886" s="377"/>
      <c r="F886" s="378"/>
      <c r="G886" s="377"/>
      <c r="H886" s="377"/>
      <c r="I886" s="399"/>
      <c r="J886" s="377"/>
      <c r="K886" s="377"/>
      <c r="L886" s="378"/>
      <c r="M886" s="377"/>
      <c r="N886" s="377"/>
      <c r="O886" s="380"/>
      <c r="P886" s="380"/>
      <c r="Q886" s="380"/>
    </row>
    <row r="887" spans="1:17" x14ac:dyDescent="0.2">
      <c r="A887" s="334" t="s">
        <v>1724</v>
      </c>
      <c r="B887" s="380"/>
      <c r="C887" s="334" t="s">
        <v>1881</v>
      </c>
      <c r="D887" s="377"/>
      <c r="E887" s="377"/>
      <c r="F887" s="378">
        <v>1000</v>
      </c>
      <c r="G887" s="377"/>
      <c r="H887" s="377"/>
      <c r="I887" s="399"/>
      <c r="J887" s="377">
        <v>0</v>
      </c>
      <c r="K887" s="377">
        <v>0</v>
      </c>
      <c r="L887" s="378">
        <v>1000</v>
      </c>
      <c r="M887" s="377"/>
      <c r="N887" s="377">
        <v>0</v>
      </c>
      <c r="O887" s="380"/>
      <c r="P887" s="380"/>
      <c r="Q887" s="380"/>
    </row>
    <row r="888" spans="1:17" x14ac:dyDescent="0.2">
      <c r="A888" s="334" t="s">
        <v>1736</v>
      </c>
      <c r="B888" s="380"/>
      <c r="C888" s="334" t="s">
        <v>1747</v>
      </c>
      <c r="D888" s="377"/>
      <c r="E888" s="377"/>
      <c r="F888" s="378"/>
      <c r="G888" s="377"/>
      <c r="H888" s="377"/>
      <c r="I888" s="399"/>
      <c r="J888" s="377"/>
      <c r="K888" s="377"/>
      <c r="L888" s="378"/>
      <c r="M888" s="377"/>
      <c r="N888" s="377"/>
      <c r="O888" s="380"/>
      <c r="P888" s="380"/>
      <c r="Q888" s="380"/>
    </row>
    <row r="889" spans="1:17" x14ac:dyDescent="0.2">
      <c r="A889" s="334" t="s">
        <v>1744</v>
      </c>
      <c r="B889" s="380"/>
      <c r="C889" s="334" t="s">
        <v>1254</v>
      </c>
      <c r="D889" s="377"/>
      <c r="E889" s="377"/>
      <c r="F889" s="378"/>
      <c r="G889" s="377"/>
      <c r="H889" s="377"/>
      <c r="I889" s="399"/>
      <c r="J889" s="377"/>
      <c r="K889" s="377"/>
      <c r="L889" s="378"/>
      <c r="M889" s="377"/>
      <c r="N889" s="377"/>
      <c r="O889" s="380"/>
      <c r="P889" s="380"/>
      <c r="Q889" s="380"/>
    </row>
    <row r="890" spans="1:17" x14ac:dyDescent="0.2">
      <c r="A890" s="334" t="s">
        <v>1575</v>
      </c>
      <c r="B890" s="380"/>
      <c r="C890" s="334" t="s">
        <v>1889</v>
      </c>
      <c r="D890" s="377"/>
      <c r="E890" s="377"/>
      <c r="F890" s="378"/>
      <c r="G890" s="377"/>
      <c r="H890" s="377"/>
      <c r="I890" s="399"/>
      <c r="J890" s="377"/>
      <c r="K890" s="377"/>
      <c r="L890" s="378"/>
      <c r="M890" s="377"/>
      <c r="N890" s="377"/>
      <c r="O890" s="380"/>
      <c r="P890" s="380"/>
      <c r="Q890" s="380"/>
    </row>
    <row r="891" spans="1:17" x14ac:dyDescent="0.2">
      <c r="A891" s="334" t="s">
        <v>1725</v>
      </c>
      <c r="B891" s="380"/>
      <c r="C891" s="334" t="s">
        <v>1890</v>
      </c>
      <c r="D891" s="377"/>
      <c r="E891" s="377"/>
      <c r="F891" s="378"/>
      <c r="G891" s="377"/>
      <c r="H891" s="377"/>
      <c r="I891" s="399"/>
      <c r="J891" s="377"/>
      <c r="K891" s="377"/>
      <c r="L891" s="378"/>
      <c r="M891" s="377"/>
      <c r="N891" s="377"/>
      <c r="O891" s="380"/>
      <c r="P891" s="380"/>
      <c r="Q891" s="380"/>
    </row>
    <row r="892" spans="1:17" x14ac:dyDescent="0.2">
      <c r="A892" s="334" t="s">
        <v>1565</v>
      </c>
      <c r="B892" s="380"/>
      <c r="C892" s="334" t="s">
        <v>1927</v>
      </c>
      <c r="D892" s="377"/>
      <c r="E892" s="377"/>
      <c r="F892" s="378"/>
      <c r="G892" s="377"/>
      <c r="H892" s="377"/>
      <c r="I892" s="399"/>
      <c r="J892" s="377"/>
      <c r="K892" s="377"/>
      <c r="L892" s="378"/>
      <c r="M892" s="377"/>
      <c r="N892" s="377"/>
      <c r="O892" s="380"/>
      <c r="P892" s="380"/>
      <c r="Q892" s="380"/>
    </row>
    <row r="893" spans="1:17" x14ac:dyDescent="0.2">
      <c r="A893" s="334" t="s">
        <v>1737</v>
      </c>
      <c r="B893" s="380"/>
      <c r="C893" s="334" t="s">
        <v>1928</v>
      </c>
      <c r="D893" s="377"/>
      <c r="E893" s="377"/>
      <c r="F893" s="378"/>
      <c r="G893" s="377"/>
      <c r="H893" s="377"/>
      <c r="I893" s="399"/>
      <c r="J893" s="377"/>
      <c r="K893" s="377"/>
      <c r="L893" s="378"/>
      <c r="M893" s="377"/>
      <c r="N893" s="377"/>
      <c r="O893" s="380"/>
      <c r="P893" s="380"/>
      <c r="Q893" s="380"/>
    </row>
    <row r="894" spans="1:17" x14ac:dyDescent="0.2">
      <c r="A894" s="334" t="s">
        <v>1726</v>
      </c>
      <c r="B894" s="380"/>
      <c r="C894" s="334" t="s">
        <v>1117</v>
      </c>
      <c r="D894" s="377"/>
      <c r="E894" s="377"/>
      <c r="F894" s="378"/>
      <c r="G894" s="377"/>
      <c r="H894" s="377"/>
      <c r="I894" s="399"/>
      <c r="J894" s="377"/>
      <c r="K894" s="377"/>
      <c r="L894" s="378"/>
      <c r="M894" s="377"/>
      <c r="N894" s="377"/>
      <c r="O894" s="380"/>
      <c r="P894" s="380"/>
      <c r="Q894" s="380"/>
    </row>
    <row r="895" spans="1:17" x14ac:dyDescent="0.2">
      <c r="A895" s="334" t="s">
        <v>1756</v>
      </c>
      <c r="B895" s="380"/>
      <c r="C895" s="334" t="s">
        <v>3137</v>
      </c>
      <c r="D895" s="377"/>
      <c r="E895" s="377"/>
      <c r="F895" s="378"/>
      <c r="G895" s="377"/>
      <c r="H895" s="377"/>
      <c r="I895" s="399"/>
      <c r="J895" s="377"/>
      <c r="K895" s="377"/>
      <c r="L895" s="378"/>
      <c r="M895" s="377"/>
      <c r="N895" s="377"/>
      <c r="O895" s="380"/>
      <c r="P895" s="380"/>
      <c r="Q895" s="380"/>
    </row>
    <row r="896" spans="1:17" x14ac:dyDescent="0.2">
      <c r="A896" s="334" t="s">
        <v>1751</v>
      </c>
      <c r="B896" s="380"/>
      <c r="C896" s="334" t="s">
        <v>3138</v>
      </c>
      <c r="D896" s="377"/>
      <c r="E896" s="377"/>
      <c r="F896" s="378"/>
      <c r="G896" s="377"/>
      <c r="H896" s="377"/>
      <c r="I896" s="399"/>
      <c r="J896" s="377"/>
      <c r="K896" s="377"/>
      <c r="L896" s="378"/>
      <c r="M896" s="377"/>
      <c r="N896" s="377"/>
      <c r="O896" s="380"/>
      <c r="P896" s="380"/>
      <c r="Q896" s="380"/>
    </row>
    <row r="897" spans="1:17" x14ac:dyDescent="0.2">
      <c r="A897" s="334" t="s">
        <v>1752</v>
      </c>
      <c r="B897" s="380"/>
      <c r="C897" s="334" t="s">
        <v>367</v>
      </c>
      <c r="D897" s="377"/>
      <c r="E897" s="377"/>
      <c r="F897" s="378"/>
      <c r="G897" s="377"/>
      <c r="H897" s="377"/>
      <c r="I897" s="399"/>
      <c r="J897" s="377"/>
      <c r="K897" s="377"/>
      <c r="L897" s="378"/>
      <c r="M897" s="377"/>
      <c r="N897" s="377"/>
      <c r="O897" s="380"/>
      <c r="P897" s="380"/>
      <c r="Q897" s="380"/>
    </row>
    <row r="898" spans="1:17" x14ac:dyDescent="0.2">
      <c r="A898" s="334" t="s">
        <v>1577</v>
      </c>
      <c r="B898" s="380"/>
      <c r="C898" s="334" t="s">
        <v>1815</v>
      </c>
      <c r="D898" s="377"/>
      <c r="E898" s="377"/>
      <c r="F898" s="378"/>
      <c r="G898" s="377"/>
      <c r="H898" s="377"/>
      <c r="I898" s="399"/>
      <c r="J898" s="377"/>
      <c r="K898" s="377"/>
      <c r="L898" s="378"/>
      <c r="M898" s="377"/>
      <c r="N898" s="377"/>
      <c r="O898" s="380"/>
      <c r="P898" s="380"/>
      <c r="Q898" s="380"/>
    </row>
    <row r="899" spans="1:17" x14ac:dyDescent="0.2">
      <c r="A899" s="334" t="s">
        <v>1753</v>
      </c>
      <c r="B899" s="380"/>
      <c r="C899" s="334" t="s">
        <v>1816</v>
      </c>
      <c r="D899" s="377"/>
      <c r="E899" s="377"/>
      <c r="F899" s="378"/>
      <c r="G899" s="377"/>
      <c r="H899" s="377"/>
      <c r="I899" s="399"/>
      <c r="J899" s="377"/>
      <c r="K899" s="377"/>
      <c r="L899" s="378"/>
      <c r="M899" s="377"/>
      <c r="N899" s="377"/>
      <c r="O899" s="380"/>
      <c r="P899" s="380"/>
      <c r="Q899" s="380"/>
    </row>
    <row r="900" spans="1:17" x14ac:dyDescent="0.2">
      <c r="A900" s="334" t="s">
        <v>1734</v>
      </c>
      <c r="B900" s="380"/>
      <c r="C900" s="334" t="s">
        <v>1746</v>
      </c>
      <c r="D900" s="377"/>
      <c r="E900" s="377"/>
      <c r="F900" s="378"/>
      <c r="G900" s="377"/>
      <c r="H900" s="377"/>
      <c r="I900" s="399"/>
      <c r="J900" s="377"/>
      <c r="K900" s="377"/>
      <c r="L900" s="378"/>
      <c r="M900" s="377"/>
      <c r="N900" s="377"/>
      <c r="O900" s="380"/>
      <c r="P900" s="380"/>
      <c r="Q900" s="380"/>
    </row>
    <row r="901" spans="1:17" x14ac:dyDescent="0.2">
      <c r="A901" s="334" t="s">
        <v>1571</v>
      </c>
      <c r="B901" s="380"/>
      <c r="C901" s="334" t="s">
        <v>3</v>
      </c>
      <c r="D901" s="377"/>
      <c r="E901" s="377"/>
      <c r="F901" s="378"/>
      <c r="G901" s="377"/>
      <c r="H901" s="377"/>
      <c r="I901" s="399"/>
      <c r="J901" s="377"/>
      <c r="K901" s="377"/>
      <c r="L901" s="378"/>
      <c r="M901" s="377"/>
      <c r="N901" s="377"/>
      <c r="O901" s="380"/>
      <c r="P901" s="380"/>
      <c r="Q901" s="380"/>
    </row>
    <row r="902" spans="1:17" x14ac:dyDescent="0.2">
      <c r="A902" s="334" t="s">
        <v>1738</v>
      </c>
      <c r="B902" s="380"/>
      <c r="C902" s="334" t="s">
        <v>1591</v>
      </c>
      <c r="D902" s="377"/>
      <c r="E902" s="377"/>
      <c r="F902" s="378"/>
      <c r="G902" s="377"/>
      <c r="H902" s="377"/>
      <c r="I902" s="399"/>
      <c r="J902" s="377"/>
      <c r="K902" s="377"/>
      <c r="L902" s="378"/>
      <c r="M902" s="377"/>
      <c r="N902" s="377"/>
      <c r="O902" s="380"/>
      <c r="P902" s="380"/>
      <c r="Q902" s="380"/>
    </row>
    <row r="903" spans="1:17" x14ac:dyDescent="0.2">
      <c r="A903" s="334" t="s">
        <v>1727</v>
      </c>
      <c r="B903" s="380"/>
      <c r="C903" s="334" t="s">
        <v>307</v>
      </c>
      <c r="D903" s="377"/>
      <c r="E903" s="377"/>
      <c r="F903" s="378"/>
      <c r="G903" s="377"/>
      <c r="H903" s="377"/>
      <c r="I903" s="399"/>
      <c r="J903" s="377"/>
      <c r="K903" s="377"/>
      <c r="L903" s="378"/>
      <c r="M903" s="377"/>
      <c r="N903" s="377"/>
      <c r="O903" s="380"/>
      <c r="P903" s="380"/>
      <c r="Q903" s="380"/>
    </row>
    <row r="904" spans="1:17" x14ac:dyDescent="0.2">
      <c r="A904" s="334" t="s">
        <v>1728</v>
      </c>
      <c r="B904" s="380"/>
      <c r="C904" s="334" t="s">
        <v>310</v>
      </c>
      <c r="D904" s="377"/>
      <c r="E904" s="377"/>
      <c r="F904" s="378"/>
      <c r="G904" s="377"/>
      <c r="H904" s="377"/>
      <c r="I904" s="399"/>
      <c r="J904" s="377"/>
      <c r="K904" s="377"/>
      <c r="L904" s="378"/>
      <c r="M904" s="377"/>
      <c r="N904" s="377"/>
      <c r="O904" s="380"/>
      <c r="P904" s="380"/>
      <c r="Q904" s="380"/>
    </row>
    <row r="905" spans="1:17" x14ac:dyDescent="0.2">
      <c r="A905" s="334" t="s">
        <v>1729</v>
      </c>
      <c r="B905" s="380"/>
      <c r="C905" s="380" t="s">
        <v>1551</v>
      </c>
      <c r="D905" s="377"/>
      <c r="E905" s="377"/>
      <c r="F905" s="378"/>
      <c r="G905" s="377"/>
      <c r="H905" s="377"/>
      <c r="I905" s="399"/>
      <c r="J905" s="377"/>
      <c r="K905" s="377"/>
      <c r="L905" s="378"/>
      <c r="M905" s="377"/>
      <c r="N905" s="377"/>
      <c r="O905" s="380"/>
      <c r="P905" s="380"/>
      <c r="Q905" s="380"/>
    </row>
    <row r="906" spans="1:17" x14ac:dyDescent="0.2">
      <c r="A906" s="334" t="s">
        <v>1735</v>
      </c>
      <c r="B906" s="380"/>
      <c r="C906" s="380" t="s">
        <v>194</v>
      </c>
      <c r="D906" s="377"/>
      <c r="E906" s="377"/>
      <c r="F906" s="378"/>
      <c r="G906" s="377"/>
      <c r="H906" s="377"/>
      <c r="I906" s="399"/>
      <c r="J906" s="377"/>
      <c r="K906" s="377"/>
      <c r="L906" s="378"/>
      <c r="M906" s="377"/>
      <c r="N906" s="377"/>
      <c r="O906" s="380"/>
      <c r="P906" s="380"/>
      <c r="Q906" s="380"/>
    </row>
    <row r="907" spans="1:17" x14ac:dyDescent="0.2">
      <c r="A907" s="334" t="s">
        <v>1741</v>
      </c>
      <c r="B907" s="380"/>
      <c r="C907" s="334" t="s">
        <v>1748</v>
      </c>
      <c r="D907" s="377"/>
      <c r="E907" s="377"/>
      <c r="F907" s="378"/>
      <c r="G907" s="377"/>
      <c r="H907" s="377"/>
      <c r="I907" s="399"/>
      <c r="J907" s="377"/>
      <c r="K907" s="377"/>
      <c r="L907" s="378"/>
      <c r="M907" s="377"/>
      <c r="N907" s="377"/>
      <c r="O907" s="380"/>
      <c r="P907" s="380"/>
      <c r="Q907" s="380"/>
    </row>
    <row r="908" spans="1:17" x14ac:dyDescent="0.2">
      <c r="A908" s="334" t="s">
        <v>1742</v>
      </c>
      <c r="B908" s="380"/>
      <c r="C908" s="334" t="s">
        <v>1553</v>
      </c>
      <c r="D908" s="377"/>
      <c r="E908" s="377"/>
      <c r="F908" s="378"/>
      <c r="G908" s="377"/>
      <c r="H908" s="377"/>
      <c r="I908" s="399"/>
      <c r="J908" s="377"/>
      <c r="K908" s="377"/>
      <c r="L908" s="378"/>
      <c r="M908" s="377"/>
      <c r="N908" s="377"/>
      <c r="O908" s="380"/>
      <c r="P908" s="380"/>
      <c r="Q908" s="380"/>
    </row>
    <row r="909" spans="1:17" x14ac:dyDescent="0.2">
      <c r="A909" s="334" t="s">
        <v>1754</v>
      </c>
      <c r="B909" s="380"/>
      <c r="C909" s="334" t="s">
        <v>1929</v>
      </c>
      <c r="D909" s="377"/>
      <c r="E909" s="377"/>
      <c r="F909" s="378"/>
      <c r="G909" s="377"/>
      <c r="H909" s="377"/>
      <c r="I909" s="399"/>
      <c r="J909" s="377"/>
      <c r="K909" s="377"/>
      <c r="L909" s="378"/>
      <c r="M909" s="377"/>
      <c r="N909" s="377"/>
      <c r="O909" s="380"/>
      <c r="P909" s="380"/>
      <c r="Q909" s="380"/>
    </row>
    <row r="910" spans="1:17" x14ac:dyDescent="0.2">
      <c r="A910" s="334" t="s">
        <v>1584</v>
      </c>
      <c r="B910" s="380"/>
      <c r="C910" s="334" t="s">
        <v>0</v>
      </c>
      <c r="D910" s="377"/>
      <c r="E910" s="377"/>
      <c r="F910" s="378"/>
      <c r="G910" s="377"/>
      <c r="H910" s="377"/>
      <c r="I910" s="399"/>
      <c r="J910" s="377"/>
      <c r="K910" s="377"/>
      <c r="L910" s="378"/>
      <c r="M910" s="377"/>
      <c r="N910" s="377"/>
      <c r="O910" s="380"/>
      <c r="P910" s="380"/>
      <c r="Q910" s="380"/>
    </row>
    <row r="911" spans="1:17" x14ac:dyDescent="0.2">
      <c r="A911" s="334" t="s">
        <v>1580</v>
      </c>
      <c r="B911" s="380"/>
      <c r="C911" s="334" t="s">
        <v>1936</v>
      </c>
      <c r="D911" s="377"/>
      <c r="E911" s="377"/>
      <c r="F911" s="378"/>
      <c r="G911" s="377"/>
      <c r="H911" s="377"/>
      <c r="I911" s="399"/>
      <c r="J911" s="377"/>
      <c r="K911" s="377"/>
      <c r="L911" s="378"/>
      <c r="M911" s="377"/>
      <c r="N911" s="377"/>
      <c r="O911" s="380"/>
      <c r="P911" s="380"/>
      <c r="Q911" s="380"/>
    </row>
    <row r="912" spans="1:17" x14ac:dyDescent="0.2">
      <c r="A912" s="334" t="s">
        <v>1572</v>
      </c>
      <c r="B912" s="380"/>
      <c r="C912" s="334" t="s">
        <v>3134</v>
      </c>
      <c r="D912" s="377"/>
      <c r="E912" s="377"/>
      <c r="F912" s="378"/>
      <c r="G912" s="377"/>
      <c r="H912" s="377"/>
      <c r="I912" s="399"/>
      <c r="J912" s="377"/>
      <c r="K912" s="377"/>
      <c r="L912" s="378"/>
      <c r="M912" s="377"/>
      <c r="N912" s="377"/>
      <c r="O912" s="380"/>
      <c r="P912" s="380"/>
      <c r="Q912" s="380"/>
    </row>
    <row r="913" spans="1:17" x14ac:dyDescent="0.2">
      <c r="A913" s="334" t="s">
        <v>1730</v>
      </c>
      <c r="B913" s="380"/>
      <c r="C913" s="334" t="s">
        <v>1985</v>
      </c>
      <c r="D913" s="377"/>
      <c r="E913" s="377"/>
      <c r="F913" s="378"/>
      <c r="G913" s="377"/>
      <c r="H913" s="377"/>
      <c r="I913" s="399"/>
      <c r="J913" s="377"/>
      <c r="K913" s="377"/>
      <c r="L913" s="378"/>
      <c r="M913" s="377"/>
      <c r="N913" s="377"/>
      <c r="O913" s="380"/>
      <c r="P913" s="380"/>
      <c r="Q913" s="380"/>
    </row>
    <row r="914" spans="1:17" x14ac:dyDescent="0.2">
      <c r="A914" s="334" t="s">
        <v>1566</v>
      </c>
      <c r="B914" s="380"/>
      <c r="C914" s="334" t="s">
        <v>366</v>
      </c>
      <c r="D914" s="377"/>
      <c r="E914" s="377"/>
      <c r="F914" s="378"/>
      <c r="G914" s="377"/>
      <c r="H914" s="377"/>
      <c r="I914" s="399"/>
      <c r="J914" s="377"/>
      <c r="K914" s="377"/>
      <c r="L914" s="378"/>
      <c r="M914" s="377"/>
      <c r="N914" s="377"/>
      <c r="O914" s="380"/>
      <c r="P914" s="380"/>
      <c r="Q914" s="380"/>
    </row>
    <row r="915" spans="1:17" x14ac:dyDescent="0.2">
      <c r="A915" s="334" t="s">
        <v>1755</v>
      </c>
      <c r="B915" s="380"/>
      <c r="C915" s="380" t="s">
        <v>1986</v>
      </c>
      <c r="D915" s="377"/>
      <c r="E915" s="377"/>
      <c r="F915" s="378">
        <v>7000</v>
      </c>
      <c r="G915" s="377"/>
      <c r="H915" s="377"/>
      <c r="I915" s="399"/>
      <c r="J915" s="377"/>
      <c r="K915" s="377"/>
      <c r="L915" s="378">
        <v>7000</v>
      </c>
      <c r="M915" s="377"/>
      <c r="N915" s="377"/>
      <c r="O915" s="380"/>
      <c r="P915" s="380"/>
      <c r="Q915" s="380"/>
    </row>
    <row r="916" spans="1:17" x14ac:dyDescent="0.2">
      <c r="A916" s="334" t="s">
        <v>1567</v>
      </c>
      <c r="B916" s="380"/>
      <c r="C916" s="334" t="s">
        <v>3142</v>
      </c>
      <c r="D916" s="377"/>
      <c r="E916" s="377"/>
      <c r="F916" s="378"/>
      <c r="G916" s="377"/>
      <c r="H916" s="377"/>
      <c r="I916" s="399"/>
      <c r="J916" s="377"/>
      <c r="K916" s="377"/>
      <c r="L916" s="378"/>
      <c r="M916" s="377"/>
      <c r="N916" s="377"/>
      <c r="O916" s="380"/>
      <c r="P916" s="380"/>
      <c r="Q916" s="380"/>
    </row>
    <row r="917" spans="1:17" x14ac:dyDescent="0.2">
      <c r="A917" s="334"/>
      <c r="B917" s="334"/>
      <c r="C917" s="334"/>
      <c r="D917" s="394"/>
      <c r="E917" s="394"/>
      <c r="F917" s="413"/>
      <c r="G917" s="394"/>
      <c r="H917" s="394"/>
      <c r="I917" s="387"/>
      <c r="J917" s="394"/>
      <c r="K917" s="394"/>
      <c r="L917" s="413"/>
      <c r="M917" s="394"/>
      <c r="N917" s="394"/>
      <c r="O917" s="380"/>
      <c r="P917" s="380"/>
      <c r="Q917" s="380"/>
    </row>
    <row r="918" spans="1:17" ht="15.75" thickBot="1" x14ac:dyDescent="0.25">
      <c r="A918" s="334"/>
      <c r="B918" s="334"/>
      <c r="C918" s="334"/>
      <c r="D918" s="411">
        <f>SUM(D884:D916)</f>
        <v>0</v>
      </c>
      <c r="E918" s="411">
        <f>SUM(E884:E916)</f>
        <v>0</v>
      </c>
      <c r="F918" s="414">
        <f>SUM(F884:F916)</f>
        <v>8000</v>
      </c>
      <c r="G918" s="411"/>
      <c r="H918" s="411">
        <f>SUM(H884:H916)</f>
        <v>0</v>
      </c>
      <c r="I918" s="387"/>
      <c r="J918" s="411">
        <f>SUM(J884:J916)</f>
        <v>0</v>
      </c>
      <c r="K918" s="411">
        <f>SUM(K884:K916)</f>
        <v>0</v>
      </c>
      <c r="L918" s="414">
        <f>SUM(L884:L916)</f>
        <v>8000</v>
      </c>
      <c r="M918" s="411"/>
      <c r="N918" s="411">
        <f>SUM(N884:N916)</f>
        <v>0</v>
      </c>
      <c r="O918" s="380"/>
      <c r="P918" s="380"/>
      <c r="Q918" s="380"/>
    </row>
    <row r="919" spans="1:17" x14ac:dyDescent="0.2">
      <c r="A919" s="334"/>
      <c r="B919" s="334"/>
      <c r="C919" s="334"/>
      <c r="D919" s="334"/>
      <c r="E919" s="334"/>
      <c r="F919" s="412"/>
      <c r="G919" s="334"/>
      <c r="H919" s="334"/>
      <c r="I919" s="387"/>
      <c r="J919" s="334"/>
      <c r="K919" s="334"/>
      <c r="L919" s="412"/>
      <c r="M919" s="334"/>
      <c r="N919" s="334"/>
      <c r="O919" s="380"/>
      <c r="P919" s="380"/>
      <c r="Q919" s="380"/>
    </row>
    <row r="920" spans="1:17" ht="15.75" x14ac:dyDescent="0.25">
      <c r="A920" s="334"/>
      <c r="B920" s="334"/>
      <c r="C920" s="334"/>
      <c r="D920" s="334"/>
      <c r="E920" s="334"/>
      <c r="F920" s="412"/>
      <c r="G920" s="334"/>
      <c r="H920" s="334"/>
      <c r="I920" s="397"/>
      <c r="J920" s="334"/>
      <c r="K920" s="334"/>
      <c r="L920" s="412"/>
      <c r="M920" s="334"/>
      <c r="N920" s="334"/>
      <c r="O920" s="380"/>
      <c r="P920" s="380"/>
      <c r="Q920" s="380"/>
    </row>
    <row r="921" spans="1:17" x14ac:dyDescent="0.2">
      <c r="A921" s="334"/>
      <c r="B921" s="334"/>
      <c r="C921" s="334"/>
      <c r="D921" s="334"/>
      <c r="E921" s="334"/>
      <c r="F921" s="412"/>
      <c r="G921" s="334"/>
      <c r="H921" s="334"/>
      <c r="I921" s="387"/>
      <c r="J921" s="334"/>
      <c r="K921" s="334"/>
      <c r="L921" s="412"/>
      <c r="M921" s="334"/>
      <c r="N921" s="334"/>
      <c r="O921" s="380"/>
      <c r="P921" s="380"/>
      <c r="Q921" s="380"/>
    </row>
    <row r="922" spans="1:17" x14ac:dyDescent="0.2">
      <c r="A922" s="334" t="s">
        <v>539</v>
      </c>
      <c r="B922" s="380"/>
      <c r="C922" s="380"/>
      <c r="D922" s="334" t="s">
        <v>1505</v>
      </c>
      <c r="E922" s="334"/>
      <c r="F922" s="412" t="s">
        <v>1506</v>
      </c>
      <c r="G922" s="334"/>
      <c r="H922" s="334"/>
      <c r="I922" s="387"/>
      <c r="J922" s="334" t="s">
        <v>1505</v>
      </c>
      <c r="K922" s="334"/>
      <c r="L922" s="412" t="s">
        <v>1506</v>
      </c>
      <c r="M922" s="334"/>
      <c r="N922" s="334"/>
      <c r="O922" s="380"/>
      <c r="P922" s="380"/>
      <c r="Q922" s="380"/>
    </row>
    <row r="923" spans="1:17" x14ac:dyDescent="0.2">
      <c r="A923" s="380"/>
      <c r="B923" s="380"/>
      <c r="C923" s="384" t="s">
        <v>436</v>
      </c>
      <c r="D923" s="380" t="s">
        <v>1712</v>
      </c>
      <c r="E923" s="380" t="s">
        <v>1788</v>
      </c>
      <c r="F923" s="378" t="s">
        <v>338</v>
      </c>
      <c r="G923" s="380"/>
      <c r="H923" s="380" t="s">
        <v>251</v>
      </c>
      <c r="I923" s="387"/>
      <c r="J923" s="380" t="s">
        <v>1712</v>
      </c>
      <c r="K923" s="380" t="s">
        <v>1788</v>
      </c>
      <c r="L923" s="378" t="s">
        <v>338</v>
      </c>
      <c r="M923" s="380"/>
      <c r="N923" s="380" t="s">
        <v>251</v>
      </c>
      <c r="O923" s="380"/>
      <c r="P923" s="380"/>
      <c r="Q923" s="380"/>
    </row>
    <row r="924" spans="1:17" x14ac:dyDescent="0.2">
      <c r="A924" s="380"/>
      <c r="B924" s="380"/>
      <c r="C924" s="380"/>
      <c r="D924" s="334" t="s">
        <v>1013</v>
      </c>
      <c r="E924" s="384" t="s">
        <v>334</v>
      </c>
      <c r="F924" s="412" t="s">
        <v>339</v>
      </c>
      <c r="G924" s="334"/>
      <c r="H924" s="384" t="s">
        <v>253</v>
      </c>
      <c r="I924" s="387"/>
      <c r="J924" s="334" t="s">
        <v>1013</v>
      </c>
      <c r="K924" s="384" t="s">
        <v>334</v>
      </c>
      <c r="L924" s="412" t="s">
        <v>339</v>
      </c>
      <c r="M924" s="334"/>
      <c r="N924" s="384" t="s">
        <v>253</v>
      </c>
      <c r="O924" s="380"/>
      <c r="P924" s="380"/>
      <c r="Q924" s="380"/>
    </row>
    <row r="925" spans="1:17" x14ac:dyDescent="0.2">
      <c r="A925" s="334" t="s">
        <v>342</v>
      </c>
      <c r="B925" s="380"/>
      <c r="C925" s="334" t="s">
        <v>342</v>
      </c>
      <c r="D925" s="380"/>
      <c r="E925" s="380"/>
      <c r="F925" s="378"/>
      <c r="G925" s="380"/>
      <c r="H925" s="380"/>
      <c r="I925" s="387"/>
      <c r="J925" s="380"/>
      <c r="K925" s="380"/>
      <c r="L925" s="378"/>
      <c r="M925" s="380"/>
      <c r="N925" s="380"/>
      <c r="O925" s="380"/>
      <c r="P925" s="380"/>
      <c r="Q925" s="380"/>
    </row>
    <row r="926" spans="1:17" x14ac:dyDescent="0.2">
      <c r="A926" s="334" t="s">
        <v>1723</v>
      </c>
      <c r="B926" s="380"/>
      <c r="C926" s="334" t="s">
        <v>1880</v>
      </c>
      <c r="D926" s="380" t="s">
        <v>181</v>
      </c>
      <c r="E926" s="380" t="s">
        <v>181</v>
      </c>
      <c r="F926" s="378" t="s">
        <v>181</v>
      </c>
      <c r="G926" s="380"/>
      <c r="H926" s="380" t="s">
        <v>181</v>
      </c>
      <c r="I926" s="387"/>
      <c r="J926" s="380" t="s">
        <v>181</v>
      </c>
      <c r="K926" s="380" t="s">
        <v>181</v>
      </c>
      <c r="L926" s="378" t="s">
        <v>181</v>
      </c>
      <c r="M926" s="380"/>
      <c r="N926" s="380" t="s">
        <v>181</v>
      </c>
      <c r="O926" s="380"/>
      <c r="P926" s="380"/>
      <c r="Q926" s="380"/>
    </row>
    <row r="927" spans="1:17" x14ac:dyDescent="0.2">
      <c r="A927" s="380"/>
      <c r="B927" s="380"/>
      <c r="C927" s="380"/>
      <c r="D927" s="380"/>
      <c r="E927" s="380"/>
      <c r="F927" s="378"/>
      <c r="G927" s="380"/>
      <c r="H927" s="380"/>
      <c r="I927" s="387"/>
      <c r="J927" s="380"/>
      <c r="K927" s="380"/>
      <c r="L927" s="378"/>
      <c r="M927" s="380"/>
      <c r="N927" s="380"/>
      <c r="O927" s="380"/>
      <c r="P927" s="380"/>
      <c r="Q927" s="380"/>
    </row>
    <row r="928" spans="1:17" x14ac:dyDescent="0.2">
      <c r="A928" s="334" t="s">
        <v>1733</v>
      </c>
      <c r="B928" s="380"/>
      <c r="C928" s="334" t="s">
        <v>27</v>
      </c>
      <c r="D928" s="377"/>
      <c r="E928" s="377"/>
      <c r="F928" s="378"/>
      <c r="G928" s="377"/>
      <c r="H928" s="377"/>
      <c r="I928" s="399"/>
      <c r="J928" s="377"/>
      <c r="K928" s="377"/>
      <c r="L928" s="378"/>
      <c r="M928" s="377"/>
      <c r="N928" s="377"/>
      <c r="O928" s="380"/>
      <c r="P928" s="380"/>
      <c r="Q928" s="380"/>
    </row>
    <row r="929" spans="1:17" x14ac:dyDescent="0.2">
      <c r="A929" s="334" t="s">
        <v>1743</v>
      </c>
      <c r="B929" s="380"/>
      <c r="C929" s="334" t="s">
        <v>1886</v>
      </c>
      <c r="D929" s="377"/>
      <c r="E929" s="377"/>
      <c r="F929" s="378"/>
      <c r="G929" s="377"/>
      <c r="H929" s="377"/>
      <c r="I929" s="399"/>
      <c r="J929" s="377"/>
      <c r="K929" s="377"/>
      <c r="L929" s="378"/>
      <c r="M929" s="377"/>
      <c r="N929" s="377"/>
      <c r="O929" s="380"/>
      <c r="P929" s="380"/>
      <c r="Q929" s="380"/>
    </row>
    <row r="930" spans="1:17" x14ac:dyDescent="0.2">
      <c r="A930" s="334" t="s">
        <v>1569</v>
      </c>
      <c r="B930" s="380"/>
      <c r="C930" s="334" t="s">
        <v>1888</v>
      </c>
      <c r="D930" s="377"/>
      <c r="E930" s="377"/>
      <c r="F930" s="378"/>
      <c r="G930" s="377"/>
      <c r="H930" s="377"/>
      <c r="I930" s="399"/>
      <c r="J930" s="377"/>
      <c r="K930" s="377"/>
      <c r="L930" s="378"/>
      <c r="M930" s="377"/>
      <c r="N930" s="377"/>
      <c r="O930" s="380"/>
      <c r="P930" s="380"/>
      <c r="Q930" s="380"/>
    </row>
    <row r="931" spans="1:17" x14ac:dyDescent="0.2">
      <c r="A931" s="334" t="s">
        <v>1724</v>
      </c>
      <c r="B931" s="380"/>
      <c r="C931" s="334" t="s">
        <v>1881</v>
      </c>
      <c r="D931" s="377">
        <v>300</v>
      </c>
      <c r="E931" s="377">
        <v>500</v>
      </c>
      <c r="F931" s="378"/>
      <c r="G931" s="377"/>
      <c r="H931" s="377"/>
      <c r="I931" s="399"/>
      <c r="J931" s="377">
        <v>100</v>
      </c>
      <c r="K931" s="377">
        <v>200</v>
      </c>
      <c r="L931" s="378"/>
      <c r="M931" s="377"/>
      <c r="N931" s="377"/>
      <c r="O931" s="380"/>
      <c r="P931" s="380"/>
      <c r="Q931" s="380"/>
    </row>
    <row r="932" spans="1:17" x14ac:dyDescent="0.2">
      <c r="A932" s="334" t="s">
        <v>1736</v>
      </c>
      <c r="B932" s="380"/>
      <c r="C932" s="334" t="s">
        <v>1747</v>
      </c>
      <c r="D932" s="377">
        <v>20</v>
      </c>
      <c r="E932" s="377"/>
      <c r="F932" s="378"/>
      <c r="G932" s="377"/>
      <c r="H932" s="377"/>
      <c r="I932" s="399"/>
      <c r="J932" s="377"/>
      <c r="K932" s="377"/>
      <c r="L932" s="378"/>
      <c r="M932" s="377"/>
      <c r="N932" s="377"/>
      <c r="O932" s="380"/>
      <c r="P932" s="380"/>
      <c r="Q932" s="380"/>
    </row>
    <row r="933" spans="1:17" x14ac:dyDescent="0.2">
      <c r="A933" s="334" t="s">
        <v>1744</v>
      </c>
      <c r="B933" s="380"/>
      <c r="C933" s="334" t="s">
        <v>1254</v>
      </c>
      <c r="D933" s="377"/>
      <c r="E933" s="377"/>
      <c r="F933" s="378"/>
      <c r="G933" s="377"/>
      <c r="H933" s="377"/>
      <c r="I933" s="399"/>
      <c r="J933" s="377"/>
      <c r="K933" s="377"/>
      <c r="L933" s="378"/>
      <c r="M933" s="377"/>
      <c r="N933" s="377"/>
      <c r="O933" s="380"/>
      <c r="P933" s="380"/>
      <c r="Q933" s="380"/>
    </row>
    <row r="934" spans="1:17" x14ac:dyDescent="0.2">
      <c r="A934" s="334" t="s">
        <v>1582</v>
      </c>
      <c r="B934" s="380"/>
      <c r="C934" s="334" t="s">
        <v>3135</v>
      </c>
      <c r="D934" s="377"/>
      <c r="E934" s="377">
        <v>300</v>
      </c>
      <c r="F934" s="378"/>
      <c r="G934" s="377"/>
      <c r="H934" s="377"/>
      <c r="I934" s="399"/>
      <c r="J934" s="377"/>
      <c r="K934" s="377">
        <v>100</v>
      </c>
      <c r="L934" s="378"/>
      <c r="M934" s="377"/>
      <c r="N934" s="377"/>
      <c r="O934" s="380"/>
      <c r="P934" s="380"/>
      <c r="Q934" s="380"/>
    </row>
    <row r="935" spans="1:17" x14ac:dyDescent="0.2">
      <c r="A935" s="334" t="s">
        <v>1575</v>
      </c>
      <c r="B935" s="380"/>
      <c r="C935" s="334" t="s">
        <v>1889</v>
      </c>
      <c r="D935" s="377"/>
      <c r="E935" s="377"/>
      <c r="F935" s="378"/>
      <c r="G935" s="377"/>
      <c r="H935" s="377"/>
      <c r="I935" s="399"/>
      <c r="J935" s="377"/>
      <c r="K935" s="377"/>
      <c r="L935" s="378"/>
      <c r="M935" s="377"/>
      <c r="N935" s="377"/>
      <c r="O935" s="380"/>
      <c r="P935" s="380"/>
      <c r="Q935" s="380"/>
    </row>
    <row r="936" spans="1:17" x14ac:dyDescent="0.2">
      <c r="A936" s="334" t="s">
        <v>1725</v>
      </c>
      <c r="B936" s="380"/>
      <c r="C936" s="334" t="s">
        <v>1890</v>
      </c>
      <c r="D936" s="377">
        <v>75</v>
      </c>
      <c r="E936" s="377"/>
      <c r="F936" s="378"/>
      <c r="G936" s="377"/>
      <c r="H936" s="377"/>
      <c r="I936" s="399"/>
      <c r="J936" s="377">
        <v>50</v>
      </c>
      <c r="K936" s="377"/>
      <c r="L936" s="378"/>
      <c r="M936" s="377"/>
      <c r="N936" s="377"/>
      <c r="O936" s="380"/>
      <c r="P936" s="380"/>
      <c r="Q936" s="380"/>
    </row>
    <row r="937" spans="1:17" x14ac:dyDescent="0.2">
      <c r="A937" s="334" t="s">
        <v>1565</v>
      </c>
      <c r="B937" s="380"/>
      <c r="C937" s="334" t="s">
        <v>1927</v>
      </c>
      <c r="D937" s="377"/>
      <c r="E937" s="377"/>
      <c r="F937" s="378"/>
      <c r="G937" s="377"/>
      <c r="H937" s="377"/>
      <c r="I937" s="399"/>
      <c r="J937" s="377"/>
      <c r="K937" s="377"/>
      <c r="L937" s="378"/>
      <c r="M937" s="377"/>
      <c r="N937" s="377"/>
      <c r="O937" s="380"/>
      <c r="P937" s="380"/>
      <c r="Q937" s="380"/>
    </row>
    <row r="938" spans="1:17" x14ac:dyDescent="0.2">
      <c r="A938" s="334" t="s">
        <v>1737</v>
      </c>
      <c r="B938" s="380"/>
      <c r="C938" s="334" t="s">
        <v>1928</v>
      </c>
      <c r="D938" s="377"/>
      <c r="E938" s="377"/>
      <c r="F938" s="378">
        <v>250</v>
      </c>
      <c r="G938" s="377"/>
      <c r="H938" s="377"/>
      <c r="I938" s="399"/>
      <c r="J938" s="377"/>
      <c r="K938" s="377"/>
      <c r="L938" s="378">
        <v>250</v>
      </c>
      <c r="M938" s="377"/>
      <c r="N938" s="377"/>
      <c r="O938" s="380"/>
      <c r="P938" s="380"/>
      <c r="Q938" s="380"/>
    </row>
    <row r="939" spans="1:17" x14ac:dyDescent="0.2">
      <c r="A939" s="334" t="s">
        <v>1726</v>
      </c>
      <c r="B939" s="380"/>
      <c r="C939" s="334" t="s">
        <v>1117</v>
      </c>
      <c r="D939" s="377">
        <v>75</v>
      </c>
      <c r="E939" s="377">
        <v>250</v>
      </c>
      <c r="F939" s="378">
        <v>500</v>
      </c>
      <c r="G939" s="377"/>
      <c r="H939" s="377">
        <v>500</v>
      </c>
      <c r="I939" s="399"/>
      <c r="J939" s="377">
        <v>25</v>
      </c>
      <c r="K939" s="377">
        <v>0</v>
      </c>
      <c r="L939" s="378">
        <v>500</v>
      </c>
      <c r="M939" s="377"/>
      <c r="N939" s="377">
        <v>500</v>
      </c>
      <c r="O939" s="380"/>
      <c r="P939" s="380"/>
      <c r="Q939" s="380"/>
    </row>
    <row r="940" spans="1:17" x14ac:dyDescent="0.2">
      <c r="A940" s="334" t="s">
        <v>1756</v>
      </c>
      <c r="B940" s="380"/>
      <c r="C940" s="334" t="s">
        <v>3137</v>
      </c>
      <c r="D940" s="377"/>
      <c r="E940" s="377"/>
      <c r="F940" s="378"/>
      <c r="G940" s="377"/>
      <c r="H940" s="377"/>
      <c r="I940" s="399"/>
      <c r="J940" s="377">
        <v>25</v>
      </c>
      <c r="K940" s="377"/>
      <c r="L940" s="378"/>
      <c r="M940" s="377"/>
      <c r="N940" s="377"/>
      <c r="O940" s="380"/>
      <c r="P940" s="380"/>
      <c r="Q940" s="380"/>
    </row>
    <row r="941" spans="1:17" x14ac:dyDescent="0.2">
      <c r="A941" s="334" t="s">
        <v>1751</v>
      </c>
      <c r="B941" s="380"/>
      <c r="C941" s="334" t="s">
        <v>3138</v>
      </c>
      <c r="D941" s="377">
        <v>50</v>
      </c>
      <c r="E941" s="377"/>
      <c r="F941" s="378"/>
      <c r="G941" s="377"/>
      <c r="H941" s="377"/>
      <c r="I941" s="399"/>
      <c r="J941" s="377"/>
      <c r="K941" s="377"/>
      <c r="L941" s="378"/>
      <c r="M941" s="377"/>
      <c r="N941" s="377"/>
      <c r="O941" s="380"/>
      <c r="P941" s="380"/>
      <c r="Q941" s="380"/>
    </row>
    <row r="942" spans="1:17" x14ac:dyDescent="0.2">
      <c r="A942" s="334" t="s">
        <v>1752</v>
      </c>
      <c r="B942" s="380"/>
      <c r="C942" s="334" t="s">
        <v>367</v>
      </c>
      <c r="D942" s="377"/>
      <c r="E942" s="377"/>
      <c r="F942" s="378"/>
      <c r="G942" s="377"/>
      <c r="H942" s="377"/>
      <c r="I942" s="399"/>
      <c r="J942" s="377"/>
      <c r="K942" s="377"/>
      <c r="L942" s="378"/>
      <c r="M942" s="377"/>
      <c r="N942" s="377"/>
      <c r="O942" s="380"/>
      <c r="P942" s="380"/>
      <c r="Q942" s="380"/>
    </row>
    <row r="943" spans="1:17" x14ac:dyDescent="0.2">
      <c r="A943" s="334" t="s">
        <v>1577</v>
      </c>
      <c r="B943" s="380"/>
      <c r="C943" s="334" t="s">
        <v>1815</v>
      </c>
      <c r="D943" s="377"/>
      <c r="E943" s="377"/>
      <c r="F943" s="378"/>
      <c r="G943" s="377"/>
      <c r="H943" s="377"/>
      <c r="I943" s="399"/>
      <c r="J943" s="377"/>
      <c r="K943" s="377"/>
      <c r="L943" s="378"/>
      <c r="M943" s="377"/>
      <c r="N943" s="377"/>
      <c r="O943" s="380"/>
      <c r="P943" s="380"/>
      <c r="Q943" s="380"/>
    </row>
    <row r="944" spans="1:17" x14ac:dyDescent="0.2">
      <c r="A944" s="334" t="s">
        <v>1753</v>
      </c>
      <c r="B944" s="380"/>
      <c r="C944" s="334" t="s">
        <v>1816</v>
      </c>
      <c r="D944" s="377"/>
      <c r="E944" s="377"/>
      <c r="F944" s="378"/>
      <c r="G944" s="377"/>
      <c r="H944" s="377"/>
      <c r="I944" s="399"/>
      <c r="J944" s="377"/>
      <c r="K944" s="377"/>
      <c r="L944" s="378"/>
      <c r="M944" s="377"/>
      <c r="N944" s="377"/>
      <c r="O944" s="380"/>
      <c r="P944" s="380"/>
      <c r="Q944" s="380"/>
    </row>
    <row r="945" spans="1:17" x14ac:dyDescent="0.2">
      <c r="A945" s="334" t="s">
        <v>1734</v>
      </c>
      <c r="B945" s="380"/>
      <c r="C945" s="334" t="s">
        <v>1746</v>
      </c>
      <c r="D945" s="377"/>
      <c r="E945" s="377"/>
      <c r="F945" s="378"/>
      <c r="G945" s="377"/>
      <c r="H945" s="377"/>
      <c r="I945" s="399"/>
      <c r="J945" s="377"/>
      <c r="K945" s="377"/>
      <c r="L945" s="378"/>
      <c r="M945" s="377"/>
      <c r="N945" s="377"/>
      <c r="O945" s="380"/>
      <c r="P945" s="380"/>
      <c r="Q945" s="380"/>
    </row>
    <row r="946" spans="1:17" x14ac:dyDescent="0.2">
      <c r="A946" s="334" t="s">
        <v>1571</v>
      </c>
      <c r="B946" s="380"/>
      <c r="C946" s="334" t="s">
        <v>3</v>
      </c>
      <c r="D946" s="377"/>
      <c r="E946" s="377"/>
      <c r="F946" s="378"/>
      <c r="G946" s="377"/>
      <c r="H946" s="377"/>
      <c r="I946" s="399"/>
      <c r="J946" s="377"/>
      <c r="K946" s="377"/>
      <c r="L946" s="378"/>
      <c r="M946" s="377"/>
      <c r="N946" s="377"/>
      <c r="O946" s="380"/>
      <c r="P946" s="380"/>
      <c r="Q946" s="380"/>
    </row>
    <row r="947" spans="1:17" x14ac:dyDescent="0.2">
      <c r="A947" s="334" t="s">
        <v>1738</v>
      </c>
      <c r="B947" s="380"/>
      <c r="C947" s="334" t="s">
        <v>1591</v>
      </c>
      <c r="D947" s="377"/>
      <c r="E947" s="377"/>
      <c r="F947" s="378"/>
      <c r="G947" s="377"/>
      <c r="H947" s="377"/>
      <c r="I947" s="399"/>
      <c r="J947" s="377"/>
      <c r="K947" s="377"/>
      <c r="L947" s="378"/>
      <c r="M947" s="377"/>
      <c r="N947" s="377"/>
      <c r="O947" s="380"/>
      <c r="P947" s="380"/>
      <c r="Q947" s="380"/>
    </row>
    <row r="948" spans="1:17" x14ac:dyDescent="0.2">
      <c r="A948" s="334" t="s">
        <v>1727</v>
      </c>
      <c r="B948" s="380"/>
      <c r="C948" s="334" t="s">
        <v>307</v>
      </c>
      <c r="D948" s="377"/>
      <c r="E948" s="377"/>
      <c r="F948" s="378"/>
      <c r="G948" s="377"/>
      <c r="H948" s="377"/>
      <c r="I948" s="399"/>
      <c r="J948" s="377"/>
      <c r="K948" s="377"/>
      <c r="L948" s="378"/>
      <c r="M948" s="377"/>
      <c r="N948" s="377"/>
      <c r="O948" s="380"/>
      <c r="P948" s="380"/>
      <c r="Q948" s="380"/>
    </row>
    <row r="949" spans="1:17" x14ac:dyDescent="0.2">
      <c r="A949" s="334" t="s">
        <v>1728</v>
      </c>
      <c r="B949" s="380"/>
      <c r="C949" s="334" t="s">
        <v>310</v>
      </c>
      <c r="D949" s="377"/>
      <c r="E949" s="377"/>
      <c r="F949" s="378"/>
      <c r="G949" s="377"/>
      <c r="H949" s="377"/>
      <c r="I949" s="399"/>
      <c r="J949" s="377"/>
      <c r="K949" s="377"/>
      <c r="L949" s="378"/>
      <c r="M949" s="377"/>
      <c r="N949" s="377"/>
      <c r="O949" s="380"/>
      <c r="P949" s="380"/>
      <c r="Q949" s="380"/>
    </row>
    <row r="950" spans="1:17" x14ac:dyDescent="0.2">
      <c r="A950" s="334" t="s">
        <v>1729</v>
      </c>
      <c r="B950" s="380"/>
      <c r="C950" s="380" t="s">
        <v>1551</v>
      </c>
      <c r="D950" s="377"/>
      <c r="E950" s="377">
        <v>-1800</v>
      </c>
      <c r="F950" s="378"/>
      <c r="G950" s="377"/>
      <c r="H950" s="377"/>
      <c r="I950" s="399"/>
      <c r="J950" s="377"/>
      <c r="K950" s="377"/>
      <c r="L950" s="378"/>
      <c r="M950" s="377"/>
      <c r="N950" s="377"/>
      <c r="O950" s="380"/>
      <c r="P950" s="380"/>
      <c r="Q950" s="380"/>
    </row>
    <row r="951" spans="1:17" x14ac:dyDescent="0.2">
      <c r="A951" s="334" t="s">
        <v>1735</v>
      </c>
      <c r="B951" s="380"/>
      <c r="C951" s="380" t="s">
        <v>194</v>
      </c>
      <c r="D951" s="377"/>
      <c r="E951" s="377"/>
      <c r="F951" s="378"/>
      <c r="G951" s="377"/>
      <c r="H951" s="377"/>
      <c r="I951" s="399"/>
      <c r="J951" s="377"/>
      <c r="K951" s="377"/>
      <c r="L951" s="378"/>
      <c r="M951" s="377"/>
      <c r="N951" s="377"/>
      <c r="O951" s="380"/>
      <c r="P951" s="380"/>
      <c r="Q951" s="380"/>
    </row>
    <row r="952" spans="1:17" x14ac:dyDescent="0.2">
      <c r="A952" s="334" t="s">
        <v>1741</v>
      </c>
      <c r="B952" s="380"/>
      <c r="C952" s="334" t="s">
        <v>1748</v>
      </c>
      <c r="D952" s="377"/>
      <c r="E952" s="377"/>
      <c r="F952" s="378"/>
      <c r="G952" s="377"/>
      <c r="H952" s="377"/>
      <c r="I952" s="399"/>
      <c r="J952" s="377"/>
      <c r="K952" s="377"/>
      <c r="L952" s="378"/>
      <c r="M952" s="377"/>
      <c r="N952" s="377"/>
      <c r="O952" s="380"/>
      <c r="P952" s="380"/>
      <c r="Q952" s="380"/>
    </row>
    <row r="953" spans="1:17" x14ac:dyDescent="0.2">
      <c r="A953" s="334" t="s">
        <v>1742</v>
      </c>
      <c r="B953" s="380"/>
      <c r="C953" s="334" t="s">
        <v>1553</v>
      </c>
      <c r="D953" s="377"/>
      <c r="E953" s="377"/>
      <c r="F953" s="378"/>
      <c r="G953" s="377"/>
      <c r="H953" s="377"/>
      <c r="I953" s="399"/>
      <c r="J953" s="377"/>
      <c r="K953" s="377"/>
      <c r="L953" s="378"/>
      <c r="M953" s="377"/>
      <c r="N953" s="377"/>
      <c r="O953" s="380"/>
      <c r="P953" s="380"/>
      <c r="Q953" s="380"/>
    </row>
    <row r="954" spans="1:17" x14ac:dyDescent="0.2">
      <c r="A954" s="334" t="s">
        <v>1754</v>
      </c>
      <c r="B954" s="380"/>
      <c r="C954" s="334" t="s">
        <v>1929</v>
      </c>
      <c r="D954" s="377"/>
      <c r="E954" s="377"/>
      <c r="F954" s="378"/>
      <c r="G954" s="377"/>
      <c r="H954" s="377"/>
      <c r="I954" s="399"/>
      <c r="J954" s="377"/>
      <c r="K954" s="377"/>
      <c r="L954" s="378"/>
      <c r="M954" s="377"/>
      <c r="N954" s="377"/>
      <c r="O954" s="380"/>
      <c r="P954" s="380"/>
      <c r="Q954" s="380"/>
    </row>
    <row r="955" spans="1:17" x14ac:dyDescent="0.2">
      <c r="A955" s="334" t="s">
        <v>1584</v>
      </c>
      <c r="B955" s="380"/>
      <c r="C955" s="334" t="s">
        <v>0</v>
      </c>
      <c r="D955" s="377"/>
      <c r="E955" s="377"/>
      <c r="F955" s="378"/>
      <c r="G955" s="377"/>
      <c r="H955" s="377"/>
      <c r="I955" s="399"/>
      <c r="J955" s="377"/>
      <c r="K955" s="377"/>
      <c r="L955" s="378"/>
      <c r="M955" s="377"/>
      <c r="N955" s="377"/>
      <c r="O955" s="380"/>
      <c r="P955" s="380"/>
      <c r="Q955" s="380"/>
    </row>
    <row r="956" spans="1:17" x14ac:dyDescent="0.2">
      <c r="A956" s="334" t="s">
        <v>1580</v>
      </c>
      <c r="B956" s="380"/>
      <c r="C956" s="334" t="s">
        <v>1936</v>
      </c>
      <c r="D956" s="377"/>
      <c r="E956" s="377"/>
      <c r="F956" s="378"/>
      <c r="G956" s="377"/>
      <c r="H956" s="377"/>
      <c r="I956" s="399"/>
      <c r="J956" s="377"/>
      <c r="K956" s="377"/>
      <c r="L956" s="378"/>
      <c r="M956" s="377"/>
      <c r="N956" s="377"/>
      <c r="O956" s="380"/>
      <c r="P956" s="380"/>
      <c r="Q956" s="380"/>
    </row>
    <row r="957" spans="1:17" x14ac:dyDescent="0.2">
      <c r="A957" s="334" t="s">
        <v>1572</v>
      </c>
      <c r="B957" s="380"/>
      <c r="C957" s="334" t="s">
        <v>3134</v>
      </c>
      <c r="D957" s="377"/>
      <c r="E957" s="377"/>
      <c r="F957" s="378"/>
      <c r="G957" s="377"/>
      <c r="H957" s="377"/>
      <c r="I957" s="399"/>
      <c r="J957" s="377"/>
      <c r="K957" s="377"/>
      <c r="L957" s="378">
        <v>250</v>
      </c>
      <c r="M957" s="377"/>
      <c r="N957" s="377"/>
      <c r="O957" s="380"/>
      <c r="P957" s="380"/>
      <c r="Q957" s="380"/>
    </row>
    <row r="958" spans="1:17" x14ac:dyDescent="0.2">
      <c r="A958" s="334" t="s">
        <v>1730</v>
      </c>
      <c r="B958" s="380"/>
      <c r="C958" s="334" t="s">
        <v>1985</v>
      </c>
      <c r="D958" s="377"/>
      <c r="E958" s="377"/>
      <c r="F958" s="378">
        <v>250</v>
      </c>
      <c r="G958" s="377"/>
      <c r="H958" s="377"/>
      <c r="I958" s="399"/>
      <c r="J958" s="377"/>
      <c r="K958" s="377"/>
      <c r="L958" s="378"/>
      <c r="M958" s="377"/>
      <c r="N958" s="377"/>
      <c r="O958" s="380"/>
      <c r="P958" s="380"/>
      <c r="Q958" s="380"/>
    </row>
    <row r="959" spans="1:17" x14ac:dyDescent="0.2">
      <c r="A959" s="334" t="s">
        <v>1566</v>
      </c>
      <c r="B959" s="380"/>
      <c r="C959" s="334" t="s">
        <v>366</v>
      </c>
      <c r="D959" s="377"/>
      <c r="E959" s="377"/>
      <c r="F959" s="378"/>
      <c r="G959" s="377"/>
      <c r="H959" s="377"/>
      <c r="I959" s="399"/>
      <c r="J959" s="377"/>
      <c r="K959" s="377"/>
      <c r="L959" s="378"/>
      <c r="M959" s="377"/>
      <c r="N959" s="377"/>
      <c r="O959" s="380"/>
      <c r="P959" s="380"/>
      <c r="Q959" s="380"/>
    </row>
    <row r="960" spans="1:17" x14ac:dyDescent="0.2">
      <c r="A960" s="334" t="s">
        <v>1755</v>
      </c>
      <c r="B960" s="380"/>
      <c r="C960" s="380" t="s">
        <v>1986</v>
      </c>
      <c r="D960" s="377"/>
      <c r="E960" s="377">
        <v>750</v>
      </c>
      <c r="F960" s="378">
        <v>4000</v>
      </c>
      <c r="G960" s="377"/>
      <c r="H960" s="377">
        <v>1000</v>
      </c>
      <c r="I960" s="399"/>
      <c r="J960" s="377"/>
      <c r="K960" s="377">
        <v>700</v>
      </c>
      <c r="L960" s="378">
        <v>4000</v>
      </c>
      <c r="M960" s="377"/>
      <c r="N960" s="377">
        <v>1000</v>
      </c>
      <c r="O960" s="380"/>
      <c r="P960" s="380"/>
      <c r="Q960" s="380"/>
    </row>
    <row r="961" spans="1:17" x14ac:dyDescent="0.2">
      <c r="A961" s="334" t="s">
        <v>1567</v>
      </c>
      <c r="B961" s="380"/>
      <c r="C961" s="334" t="s">
        <v>3142</v>
      </c>
      <c r="D961" s="377"/>
      <c r="E961" s="377"/>
      <c r="F961" s="378"/>
      <c r="G961" s="377"/>
      <c r="H961" s="377"/>
      <c r="I961" s="399"/>
      <c r="J961" s="377"/>
      <c r="K961" s="377"/>
      <c r="L961" s="378"/>
      <c r="M961" s="377"/>
      <c r="N961" s="377"/>
      <c r="O961" s="380"/>
      <c r="P961" s="380"/>
      <c r="Q961" s="380"/>
    </row>
    <row r="962" spans="1:17" x14ac:dyDescent="0.2">
      <c r="A962" s="334"/>
      <c r="B962" s="334"/>
      <c r="C962" s="334"/>
      <c r="D962" s="394"/>
      <c r="E962" s="394"/>
      <c r="F962" s="413"/>
      <c r="G962" s="394"/>
      <c r="H962" s="394"/>
      <c r="I962" s="387"/>
      <c r="J962" s="394"/>
      <c r="K962" s="394"/>
      <c r="L962" s="413"/>
      <c r="M962" s="394"/>
      <c r="N962" s="394"/>
      <c r="O962" s="380"/>
      <c r="P962" s="380"/>
      <c r="Q962" s="380"/>
    </row>
    <row r="963" spans="1:17" ht="15.75" thickBot="1" x14ac:dyDescent="0.25">
      <c r="A963" s="334"/>
      <c r="B963" s="334"/>
      <c r="C963" s="334"/>
      <c r="D963" s="411">
        <f>SUM(D928:D961)</f>
        <v>520</v>
      </c>
      <c r="E963" s="411">
        <f>SUM(E928:E961)</f>
        <v>0</v>
      </c>
      <c r="F963" s="414">
        <f>SUM(F928:F961)</f>
        <v>5000</v>
      </c>
      <c r="G963" s="411"/>
      <c r="H963" s="411">
        <f>SUM(H928:H961)</f>
        <v>1500</v>
      </c>
      <c r="I963" s="387"/>
      <c r="J963" s="411">
        <f>SUM(J928:J961)</f>
        <v>200</v>
      </c>
      <c r="K963" s="411">
        <f>SUM(K928:K961)</f>
        <v>1000</v>
      </c>
      <c r="L963" s="414">
        <f>SUM(L928:L961)</f>
        <v>5000</v>
      </c>
      <c r="M963" s="411"/>
      <c r="N963" s="411">
        <f>SUM(N928:N961)</f>
        <v>1500</v>
      </c>
      <c r="O963" s="380"/>
      <c r="P963" s="380"/>
      <c r="Q963" s="380"/>
    </row>
    <row r="964" spans="1:17" x14ac:dyDescent="0.2">
      <c r="A964" s="334"/>
      <c r="B964" s="334"/>
      <c r="C964" s="334"/>
      <c r="D964" s="334"/>
      <c r="E964" s="334"/>
      <c r="F964" s="412"/>
      <c r="G964" s="334"/>
      <c r="H964" s="334"/>
      <c r="I964" s="387"/>
      <c r="J964" s="334"/>
      <c r="K964" s="334"/>
      <c r="L964" s="412"/>
      <c r="M964" s="334"/>
      <c r="N964" s="334"/>
      <c r="O964" s="380"/>
      <c r="P964" s="380"/>
      <c r="Q964" s="380"/>
    </row>
    <row r="965" spans="1:17" ht="15.75" x14ac:dyDescent="0.25">
      <c r="A965" s="334"/>
      <c r="B965" s="334"/>
      <c r="C965" s="334"/>
      <c r="D965" s="334"/>
      <c r="E965" s="334"/>
      <c r="F965" s="412"/>
      <c r="G965" s="334"/>
      <c r="H965" s="334"/>
      <c r="I965" s="397"/>
      <c r="J965" s="334"/>
      <c r="K965" s="334"/>
      <c r="L965" s="412"/>
      <c r="M965" s="334"/>
      <c r="N965" s="334"/>
      <c r="O965" s="380"/>
      <c r="P965" s="380"/>
      <c r="Q965" s="380"/>
    </row>
    <row r="966" spans="1:17" x14ac:dyDescent="0.2">
      <c r="A966" s="334"/>
      <c r="B966" s="334"/>
      <c r="C966" s="334"/>
      <c r="D966" s="334"/>
      <c r="E966" s="334"/>
      <c r="F966" s="412"/>
      <c r="G966" s="334"/>
      <c r="H966" s="334"/>
      <c r="I966" s="387"/>
      <c r="J966" s="334"/>
      <c r="K966" s="334"/>
      <c r="L966" s="412"/>
      <c r="M966" s="334"/>
      <c r="N966" s="334"/>
      <c r="O966" s="380"/>
      <c r="P966" s="380"/>
      <c r="Q966" s="380"/>
    </row>
    <row r="967" spans="1:17" x14ac:dyDescent="0.2">
      <c r="A967" s="334" t="s">
        <v>539</v>
      </c>
      <c r="B967" s="380"/>
      <c r="C967" s="380"/>
      <c r="D967" s="334"/>
      <c r="E967" s="334"/>
      <c r="F967" s="412"/>
      <c r="G967" s="334"/>
      <c r="H967" s="334"/>
      <c r="I967" s="387"/>
      <c r="J967" s="334"/>
      <c r="K967" s="334"/>
      <c r="L967" s="412"/>
      <c r="M967" s="334"/>
      <c r="N967" s="334"/>
      <c r="O967" s="380"/>
      <c r="P967" s="380"/>
      <c r="Q967" s="380"/>
    </row>
    <row r="968" spans="1:17" x14ac:dyDescent="0.2">
      <c r="A968" s="380"/>
      <c r="B968" s="380"/>
      <c r="C968" s="384" t="s">
        <v>436</v>
      </c>
      <c r="D968" s="380" t="s">
        <v>198</v>
      </c>
      <c r="E968" s="380" t="s">
        <v>486</v>
      </c>
      <c r="F968" s="378" t="s">
        <v>488</v>
      </c>
      <c r="G968" s="380"/>
      <c r="H968" s="380" t="s">
        <v>1789</v>
      </c>
      <c r="I968" s="387"/>
      <c r="J968" s="380" t="s">
        <v>198</v>
      </c>
      <c r="K968" s="380" t="s">
        <v>486</v>
      </c>
      <c r="L968" s="378" t="s">
        <v>488</v>
      </c>
      <c r="M968" s="380"/>
      <c r="N968" s="380" t="s">
        <v>1789</v>
      </c>
      <c r="O968" s="380"/>
      <c r="P968" s="380"/>
      <c r="Q968" s="380"/>
    </row>
    <row r="969" spans="1:17" x14ac:dyDescent="0.2">
      <c r="A969" s="380"/>
      <c r="B969" s="380"/>
      <c r="C969" s="380"/>
      <c r="D969" s="384" t="s">
        <v>197</v>
      </c>
      <c r="E969" s="384" t="s">
        <v>487</v>
      </c>
      <c r="F969" s="421" t="s">
        <v>1783</v>
      </c>
      <c r="G969" s="384"/>
      <c r="H969" s="384" t="s">
        <v>1790</v>
      </c>
      <c r="I969" s="387"/>
      <c r="J969" s="384" t="s">
        <v>197</v>
      </c>
      <c r="K969" s="384" t="s">
        <v>487</v>
      </c>
      <c r="L969" s="421" t="s">
        <v>1783</v>
      </c>
      <c r="M969" s="384"/>
      <c r="N969" s="384" t="s">
        <v>1790</v>
      </c>
      <c r="O969" s="380"/>
      <c r="P969" s="380"/>
      <c r="Q969" s="380"/>
    </row>
    <row r="970" spans="1:17" x14ac:dyDescent="0.2">
      <c r="A970" s="334" t="s">
        <v>342</v>
      </c>
      <c r="B970" s="380"/>
      <c r="C970" s="334" t="s">
        <v>342</v>
      </c>
      <c r="D970" s="380"/>
      <c r="E970" s="380"/>
      <c r="F970" s="378"/>
      <c r="G970" s="380"/>
      <c r="H970" s="380"/>
      <c r="I970" s="387"/>
      <c r="J970" s="380"/>
      <c r="K970" s="380"/>
      <c r="L970" s="378"/>
      <c r="M970" s="380"/>
      <c r="N970" s="380"/>
      <c r="O970" s="380"/>
      <c r="P970" s="380"/>
      <c r="Q970" s="380"/>
    </row>
    <row r="971" spans="1:17" x14ac:dyDescent="0.2">
      <c r="A971" s="334" t="s">
        <v>1723</v>
      </c>
      <c r="B971" s="380"/>
      <c r="C971" s="334" t="s">
        <v>1880</v>
      </c>
      <c r="D971" s="380" t="s">
        <v>181</v>
      </c>
      <c r="E971" s="380" t="s">
        <v>181</v>
      </c>
      <c r="F971" s="378" t="s">
        <v>181</v>
      </c>
      <c r="G971" s="380"/>
      <c r="H971" s="380" t="s">
        <v>181</v>
      </c>
      <c r="I971" s="387"/>
      <c r="J971" s="380" t="s">
        <v>181</v>
      </c>
      <c r="K971" s="380" t="s">
        <v>181</v>
      </c>
      <c r="L971" s="378" t="s">
        <v>181</v>
      </c>
      <c r="M971" s="380"/>
      <c r="N971" s="380" t="s">
        <v>181</v>
      </c>
      <c r="O971" s="380"/>
      <c r="P971" s="380"/>
      <c r="Q971" s="380"/>
    </row>
    <row r="972" spans="1:17" x14ac:dyDescent="0.2">
      <c r="A972" s="380"/>
      <c r="B972" s="380"/>
      <c r="C972" s="380"/>
      <c r="D972" s="380"/>
      <c r="E972" s="380"/>
      <c r="F972" s="378"/>
      <c r="G972" s="380"/>
      <c r="H972" s="380"/>
      <c r="I972" s="387"/>
      <c r="J972" s="380"/>
      <c r="K972" s="380"/>
      <c r="L972" s="378"/>
      <c r="M972" s="380"/>
      <c r="N972" s="380"/>
      <c r="O972" s="380"/>
      <c r="P972" s="380"/>
      <c r="Q972" s="380"/>
    </row>
    <row r="973" spans="1:17" x14ac:dyDescent="0.2">
      <c r="A973" s="334" t="s">
        <v>1733</v>
      </c>
      <c r="B973" s="380"/>
      <c r="C973" s="334" t="s">
        <v>27</v>
      </c>
      <c r="D973" s="377"/>
      <c r="E973" s="377"/>
      <c r="F973" s="378"/>
      <c r="G973" s="377"/>
      <c r="H973" s="377"/>
      <c r="I973" s="399"/>
      <c r="J973" s="377"/>
      <c r="K973" s="377"/>
      <c r="L973" s="378"/>
      <c r="M973" s="377"/>
      <c r="N973" s="377"/>
      <c r="O973" s="380"/>
      <c r="P973" s="380"/>
      <c r="Q973" s="380"/>
    </row>
    <row r="974" spans="1:17" x14ac:dyDescent="0.2">
      <c r="A974" s="334" t="s">
        <v>1743</v>
      </c>
      <c r="B974" s="380"/>
      <c r="C974" s="334" t="s">
        <v>1886</v>
      </c>
      <c r="D974" s="377"/>
      <c r="E974" s="377"/>
      <c r="F974" s="378"/>
      <c r="G974" s="377"/>
      <c r="H974" s="377"/>
      <c r="I974" s="399"/>
      <c r="J974" s="377"/>
      <c r="K974" s="377"/>
      <c r="L974" s="378"/>
      <c r="M974" s="377"/>
      <c r="N974" s="377"/>
      <c r="O974" s="380"/>
      <c r="P974" s="380"/>
      <c r="Q974" s="380"/>
    </row>
    <row r="975" spans="1:17" x14ac:dyDescent="0.2">
      <c r="A975" s="334" t="s">
        <v>1569</v>
      </c>
      <c r="B975" s="380"/>
      <c r="C975" s="334" t="s">
        <v>1888</v>
      </c>
      <c r="D975" s="377"/>
      <c r="E975" s="377"/>
      <c r="F975" s="378"/>
      <c r="G975" s="377"/>
      <c r="H975" s="377"/>
      <c r="I975" s="399"/>
      <c r="J975" s="377"/>
      <c r="K975" s="377"/>
      <c r="L975" s="378"/>
      <c r="M975" s="377"/>
      <c r="N975" s="377"/>
      <c r="O975" s="380"/>
      <c r="P975" s="380"/>
      <c r="Q975" s="380"/>
    </row>
    <row r="976" spans="1:17" x14ac:dyDescent="0.2">
      <c r="A976" s="334" t="s">
        <v>1724</v>
      </c>
      <c r="B976" s="380"/>
      <c r="C976" s="334" t="s">
        <v>1881</v>
      </c>
      <c r="D976" s="377"/>
      <c r="E976" s="377"/>
      <c r="F976" s="378"/>
      <c r="G976" s="377"/>
      <c r="H976" s="377"/>
      <c r="I976" s="399"/>
      <c r="J976" s="377">
        <v>0</v>
      </c>
      <c r="K976" s="377"/>
      <c r="L976" s="378"/>
      <c r="M976" s="377"/>
      <c r="N976" s="377"/>
      <c r="O976" s="380"/>
      <c r="P976" s="380"/>
      <c r="Q976" s="380"/>
    </row>
    <row r="977" spans="1:17" x14ac:dyDescent="0.2">
      <c r="A977" s="334" t="s">
        <v>1736</v>
      </c>
      <c r="B977" s="380"/>
      <c r="C977" s="334" t="s">
        <v>1747</v>
      </c>
      <c r="D977" s="377"/>
      <c r="E977" s="377"/>
      <c r="F977" s="378"/>
      <c r="G977" s="377"/>
      <c r="H977" s="377"/>
      <c r="I977" s="399"/>
      <c r="J977" s="377"/>
      <c r="K977" s="377"/>
      <c r="L977" s="378"/>
      <c r="M977" s="377"/>
      <c r="N977" s="377"/>
      <c r="O977" s="380"/>
      <c r="P977" s="380"/>
      <c r="Q977" s="380"/>
    </row>
    <row r="978" spans="1:17" x14ac:dyDescent="0.2">
      <c r="A978" s="334" t="s">
        <v>1744</v>
      </c>
      <c r="B978" s="380"/>
      <c r="C978" s="334" t="s">
        <v>1254</v>
      </c>
      <c r="D978" s="377"/>
      <c r="E978" s="377"/>
      <c r="F978" s="378"/>
      <c r="G978" s="377"/>
      <c r="H978" s="377"/>
      <c r="I978" s="399"/>
      <c r="J978" s="377"/>
      <c r="K978" s="377"/>
      <c r="L978" s="378"/>
      <c r="M978" s="377"/>
      <c r="N978" s="377"/>
      <c r="O978" s="380"/>
      <c r="P978" s="380"/>
      <c r="Q978" s="380"/>
    </row>
    <row r="979" spans="1:17" x14ac:dyDescent="0.2">
      <c r="A979" s="334" t="s">
        <v>1575</v>
      </c>
      <c r="B979" s="380"/>
      <c r="C979" s="334" t="s">
        <v>1889</v>
      </c>
      <c r="D979" s="377"/>
      <c r="E979" s="377"/>
      <c r="F979" s="378"/>
      <c r="G979" s="377"/>
      <c r="H979" s="377"/>
      <c r="I979" s="399"/>
      <c r="J979" s="377"/>
      <c r="K979" s="377"/>
      <c r="L979" s="378"/>
      <c r="M979" s="377"/>
      <c r="N979" s="377"/>
      <c r="O979" s="380"/>
      <c r="P979" s="380"/>
      <c r="Q979" s="380"/>
    </row>
    <row r="980" spans="1:17" x14ac:dyDescent="0.2">
      <c r="A980" s="334" t="s">
        <v>1725</v>
      </c>
      <c r="B980" s="380"/>
      <c r="C980" s="334" t="s">
        <v>1890</v>
      </c>
      <c r="D980" s="377"/>
      <c r="E980" s="377"/>
      <c r="F980" s="378"/>
      <c r="G980" s="377"/>
      <c r="H980" s="377"/>
      <c r="I980" s="399"/>
      <c r="J980" s="377"/>
      <c r="K980" s="377"/>
      <c r="L980" s="378"/>
      <c r="M980" s="377"/>
      <c r="N980" s="377"/>
      <c r="O980" s="380"/>
      <c r="P980" s="380"/>
      <c r="Q980" s="380"/>
    </row>
    <row r="981" spans="1:17" x14ac:dyDescent="0.2">
      <c r="A981" s="334" t="s">
        <v>1565</v>
      </c>
      <c r="B981" s="380"/>
      <c r="C981" s="334" t="s">
        <v>1927</v>
      </c>
      <c r="D981" s="377"/>
      <c r="E981" s="377"/>
      <c r="F981" s="378">
        <v>800</v>
      </c>
      <c r="G981" s="377"/>
      <c r="H981" s="377"/>
      <c r="I981" s="399"/>
      <c r="J981" s="377"/>
      <c r="K981" s="377"/>
      <c r="L981" s="378"/>
      <c r="M981" s="377"/>
      <c r="N981" s="377"/>
      <c r="O981" s="380"/>
      <c r="P981" s="380"/>
      <c r="Q981" s="380"/>
    </row>
    <row r="982" spans="1:17" x14ac:dyDescent="0.2">
      <c r="A982" s="334" t="s">
        <v>1737</v>
      </c>
      <c r="B982" s="380"/>
      <c r="C982" s="334" t="s">
        <v>1928</v>
      </c>
      <c r="D982" s="377"/>
      <c r="E982" s="377">
        <v>200</v>
      </c>
      <c r="F982" s="378"/>
      <c r="G982" s="377"/>
      <c r="H982" s="377"/>
      <c r="I982" s="399"/>
      <c r="J982" s="377"/>
      <c r="K982" s="377">
        <v>200</v>
      </c>
      <c r="L982" s="378">
        <v>800</v>
      </c>
      <c r="M982" s="377"/>
      <c r="N982" s="377"/>
      <c r="O982" s="380"/>
      <c r="P982" s="380"/>
      <c r="Q982" s="380"/>
    </row>
    <row r="983" spans="1:17" x14ac:dyDescent="0.2">
      <c r="A983" s="334" t="s">
        <v>1726</v>
      </c>
      <c r="B983" s="380"/>
      <c r="C983" s="334" t="s">
        <v>1117</v>
      </c>
      <c r="D983" s="377"/>
      <c r="E983" s="377">
        <v>5000</v>
      </c>
      <c r="F983" s="378">
        <v>7000</v>
      </c>
      <c r="G983" s="377"/>
      <c r="H983" s="377">
        <v>400</v>
      </c>
      <c r="I983" s="399"/>
      <c r="J983" s="377"/>
      <c r="K983" s="377">
        <v>5000</v>
      </c>
      <c r="L983" s="378">
        <v>7000</v>
      </c>
      <c r="M983" s="377"/>
      <c r="N983" s="377">
        <v>400</v>
      </c>
      <c r="O983" s="380"/>
      <c r="P983" s="380"/>
      <c r="Q983" s="380"/>
    </row>
    <row r="984" spans="1:17" x14ac:dyDescent="0.2">
      <c r="A984" s="334" t="s">
        <v>1756</v>
      </c>
      <c r="B984" s="380"/>
      <c r="C984" s="334" t="s">
        <v>3137</v>
      </c>
      <c r="D984" s="377"/>
      <c r="E984" s="377"/>
      <c r="F984" s="378"/>
      <c r="G984" s="377"/>
      <c r="H984" s="377"/>
      <c r="I984" s="399"/>
      <c r="J984" s="377"/>
      <c r="K984" s="377"/>
      <c r="L984" s="378"/>
      <c r="M984" s="377"/>
      <c r="N984" s="377"/>
      <c r="O984" s="380"/>
      <c r="P984" s="380"/>
      <c r="Q984" s="380"/>
    </row>
    <row r="985" spans="1:17" x14ac:dyDescent="0.2">
      <c r="A985" s="334" t="s">
        <v>1751</v>
      </c>
      <c r="B985" s="380"/>
      <c r="C985" s="334" t="s">
        <v>3138</v>
      </c>
      <c r="D985" s="377"/>
      <c r="E985" s="377"/>
      <c r="F985" s="378"/>
      <c r="G985" s="377"/>
      <c r="H985" s="377"/>
      <c r="I985" s="399"/>
      <c r="J985" s="377"/>
      <c r="K985" s="377"/>
      <c r="L985" s="378"/>
      <c r="M985" s="377"/>
      <c r="N985" s="377"/>
      <c r="O985" s="380"/>
      <c r="P985" s="380"/>
      <c r="Q985" s="380"/>
    </row>
    <row r="986" spans="1:17" x14ac:dyDescent="0.2">
      <c r="A986" s="334" t="s">
        <v>1752</v>
      </c>
      <c r="B986" s="380"/>
      <c r="C986" s="334" t="s">
        <v>367</v>
      </c>
      <c r="D986" s="377"/>
      <c r="E986" s="377"/>
      <c r="F986" s="378"/>
      <c r="G986" s="377"/>
      <c r="H986" s="377"/>
      <c r="I986" s="399"/>
      <c r="J986" s="377"/>
      <c r="K986" s="377"/>
      <c r="L986" s="378"/>
      <c r="M986" s="377"/>
      <c r="N986" s="377"/>
      <c r="O986" s="380"/>
      <c r="P986" s="380"/>
      <c r="Q986" s="380"/>
    </row>
    <row r="987" spans="1:17" x14ac:dyDescent="0.2">
      <c r="A987" s="334" t="s">
        <v>1577</v>
      </c>
      <c r="B987" s="380"/>
      <c r="C987" s="334" t="s">
        <v>1815</v>
      </c>
      <c r="D987" s="377"/>
      <c r="E987" s="377"/>
      <c r="F987" s="378"/>
      <c r="G987" s="377"/>
      <c r="H987" s="377"/>
      <c r="I987" s="399"/>
      <c r="J987" s="377"/>
      <c r="K987" s="377"/>
      <c r="L987" s="378"/>
      <c r="M987" s="377"/>
      <c r="N987" s="377"/>
      <c r="O987" s="380"/>
      <c r="P987" s="380"/>
      <c r="Q987" s="380"/>
    </row>
    <row r="988" spans="1:17" x14ac:dyDescent="0.2">
      <c r="A988" s="334" t="s">
        <v>1753</v>
      </c>
      <c r="B988" s="380"/>
      <c r="C988" s="334" t="s">
        <v>1816</v>
      </c>
      <c r="D988" s="377"/>
      <c r="E988" s="377"/>
      <c r="F988" s="378"/>
      <c r="G988" s="377"/>
      <c r="H988" s="377"/>
      <c r="I988" s="399"/>
      <c r="J988" s="377"/>
      <c r="K988" s="377"/>
      <c r="L988" s="378"/>
      <c r="M988" s="377"/>
      <c r="N988" s="377"/>
      <c r="O988" s="380"/>
      <c r="P988" s="380"/>
      <c r="Q988" s="380"/>
    </row>
    <row r="989" spans="1:17" x14ac:dyDescent="0.2">
      <c r="A989" s="334" t="s">
        <v>1734</v>
      </c>
      <c r="B989" s="380"/>
      <c r="C989" s="334" t="s">
        <v>1746</v>
      </c>
      <c r="D989" s="377"/>
      <c r="E989" s="377"/>
      <c r="F989" s="378"/>
      <c r="G989" s="377"/>
      <c r="H989" s="377"/>
      <c r="I989" s="399"/>
      <c r="J989" s="377"/>
      <c r="K989" s="377"/>
      <c r="L989" s="378"/>
      <c r="M989" s="377"/>
      <c r="N989" s="377"/>
      <c r="O989" s="380"/>
      <c r="P989" s="380"/>
      <c r="Q989" s="380"/>
    </row>
    <row r="990" spans="1:17" x14ac:dyDescent="0.2">
      <c r="A990" s="334" t="s">
        <v>1571</v>
      </c>
      <c r="B990" s="380"/>
      <c r="C990" s="334" t="s">
        <v>3</v>
      </c>
      <c r="D990" s="377"/>
      <c r="E990" s="377"/>
      <c r="F990" s="378"/>
      <c r="G990" s="377"/>
      <c r="H990" s="377"/>
      <c r="I990" s="399"/>
      <c r="J990" s="377"/>
      <c r="K990" s="377"/>
      <c r="L990" s="378"/>
      <c r="M990" s="377"/>
      <c r="N990" s="377"/>
      <c r="O990" s="380"/>
      <c r="P990" s="380"/>
      <c r="Q990" s="380"/>
    </row>
    <row r="991" spans="1:17" x14ac:dyDescent="0.2">
      <c r="A991" s="334" t="s">
        <v>1738</v>
      </c>
      <c r="B991" s="380"/>
      <c r="C991" s="334" t="s">
        <v>1591</v>
      </c>
      <c r="D991" s="377"/>
      <c r="E991" s="377"/>
      <c r="F991" s="378"/>
      <c r="G991" s="377"/>
      <c r="H991" s="377"/>
      <c r="I991" s="399"/>
      <c r="J991" s="377"/>
      <c r="K991" s="377"/>
      <c r="L991" s="378"/>
      <c r="M991" s="377"/>
      <c r="N991" s="377"/>
      <c r="O991" s="380"/>
      <c r="P991" s="380"/>
      <c r="Q991" s="380"/>
    </row>
    <row r="992" spans="1:17" x14ac:dyDescent="0.2">
      <c r="A992" s="334" t="s">
        <v>1727</v>
      </c>
      <c r="B992" s="380"/>
      <c r="C992" s="334" t="s">
        <v>307</v>
      </c>
      <c r="D992" s="377"/>
      <c r="E992" s="377"/>
      <c r="F992" s="378"/>
      <c r="G992" s="377"/>
      <c r="H992" s="377"/>
      <c r="I992" s="399"/>
      <c r="J992" s="377"/>
      <c r="K992" s="377"/>
      <c r="L992" s="378"/>
      <c r="M992" s="377"/>
      <c r="N992" s="377"/>
      <c r="O992" s="380"/>
      <c r="P992" s="380"/>
      <c r="Q992" s="380"/>
    </row>
    <row r="993" spans="1:17" x14ac:dyDescent="0.2">
      <c r="A993" s="334" t="s">
        <v>1728</v>
      </c>
      <c r="B993" s="380"/>
      <c r="C993" s="334" t="s">
        <v>310</v>
      </c>
      <c r="D993" s="377"/>
      <c r="E993" s="377"/>
      <c r="F993" s="378"/>
      <c r="G993" s="377"/>
      <c r="H993" s="377"/>
      <c r="I993" s="399"/>
      <c r="J993" s="377"/>
      <c r="K993" s="377"/>
      <c r="L993" s="378"/>
      <c r="M993" s="377"/>
      <c r="N993" s="377"/>
      <c r="O993" s="380"/>
      <c r="P993" s="380"/>
      <c r="Q993" s="380"/>
    </row>
    <row r="994" spans="1:17" x14ac:dyDescent="0.2">
      <c r="A994" s="334" t="s">
        <v>1729</v>
      </c>
      <c r="B994" s="380"/>
      <c r="C994" s="380" t="s">
        <v>1551</v>
      </c>
      <c r="D994" s="377"/>
      <c r="E994" s="377"/>
      <c r="F994" s="378"/>
      <c r="G994" s="377"/>
      <c r="H994" s="377">
        <v>-400</v>
      </c>
      <c r="I994" s="399"/>
      <c r="J994" s="377"/>
      <c r="K994" s="377"/>
      <c r="L994" s="378"/>
      <c r="M994" s="377"/>
      <c r="N994" s="377"/>
      <c r="O994" s="380"/>
      <c r="P994" s="380"/>
      <c r="Q994" s="380"/>
    </row>
    <row r="995" spans="1:17" x14ac:dyDescent="0.2">
      <c r="A995" s="334" t="s">
        <v>1735</v>
      </c>
      <c r="B995" s="380"/>
      <c r="C995" s="380" t="s">
        <v>194</v>
      </c>
      <c r="D995" s="377"/>
      <c r="E995" s="377"/>
      <c r="F995" s="378"/>
      <c r="G995" s="377"/>
      <c r="H995" s="377"/>
      <c r="I995" s="399"/>
      <c r="J995" s="377"/>
      <c r="K995" s="377"/>
      <c r="L995" s="378"/>
      <c r="M995" s="377"/>
      <c r="N995" s="377"/>
      <c r="O995" s="380"/>
      <c r="P995" s="380"/>
      <c r="Q995" s="380"/>
    </row>
    <row r="996" spans="1:17" x14ac:dyDescent="0.2">
      <c r="A996" s="334" t="s">
        <v>1741</v>
      </c>
      <c r="B996" s="380"/>
      <c r="C996" s="334" t="s">
        <v>1748</v>
      </c>
      <c r="D996" s="377"/>
      <c r="E996" s="377"/>
      <c r="F996" s="378"/>
      <c r="G996" s="377"/>
      <c r="H996" s="377"/>
      <c r="I996" s="399"/>
      <c r="J996" s="377"/>
      <c r="K996" s="377"/>
      <c r="L996" s="378"/>
      <c r="M996" s="377"/>
      <c r="N996" s="377"/>
      <c r="O996" s="380"/>
      <c r="P996" s="380"/>
      <c r="Q996" s="380"/>
    </row>
    <row r="997" spans="1:17" x14ac:dyDescent="0.2">
      <c r="A997" s="334" t="s">
        <v>1742</v>
      </c>
      <c r="B997" s="380"/>
      <c r="C997" s="334" t="s">
        <v>1553</v>
      </c>
      <c r="D997" s="377"/>
      <c r="E997" s="377"/>
      <c r="F997" s="378"/>
      <c r="G997" s="377"/>
      <c r="H997" s="377"/>
      <c r="I997" s="399"/>
      <c r="J997" s="377"/>
      <c r="K997" s="377"/>
      <c r="L997" s="378"/>
      <c r="M997" s="377"/>
      <c r="N997" s="377"/>
      <c r="O997" s="380"/>
      <c r="P997" s="380"/>
      <c r="Q997" s="380"/>
    </row>
    <row r="998" spans="1:17" x14ac:dyDescent="0.2">
      <c r="A998" s="334" t="s">
        <v>1754</v>
      </c>
      <c r="B998" s="380"/>
      <c r="C998" s="334" t="s">
        <v>1929</v>
      </c>
      <c r="D998" s="377"/>
      <c r="E998" s="377"/>
      <c r="F998" s="378"/>
      <c r="G998" s="377"/>
      <c r="H998" s="377"/>
      <c r="I998" s="399"/>
      <c r="J998" s="377"/>
      <c r="K998" s="377"/>
      <c r="L998" s="378"/>
      <c r="M998" s="377"/>
      <c r="N998" s="377"/>
      <c r="O998" s="380"/>
      <c r="P998" s="380"/>
      <c r="Q998" s="380"/>
    </row>
    <row r="999" spans="1:17" x14ac:dyDescent="0.2">
      <c r="A999" s="334" t="s">
        <v>1584</v>
      </c>
      <c r="B999" s="380"/>
      <c r="C999" s="334" t="s">
        <v>0</v>
      </c>
      <c r="D999" s="377"/>
      <c r="E999" s="377"/>
      <c r="F999" s="378"/>
      <c r="G999" s="377"/>
      <c r="H999" s="377"/>
      <c r="I999" s="399"/>
      <c r="J999" s="377"/>
      <c r="K999" s="377"/>
      <c r="L999" s="378"/>
      <c r="M999" s="377"/>
      <c r="N999" s="377"/>
      <c r="O999" s="380"/>
      <c r="P999" s="380"/>
      <c r="Q999" s="380"/>
    </row>
    <row r="1000" spans="1:17" x14ac:dyDescent="0.2">
      <c r="A1000" s="334" t="s">
        <v>1580</v>
      </c>
      <c r="B1000" s="380"/>
      <c r="C1000" s="334" t="s">
        <v>1936</v>
      </c>
      <c r="D1000" s="377"/>
      <c r="E1000" s="377"/>
      <c r="F1000" s="378"/>
      <c r="G1000" s="377"/>
      <c r="H1000" s="377"/>
      <c r="I1000" s="399"/>
      <c r="J1000" s="377"/>
      <c r="K1000" s="377"/>
      <c r="L1000" s="378"/>
      <c r="M1000" s="377"/>
      <c r="N1000" s="377"/>
      <c r="O1000" s="380"/>
      <c r="P1000" s="380"/>
      <c r="Q1000" s="380"/>
    </row>
    <row r="1001" spans="1:17" x14ac:dyDescent="0.2">
      <c r="A1001" s="334" t="s">
        <v>1572</v>
      </c>
      <c r="B1001" s="380"/>
      <c r="C1001" s="334" t="s">
        <v>3134</v>
      </c>
      <c r="D1001" s="377"/>
      <c r="E1001" s="377"/>
      <c r="F1001" s="378"/>
      <c r="G1001" s="377"/>
      <c r="H1001" s="377"/>
      <c r="I1001" s="399"/>
      <c r="J1001" s="377"/>
      <c r="K1001" s="377"/>
      <c r="L1001" s="378"/>
      <c r="M1001" s="377"/>
      <c r="N1001" s="377"/>
      <c r="O1001" s="380"/>
      <c r="P1001" s="380"/>
      <c r="Q1001" s="380"/>
    </row>
    <row r="1002" spans="1:17" x14ac:dyDescent="0.2">
      <c r="A1002" s="334" t="s">
        <v>1730</v>
      </c>
      <c r="B1002" s="380"/>
      <c r="C1002" s="334" t="s">
        <v>1985</v>
      </c>
      <c r="D1002" s="377"/>
      <c r="E1002" s="377">
        <v>300</v>
      </c>
      <c r="F1002" s="378"/>
      <c r="G1002" s="377"/>
      <c r="H1002" s="377"/>
      <c r="I1002" s="399"/>
      <c r="J1002" s="377"/>
      <c r="K1002" s="377">
        <v>300</v>
      </c>
      <c r="L1002" s="378"/>
      <c r="M1002" s="377"/>
      <c r="N1002" s="377"/>
      <c r="O1002" s="380"/>
      <c r="P1002" s="380"/>
      <c r="Q1002" s="380"/>
    </row>
    <row r="1003" spans="1:17" x14ac:dyDescent="0.2">
      <c r="A1003" s="334" t="s">
        <v>1566</v>
      </c>
      <c r="B1003" s="380"/>
      <c r="C1003" s="334" t="s">
        <v>366</v>
      </c>
      <c r="D1003" s="377"/>
      <c r="E1003" s="377">
        <v>1000</v>
      </c>
      <c r="F1003" s="378">
        <v>1000</v>
      </c>
      <c r="G1003" s="377"/>
      <c r="H1003" s="377"/>
      <c r="I1003" s="399"/>
      <c r="J1003" s="377"/>
      <c r="K1003" s="377">
        <v>1000</v>
      </c>
      <c r="L1003" s="378">
        <v>1000</v>
      </c>
      <c r="M1003" s="377"/>
      <c r="N1003" s="377"/>
      <c r="O1003" s="380"/>
      <c r="P1003" s="380"/>
      <c r="Q1003" s="380"/>
    </row>
    <row r="1004" spans="1:17" x14ac:dyDescent="0.2">
      <c r="A1004" s="334" t="s">
        <v>1755</v>
      </c>
      <c r="B1004" s="380"/>
      <c r="C1004" s="380" t="s">
        <v>1986</v>
      </c>
      <c r="D1004" s="377"/>
      <c r="E1004" s="377">
        <v>500</v>
      </c>
      <c r="F1004" s="378">
        <v>1000</v>
      </c>
      <c r="G1004" s="377"/>
      <c r="H1004" s="377"/>
      <c r="I1004" s="399"/>
      <c r="J1004" s="377"/>
      <c r="K1004" s="377">
        <v>500</v>
      </c>
      <c r="L1004" s="378">
        <v>1000</v>
      </c>
      <c r="M1004" s="377"/>
      <c r="N1004" s="377"/>
      <c r="O1004" s="380"/>
      <c r="P1004" s="380"/>
      <c r="Q1004" s="380"/>
    </row>
    <row r="1005" spans="1:17" x14ac:dyDescent="0.2">
      <c r="A1005" s="334" t="s">
        <v>1567</v>
      </c>
      <c r="B1005" s="380"/>
      <c r="C1005" s="334" t="s">
        <v>3142</v>
      </c>
      <c r="D1005" s="377"/>
      <c r="E1005" s="377">
        <v>1300</v>
      </c>
      <c r="F1005" s="378"/>
      <c r="G1005" s="377"/>
      <c r="H1005" s="377"/>
      <c r="I1005" s="399"/>
      <c r="J1005" s="377"/>
      <c r="K1005" s="377">
        <v>1300</v>
      </c>
      <c r="L1005" s="378"/>
      <c r="M1005" s="377"/>
      <c r="N1005" s="377"/>
      <c r="O1005" s="380"/>
      <c r="P1005" s="380"/>
      <c r="Q1005" s="380"/>
    </row>
    <row r="1006" spans="1:17" x14ac:dyDescent="0.2">
      <c r="A1006" s="334"/>
      <c r="B1006" s="334"/>
      <c r="C1006" s="334"/>
      <c r="D1006" s="394"/>
      <c r="E1006" s="394"/>
      <c r="F1006" s="413"/>
      <c r="G1006" s="394"/>
      <c r="H1006" s="394"/>
      <c r="I1006" s="387"/>
      <c r="J1006" s="394"/>
      <c r="K1006" s="394"/>
      <c r="L1006" s="413"/>
      <c r="M1006" s="394"/>
      <c r="N1006" s="394"/>
      <c r="O1006" s="380"/>
      <c r="P1006" s="380"/>
      <c r="Q1006" s="380"/>
    </row>
    <row r="1007" spans="1:17" ht="15.75" thickBot="1" x14ac:dyDescent="0.25">
      <c r="A1007" s="334"/>
      <c r="B1007" s="334"/>
      <c r="C1007" s="334"/>
      <c r="D1007" s="411">
        <f>SUM(D973:D1005)</f>
        <v>0</v>
      </c>
      <c r="E1007" s="411">
        <f>SUM(E973:E1005)</f>
        <v>8300</v>
      </c>
      <c r="F1007" s="414">
        <f>SUM(F973:F1005)</f>
        <v>9800</v>
      </c>
      <c r="G1007" s="411"/>
      <c r="H1007" s="411">
        <f>SUM(H973:H1005)</f>
        <v>0</v>
      </c>
      <c r="I1007" s="387"/>
      <c r="J1007" s="411">
        <f>SUM(J973:J1005)</f>
        <v>0</v>
      </c>
      <c r="K1007" s="411">
        <f>SUM(K973:K1005)</f>
        <v>8300</v>
      </c>
      <c r="L1007" s="414">
        <f>SUM(L973:L1005)</f>
        <v>9800</v>
      </c>
      <c r="M1007" s="411"/>
      <c r="N1007" s="411">
        <f>SUM(N973:N1005)</f>
        <v>400</v>
      </c>
      <c r="O1007" s="380"/>
      <c r="P1007" s="380"/>
      <c r="Q1007" s="380"/>
    </row>
    <row r="1008" spans="1:17" x14ac:dyDescent="0.2">
      <c r="A1008" s="334"/>
      <c r="B1008" s="334"/>
      <c r="C1008" s="334"/>
      <c r="D1008" s="334"/>
      <c r="E1008" s="334"/>
      <c r="F1008" s="412"/>
      <c r="G1008" s="334"/>
      <c r="H1008" s="334"/>
      <c r="I1008" s="387"/>
      <c r="J1008" s="334"/>
      <c r="K1008" s="334"/>
      <c r="L1008" s="412"/>
      <c r="M1008" s="334"/>
      <c r="N1008" s="334"/>
      <c r="O1008" s="380"/>
      <c r="P1008" s="380"/>
      <c r="Q1008" s="380"/>
    </row>
    <row r="1009" spans="1:17" ht="15.75" x14ac:dyDescent="0.25">
      <c r="A1009" s="334"/>
      <c r="B1009" s="334"/>
      <c r="C1009" s="334"/>
      <c r="D1009" s="334"/>
      <c r="E1009" s="334"/>
      <c r="F1009" s="412"/>
      <c r="G1009" s="334"/>
      <c r="H1009" s="334"/>
      <c r="I1009" s="397"/>
      <c r="J1009" s="334"/>
      <c r="K1009" s="334"/>
      <c r="L1009" s="412"/>
      <c r="M1009" s="334"/>
      <c r="N1009" s="334"/>
      <c r="O1009" s="380"/>
      <c r="P1009" s="380"/>
      <c r="Q1009" s="380"/>
    </row>
    <row r="1010" spans="1:17" x14ac:dyDescent="0.2">
      <c r="A1010" s="334" t="s">
        <v>539</v>
      </c>
      <c r="B1010" s="380"/>
      <c r="C1010" s="380"/>
      <c r="D1010" s="334"/>
      <c r="E1010" s="334"/>
      <c r="F1010" s="412"/>
      <c r="G1010" s="334"/>
      <c r="H1010" s="334"/>
      <c r="I1010" s="387"/>
      <c r="J1010" s="334"/>
      <c r="K1010" s="334"/>
      <c r="L1010" s="412"/>
      <c r="M1010" s="334"/>
      <c r="N1010" s="334"/>
      <c r="O1010" s="380"/>
      <c r="P1010" s="380"/>
      <c r="Q1010" s="380"/>
    </row>
    <row r="1011" spans="1:17" x14ac:dyDescent="0.2">
      <c r="A1011" s="380"/>
      <c r="B1011" s="380"/>
      <c r="C1011" s="384" t="s">
        <v>436</v>
      </c>
      <c r="D1011" s="380" t="s">
        <v>1784</v>
      </c>
      <c r="E1011" s="380" t="s">
        <v>1786</v>
      </c>
      <c r="F1011" s="412" t="s">
        <v>1413</v>
      </c>
      <c r="G1011" s="334"/>
      <c r="H1011" s="334" t="s">
        <v>661</v>
      </c>
      <c r="I1011" s="387"/>
      <c r="J1011" s="380" t="s">
        <v>1784</v>
      </c>
      <c r="K1011" s="380" t="s">
        <v>1786</v>
      </c>
      <c r="L1011" s="412" t="s">
        <v>1413</v>
      </c>
      <c r="M1011" s="334"/>
      <c r="N1011" s="334" t="s">
        <v>661</v>
      </c>
      <c r="O1011" s="380"/>
      <c r="P1011" s="380"/>
      <c r="Q1011" s="380"/>
    </row>
    <row r="1012" spans="1:17" x14ac:dyDescent="0.2">
      <c r="A1012" s="380"/>
      <c r="B1012" s="380"/>
      <c r="C1012" s="380"/>
      <c r="D1012" s="384" t="s">
        <v>1785</v>
      </c>
      <c r="E1012" s="384" t="s">
        <v>1787</v>
      </c>
      <c r="F1012" s="421" t="s">
        <v>660</v>
      </c>
      <c r="G1012" s="384"/>
      <c r="H1012" s="334" t="s">
        <v>662</v>
      </c>
      <c r="I1012" s="387"/>
      <c r="J1012" s="384" t="s">
        <v>1785</v>
      </c>
      <c r="K1012" s="384" t="s">
        <v>1787</v>
      </c>
      <c r="L1012" s="421" t="s">
        <v>660</v>
      </c>
      <c r="M1012" s="384"/>
      <c r="N1012" s="334" t="s">
        <v>662</v>
      </c>
      <c r="O1012" s="380"/>
      <c r="P1012" s="380"/>
      <c r="Q1012" s="380"/>
    </row>
    <row r="1013" spans="1:17" x14ac:dyDescent="0.2">
      <c r="A1013" s="334" t="s">
        <v>342</v>
      </c>
      <c r="B1013" s="380"/>
      <c r="C1013" s="334" t="s">
        <v>342</v>
      </c>
      <c r="D1013" s="380"/>
      <c r="E1013" s="380"/>
      <c r="F1013" s="412"/>
      <c r="G1013" s="334"/>
      <c r="H1013" s="334"/>
      <c r="I1013" s="387"/>
      <c r="J1013" s="380"/>
      <c r="K1013" s="380"/>
      <c r="L1013" s="412"/>
      <c r="M1013" s="334"/>
      <c r="N1013" s="334"/>
      <c r="O1013" s="380"/>
      <c r="P1013" s="380"/>
      <c r="Q1013" s="380"/>
    </row>
    <row r="1014" spans="1:17" x14ac:dyDescent="0.2">
      <c r="A1014" s="334" t="s">
        <v>1723</v>
      </c>
      <c r="B1014" s="380"/>
      <c r="C1014" s="334" t="s">
        <v>1880</v>
      </c>
      <c r="D1014" s="380" t="s">
        <v>181</v>
      </c>
      <c r="E1014" s="380" t="s">
        <v>181</v>
      </c>
      <c r="F1014" s="412" t="s">
        <v>181</v>
      </c>
      <c r="G1014" s="334"/>
      <c r="H1014" s="334" t="s">
        <v>181</v>
      </c>
      <c r="I1014" s="387"/>
      <c r="J1014" s="380" t="s">
        <v>181</v>
      </c>
      <c r="K1014" s="380" t="s">
        <v>181</v>
      </c>
      <c r="L1014" s="412" t="s">
        <v>181</v>
      </c>
      <c r="M1014" s="334"/>
      <c r="N1014" s="334" t="s">
        <v>181</v>
      </c>
      <c r="O1014" s="380"/>
      <c r="P1014" s="380"/>
      <c r="Q1014" s="380"/>
    </row>
    <row r="1015" spans="1:17" x14ac:dyDescent="0.2">
      <c r="A1015" s="380"/>
      <c r="B1015" s="380"/>
      <c r="C1015" s="380"/>
      <c r="D1015" s="380"/>
      <c r="E1015" s="380"/>
      <c r="F1015" s="412"/>
      <c r="G1015" s="334"/>
      <c r="H1015" s="334"/>
      <c r="I1015" s="387"/>
      <c r="J1015" s="380"/>
      <c r="K1015" s="380"/>
      <c r="L1015" s="412"/>
      <c r="M1015" s="334"/>
      <c r="N1015" s="334"/>
      <c r="O1015" s="380"/>
      <c r="P1015" s="380"/>
      <c r="Q1015" s="380"/>
    </row>
    <row r="1016" spans="1:17" x14ac:dyDescent="0.2">
      <c r="A1016" s="334" t="s">
        <v>1733</v>
      </c>
      <c r="B1016" s="380"/>
      <c r="C1016" s="334" t="s">
        <v>27</v>
      </c>
      <c r="D1016" s="377"/>
      <c r="E1016" s="377"/>
      <c r="F1016" s="378"/>
      <c r="G1016" s="377"/>
      <c r="H1016" s="377"/>
      <c r="I1016" s="399"/>
      <c r="J1016" s="377"/>
      <c r="K1016" s="377"/>
      <c r="L1016" s="378"/>
      <c r="M1016" s="377"/>
      <c r="N1016" s="377"/>
      <c r="O1016" s="380"/>
      <c r="P1016" s="380"/>
      <c r="Q1016" s="380"/>
    </row>
    <row r="1017" spans="1:17" x14ac:dyDescent="0.2">
      <c r="A1017" s="334" t="s">
        <v>1743</v>
      </c>
      <c r="B1017" s="380"/>
      <c r="C1017" s="334" t="s">
        <v>1886</v>
      </c>
      <c r="D1017" s="377"/>
      <c r="E1017" s="377"/>
      <c r="F1017" s="378"/>
      <c r="G1017" s="377"/>
      <c r="H1017" s="377"/>
      <c r="I1017" s="399"/>
      <c r="J1017" s="377"/>
      <c r="K1017" s="377"/>
      <c r="L1017" s="378"/>
      <c r="M1017" s="377"/>
      <c r="N1017" s="377"/>
      <c r="O1017" s="380"/>
      <c r="P1017" s="380"/>
      <c r="Q1017" s="380"/>
    </row>
    <row r="1018" spans="1:17" x14ac:dyDescent="0.2">
      <c r="A1018" s="334" t="s">
        <v>1569</v>
      </c>
      <c r="B1018" s="380"/>
      <c r="C1018" s="334" t="s">
        <v>1888</v>
      </c>
      <c r="D1018" s="377"/>
      <c r="E1018" s="377"/>
      <c r="F1018" s="378"/>
      <c r="G1018" s="377"/>
      <c r="H1018" s="377"/>
      <c r="I1018" s="399"/>
      <c r="J1018" s="377"/>
      <c r="K1018" s="377"/>
      <c r="L1018" s="378"/>
      <c r="M1018" s="377"/>
      <c r="N1018" s="377"/>
      <c r="O1018" s="380"/>
      <c r="P1018" s="380"/>
      <c r="Q1018" s="380"/>
    </row>
    <row r="1019" spans="1:17" x14ac:dyDescent="0.2">
      <c r="A1019" s="334" t="s">
        <v>1724</v>
      </c>
      <c r="B1019" s="380"/>
      <c r="C1019" s="334" t="s">
        <v>1881</v>
      </c>
      <c r="D1019" s="377">
        <v>600</v>
      </c>
      <c r="E1019" s="377"/>
      <c r="F1019" s="378"/>
      <c r="G1019" s="377"/>
      <c r="H1019" s="377"/>
      <c r="I1019" s="399"/>
      <c r="J1019" s="377">
        <v>300</v>
      </c>
      <c r="K1019" s="377">
        <v>0</v>
      </c>
      <c r="L1019" s="378"/>
      <c r="M1019" s="377"/>
      <c r="N1019" s="377">
        <v>0</v>
      </c>
      <c r="O1019" s="380"/>
      <c r="P1019" s="380"/>
      <c r="Q1019" s="380"/>
    </row>
    <row r="1020" spans="1:17" x14ac:dyDescent="0.2">
      <c r="A1020" s="334" t="s">
        <v>1736</v>
      </c>
      <c r="B1020" s="380"/>
      <c r="C1020" s="334" t="s">
        <v>1747</v>
      </c>
      <c r="D1020" s="377"/>
      <c r="E1020" s="377"/>
      <c r="F1020" s="378"/>
      <c r="G1020" s="377"/>
      <c r="H1020" s="377"/>
      <c r="I1020" s="399"/>
      <c r="J1020" s="377"/>
      <c r="K1020" s="377"/>
      <c r="L1020" s="378"/>
      <c r="M1020" s="377"/>
      <c r="N1020" s="377"/>
      <c r="O1020" s="380"/>
      <c r="P1020" s="380"/>
      <c r="Q1020" s="380"/>
    </row>
    <row r="1021" spans="1:17" x14ac:dyDescent="0.2">
      <c r="A1021" s="334" t="s">
        <v>1744</v>
      </c>
      <c r="B1021" s="380"/>
      <c r="C1021" s="334" t="s">
        <v>1254</v>
      </c>
      <c r="D1021" s="377"/>
      <c r="E1021" s="377"/>
      <c r="F1021" s="378"/>
      <c r="G1021" s="377"/>
      <c r="H1021" s="377"/>
      <c r="I1021" s="399"/>
      <c r="J1021" s="377"/>
      <c r="K1021" s="377"/>
      <c r="L1021" s="378"/>
      <c r="M1021" s="377"/>
      <c r="N1021" s="377"/>
      <c r="O1021" s="380"/>
      <c r="P1021" s="380"/>
      <c r="Q1021" s="380"/>
    </row>
    <row r="1022" spans="1:17" x14ac:dyDescent="0.2">
      <c r="A1022" s="334" t="s">
        <v>1575</v>
      </c>
      <c r="B1022" s="380"/>
      <c r="C1022" s="334" t="s">
        <v>1889</v>
      </c>
      <c r="D1022" s="377"/>
      <c r="E1022" s="377"/>
      <c r="F1022" s="378"/>
      <c r="G1022" s="377"/>
      <c r="H1022" s="377"/>
      <c r="I1022" s="399"/>
      <c r="J1022" s="377"/>
      <c r="K1022" s="377"/>
      <c r="L1022" s="378"/>
      <c r="M1022" s="377"/>
      <c r="N1022" s="377"/>
      <c r="O1022" s="380"/>
      <c r="P1022" s="380"/>
      <c r="Q1022" s="380"/>
    </row>
    <row r="1023" spans="1:17" x14ac:dyDescent="0.2">
      <c r="A1023" s="334" t="s">
        <v>1725</v>
      </c>
      <c r="B1023" s="380"/>
      <c r="C1023" s="334" t="s">
        <v>1890</v>
      </c>
      <c r="D1023" s="377"/>
      <c r="E1023" s="377"/>
      <c r="F1023" s="378"/>
      <c r="G1023" s="377"/>
      <c r="H1023" s="377"/>
      <c r="I1023" s="399"/>
      <c r="J1023" s="377"/>
      <c r="K1023" s="377"/>
      <c r="L1023" s="378"/>
      <c r="M1023" s="377"/>
      <c r="N1023" s="377"/>
      <c r="O1023" s="380"/>
      <c r="P1023" s="380"/>
      <c r="Q1023" s="380"/>
    </row>
    <row r="1024" spans="1:17" x14ac:dyDescent="0.2">
      <c r="A1024" s="334" t="s">
        <v>1565</v>
      </c>
      <c r="B1024" s="380"/>
      <c r="C1024" s="334" t="s">
        <v>1927</v>
      </c>
      <c r="D1024" s="377"/>
      <c r="E1024" s="377"/>
      <c r="F1024" s="378"/>
      <c r="G1024" s="377"/>
      <c r="H1024" s="377"/>
      <c r="I1024" s="399"/>
      <c r="J1024" s="377"/>
      <c r="K1024" s="377"/>
      <c r="L1024" s="378"/>
      <c r="M1024" s="377"/>
      <c r="N1024" s="377"/>
      <c r="O1024" s="380"/>
      <c r="P1024" s="380"/>
      <c r="Q1024" s="380"/>
    </row>
    <row r="1025" spans="1:17" x14ac:dyDescent="0.2">
      <c r="A1025" s="334" t="s">
        <v>1737</v>
      </c>
      <c r="B1025" s="380"/>
      <c r="C1025" s="334" t="s">
        <v>1928</v>
      </c>
      <c r="D1025" s="377"/>
      <c r="E1025" s="377"/>
      <c r="F1025" s="378"/>
      <c r="G1025" s="377"/>
      <c r="H1025" s="377"/>
      <c r="I1025" s="399"/>
      <c r="J1025" s="377"/>
      <c r="K1025" s="377"/>
      <c r="L1025" s="378"/>
      <c r="M1025" s="377"/>
      <c r="N1025" s="377"/>
      <c r="O1025" s="380"/>
      <c r="P1025" s="380"/>
      <c r="Q1025" s="380"/>
    </row>
    <row r="1026" spans="1:17" x14ac:dyDescent="0.2">
      <c r="A1026" s="334" t="s">
        <v>1726</v>
      </c>
      <c r="B1026" s="380"/>
      <c r="C1026" s="334" t="s">
        <v>1117</v>
      </c>
      <c r="D1026" s="377"/>
      <c r="E1026" s="377"/>
      <c r="F1026" s="378">
        <v>400</v>
      </c>
      <c r="G1026" s="377"/>
      <c r="H1026" s="377"/>
      <c r="I1026" s="399"/>
      <c r="J1026" s="377"/>
      <c r="K1026" s="377"/>
      <c r="L1026" s="378">
        <v>200</v>
      </c>
      <c r="M1026" s="377"/>
      <c r="N1026" s="377"/>
      <c r="O1026" s="380"/>
      <c r="P1026" s="380"/>
      <c r="Q1026" s="380"/>
    </row>
    <row r="1027" spans="1:17" x14ac:dyDescent="0.2">
      <c r="A1027" s="334" t="s">
        <v>1756</v>
      </c>
      <c r="B1027" s="380"/>
      <c r="C1027" s="334" t="s">
        <v>3137</v>
      </c>
      <c r="D1027" s="377"/>
      <c r="E1027" s="377"/>
      <c r="F1027" s="378"/>
      <c r="G1027" s="377"/>
      <c r="H1027" s="377"/>
      <c r="I1027" s="399"/>
      <c r="J1027" s="377"/>
      <c r="K1027" s="377"/>
      <c r="L1027" s="378"/>
      <c r="M1027" s="377"/>
      <c r="N1027" s="377"/>
      <c r="O1027" s="380"/>
      <c r="P1027" s="380"/>
      <c r="Q1027" s="380"/>
    </row>
    <row r="1028" spans="1:17" x14ac:dyDescent="0.2">
      <c r="A1028" s="334" t="s">
        <v>1751</v>
      </c>
      <c r="B1028" s="380"/>
      <c r="C1028" s="334" t="s">
        <v>3138</v>
      </c>
      <c r="D1028" s="377"/>
      <c r="E1028" s="377"/>
      <c r="F1028" s="378"/>
      <c r="G1028" s="377"/>
      <c r="H1028" s="377"/>
      <c r="I1028" s="399"/>
      <c r="J1028" s="377"/>
      <c r="K1028" s="377"/>
      <c r="L1028" s="378"/>
      <c r="M1028" s="377"/>
      <c r="N1028" s="377"/>
      <c r="O1028" s="380"/>
      <c r="P1028" s="380"/>
      <c r="Q1028" s="380"/>
    </row>
    <row r="1029" spans="1:17" x14ac:dyDescent="0.2">
      <c r="A1029" s="334" t="s">
        <v>1752</v>
      </c>
      <c r="B1029" s="380"/>
      <c r="C1029" s="334" t="s">
        <v>367</v>
      </c>
      <c r="D1029" s="377"/>
      <c r="E1029" s="377"/>
      <c r="F1029" s="378"/>
      <c r="G1029" s="377"/>
      <c r="H1029" s="377"/>
      <c r="I1029" s="399"/>
      <c r="J1029" s="377"/>
      <c r="K1029" s="377"/>
      <c r="L1029" s="378"/>
      <c r="M1029" s="377"/>
      <c r="N1029" s="377"/>
      <c r="O1029" s="380"/>
      <c r="P1029" s="380"/>
      <c r="Q1029" s="380"/>
    </row>
    <row r="1030" spans="1:17" x14ac:dyDescent="0.2">
      <c r="A1030" s="334" t="s">
        <v>1577</v>
      </c>
      <c r="B1030" s="380"/>
      <c r="C1030" s="334" t="s">
        <v>1815</v>
      </c>
      <c r="D1030" s="377"/>
      <c r="E1030" s="377"/>
      <c r="F1030" s="378"/>
      <c r="G1030" s="377"/>
      <c r="H1030" s="377"/>
      <c r="I1030" s="399"/>
      <c r="J1030" s="377"/>
      <c r="K1030" s="377"/>
      <c r="L1030" s="378"/>
      <c r="M1030" s="377"/>
      <c r="N1030" s="377"/>
      <c r="O1030" s="380"/>
      <c r="P1030" s="380"/>
      <c r="Q1030" s="380"/>
    </row>
    <row r="1031" spans="1:17" x14ac:dyDescent="0.2">
      <c r="A1031" s="334" t="s">
        <v>1753</v>
      </c>
      <c r="B1031" s="380"/>
      <c r="C1031" s="334" t="s">
        <v>1816</v>
      </c>
      <c r="D1031" s="377"/>
      <c r="E1031" s="377"/>
      <c r="F1031" s="378"/>
      <c r="G1031" s="377"/>
      <c r="H1031" s="377"/>
      <c r="I1031" s="399"/>
      <c r="J1031" s="377"/>
      <c r="K1031" s="377"/>
      <c r="L1031" s="378"/>
      <c r="M1031" s="377"/>
      <c r="N1031" s="377"/>
      <c r="O1031" s="380"/>
      <c r="P1031" s="380"/>
      <c r="Q1031" s="380"/>
    </row>
    <row r="1032" spans="1:17" x14ac:dyDescent="0.2">
      <c r="A1032" s="334" t="s">
        <v>1734</v>
      </c>
      <c r="B1032" s="380"/>
      <c r="C1032" s="334" t="s">
        <v>1746</v>
      </c>
      <c r="D1032" s="377"/>
      <c r="E1032" s="377"/>
      <c r="F1032" s="378"/>
      <c r="G1032" s="377"/>
      <c r="H1032" s="377"/>
      <c r="I1032" s="399"/>
      <c r="J1032" s="377"/>
      <c r="K1032" s="377"/>
      <c r="L1032" s="378"/>
      <c r="M1032" s="377"/>
      <c r="N1032" s="377"/>
      <c r="O1032" s="380"/>
      <c r="P1032" s="380"/>
      <c r="Q1032" s="380"/>
    </row>
    <row r="1033" spans="1:17" x14ac:dyDescent="0.2">
      <c r="A1033" s="334" t="s">
        <v>1571</v>
      </c>
      <c r="B1033" s="380"/>
      <c r="C1033" s="334" t="s">
        <v>3</v>
      </c>
      <c r="D1033" s="377"/>
      <c r="E1033" s="377"/>
      <c r="F1033" s="378"/>
      <c r="G1033" s="377"/>
      <c r="H1033" s="377"/>
      <c r="I1033" s="399"/>
      <c r="J1033" s="377"/>
      <c r="K1033" s="377"/>
      <c r="L1033" s="378"/>
      <c r="M1033" s="377"/>
      <c r="N1033" s="377"/>
      <c r="O1033" s="380"/>
      <c r="P1033" s="380"/>
      <c r="Q1033" s="380"/>
    </row>
    <row r="1034" spans="1:17" x14ac:dyDescent="0.2">
      <c r="A1034" s="334" t="s">
        <v>1738</v>
      </c>
      <c r="B1034" s="380"/>
      <c r="C1034" s="334" t="s">
        <v>1591</v>
      </c>
      <c r="D1034" s="377">
        <v>100</v>
      </c>
      <c r="E1034" s="377"/>
      <c r="F1034" s="378"/>
      <c r="G1034" s="377"/>
      <c r="H1034" s="377"/>
      <c r="I1034" s="399"/>
      <c r="J1034" s="377">
        <v>100</v>
      </c>
      <c r="K1034" s="377"/>
      <c r="L1034" s="378"/>
      <c r="M1034" s="377"/>
      <c r="N1034" s="377"/>
      <c r="O1034" s="380"/>
      <c r="P1034" s="380"/>
      <c r="Q1034" s="380"/>
    </row>
    <row r="1035" spans="1:17" x14ac:dyDescent="0.2">
      <c r="A1035" s="334" t="s">
        <v>1727</v>
      </c>
      <c r="B1035" s="380"/>
      <c r="C1035" s="334" t="s">
        <v>307</v>
      </c>
      <c r="D1035" s="377">
        <v>100</v>
      </c>
      <c r="E1035" s="377"/>
      <c r="F1035" s="378"/>
      <c r="G1035" s="377"/>
      <c r="H1035" s="377"/>
      <c r="I1035" s="399"/>
      <c r="J1035" s="377">
        <v>100</v>
      </c>
      <c r="K1035" s="377"/>
      <c r="L1035" s="378"/>
      <c r="M1035" s="377"/>
      <c r="N1035" s="377"/>
      <c r="O1035" s="380"/>
      <c r="P1035" s="380"/>
      <c r="Q1035" s="380"/>
    </row>
    <row r="1036" spans="1:17" x14ac:dyDescent="0.2">
      <c r="A1036" s="334" t="s">
        <v>1728</v>
      </c>
      <c r="B1036" s="380"/>
      <c r="C1036" s="334" t="s">
        <v>310</v>
      </c>
      <c r="D1036" s="377"/>
      <c r="E1036" s="377"/>
      <c r="F1036" s="378"/>
      <c r="G1036" s="377"/>
      <c r="H1036" s="377"/>
      <c r="I1036" s="399"/>
      <c r="J1036" s="377"/>
      <c r="K1036" s="377"/>
      <c r="L1036" s="378"/>
      <c r="M1036" s="377"/>
      <c r="N1036" s="377"/>
      <c r="O1036" s="380"/>
      <c r="P1036" s="380"/>
      <c r="Q1036" s="380"/>
    </row>
    <row r="1037" spans="1:17" x14ac:dyDescent="0.2">
      <c r="A1037" s="334" t="s">
        <v>1729</v>
      </c>
      <c r="B1037" s="380"/>
      <c r="C1037" s="380" t="s">
        <v>1551</v>
      </c>
      <c r="D1037" s="377"/>
      <c r="E1037" s="377"/>
      <c r="F1037" s="378">
        <v>-400</v>
      </c>
      <c r="G1037" s="377"/>
      <c r="H1037" s="377"/>
      <c r="I1037" s="399"/>
      <c r="J1037" s="377"/>
      <c r="K1037" s="377"/>
      <c r="L1037" s="378"/>
      <c r="M1037" s="377"/>
      <c r="N1037" s="377"/>
      <c r="O1037" s="380"/>
      <c r="P1037" s="380"/>
      <c r="Q1037" s="380"/>
    </row>
    <row r="1038" spans="1:17" x14ac:dyDescent="0.2">
      <c r="A1038" s="334" t="s">
        <v>1735</v>
      </c>
      <c r="B1038" s="380"/>
      <c r="C1038" s="380" t="s">
        <v>194</v>
      </c>
      <c r="D1038" s="377"/>
      <c r="E1038" s="377"/>
      <c r="F1038" s="378"/>
      <c r="G1038" s="377"/>
      <c r="H1038" s="377"/>
      <c r="I1038" s="399"/>
      <c r="J1038" s="377"/>
      <c r="K1038" s="377"/>
      <c r="L1038" s="378"/>
      <c r="M1038" s="377"/>
      <c r="N1038" s="377"/>
      <c r="O1038" s="380"/>
      <c r="P1038" s="380"/>
      <c r="Q1038" s="380"/>
    </row>
    <row r="1039" spans="1:17" x14ac:dyDescent="0.2">
      <c r="A1039" s="334" t="s">
        <v>1741</v>
      </c>
      <c r="B1039" s="380"/>
      <c r="C1039" s="334" t="s">
        <v>1748</v>
      </c>
      <c r="D1039" s="377"/>
      <c r="E1039" s="377"/>
      <c r="F1039" s="378"/>
      <c r="G1039" s="377"/>
      <c r="H1039" s="377"/>
      <c r="I1039" s="399"/>
      <c r="J1039" s="377"/>
      <c r="K1039" s="377"/>
      <c r="L1039" s="378"/>
      <c r="M1039" s="377"/>
      <c r="N1039" s="377"/>
      <c r="O1039" s="380"/>
      <c r="P1039" s="380"/>
      <c r="Q1039" s="380"/>
    </row>
    <row r="1040" spans="1:17" x14ac:dyDescent="0.2">
      <c r="A1040" s="334" t="s">
        <v>1742</v>
      </c>
      <c r="B1040" s="380"/>
      <c r="C1040" s="334" t="s">
        <v>1553</v>
      </c>
      <c r="D1040" s="377"/>
      <c r="E1040" s="377"/>
      <c r="F1040" s="378"/>
      <c r="G1040" s="377"/>
      <c r="H1040" s="377"/>
      <c r="I1040" s="399"/>
      <c r="J1040" s="377"/>
      <c r="K1040" s="377"/>
      <c r="L1040" s="378"/>
      <c r="M1040" s="377"/>
      <c r="N1040" s="377"/>
      <c r="O1040" s="380"/>
      <c r="P1040" s="380"/>
      <c r="Q1040" s="380"/>
    </row>
    <row r="1041" spans="1:17" x14ac:dyDescent="0.2">
      <c r="A1041" s="334" t="s">
        <v>1754</v>
      </c>
      <c r="B1041" s="380"/>
      <c r="C1041" s="334" t="s">
        <v>1929</v>
      </c>
      <c r="D1041" s="377">
        <v>200</v>
      </c>
      <c r="E1041" s="377"/>
      <c r="F1041" s="378"/>
      <c r="G1041" s="377"/>
      <c r="H1041" s="377"/>
      <c r="I1041" s="399"/>
      <c r="J1041" s="377"/>
      <c r="K1041" s="377"/>
      <c r="L1041" s="378"/>
      <c r="M1041" s="377"/>
      <c r="N1041" s="377"/>
      <c r="O1041" s="380"/>
      <c r="P1041" s="380"/>
      <c r="Q1041" s="380"/>
    </row>
    <row r="1042" spans="1:17" x14ac:dyDescent="0.2">
      <c r="A1042" s="334" t="s">
        <v>1584</v>
      </c>
      <c r="B1042" s="380"/>
      <c r="C1042" s="334" t="s">
        <v>0</v>
      </c>
      <c r="D1042" s="377"/>
      <c r="E1042" s="377"/>
      <c r="F1042" s="378"/>
      <c r="G1042" s="377"/>
      <c r="H1042" s="377"/>
      <c r="I1042" s="399"/>
      <c r="J1042" s="377"/>
      <c r="K1042" s="377"/>
      <c r="L1042" s="378"/>
      <c r="M1042" s="377"/>
      <c r="N1042" s="377"/>
      <c r="O1042" s="380"/>
      <c r="P1042" s="380"/>
      <c r="Q1042" s="380"/>
    </row>
    <row r="1043" spans="1:17" x14ac:dyDescent="0.2">
      <c r="A1043" s="334" t="s">
        <v>1580</v>
      </c>
      <c r="B1043" s="380"/>
      <c r="C1043" s="334" t="s">
        <v>1936</v>
      </c>
      <c r="D1043" s="377"/>
      <c r="E1043" s="377"/>
      <c r="F1043" s="378"/>
      <c r="G1043" s="377"/>
      <c r="H1043" s="377"/>
      <c r="I1043" s="399"/>
      <c r="J1043" s="377"/>
      <c r="K1043" s="377"/>
      <c r="L1043" s="378"/>
      <c r="M1043" s="377"/>
      <c r="N1043" s="377"/>
      <c r="O1043" s="380"/>
      <c r="P1043" s="380"/>
      <c r="Q1043" s="380"/>
    </row>
    <row r="1044" spans="1:17" x14ac:dyDescent="0.2">
      <c r="A1044" s="334" t="s">
        <v>1572</v>
      </c>
      <c r="B1044" s="380"/>
      <c r="C1044" s="334" t="s">
        <v>3134</v>
      </c>
      <c r="D1044" s="377"/>
      <c r="E1044" s="377"/>
      <c r="F1044" s="378"/>
      <c r="G1044" s="377"/>
      <c r="H1044" s="377"/>
      <c r="I1044" s="399"/>
      <c r="J1044" s="377"/>
      <c r="K1044" s="377"/>
      <c r="L1044" s="378"/>
      <c r="M1044" s="377"/>
      <c r="N1044" s="377"/>
      <c r="O1044" s="380"/>
      <c r="P1044" s="380"/>
      <c r="Q1044" s="380"/>
    </row>
    <row r="1045" spans="1:17" x14ac:dyDescent="0.2">
      <c r="A1045" s="334" t="s">
        <v>1730</v>
      </c>
      <c r="B1045" s="380"/>
      <c r="C1045" s="334" t="s">
        <v>1985</v>
      </c>
      <c r="D1045" s="377"/>
      <c r="E1045" s="377"/>
      <c r="F1045" s="378"/>
      <c r="G1045" s="377"/>
      <c r="H1045" s="377"/>
      <c r="I1045" s="399"/>
      <c r="J1045" s="377"/>
      <c r="K1045" s="377"/>
      <c r="L1045" s="378"/>
      <c r="M1045" s="377"/>
      <c r="N1045" s="377"/>
      <c r="O1045" s="380"/>
      <c r="P1045" s="380"/>
      <c r="Q1045" s="380"/>
    </row>
    <row r="1046" spans="1:17" x14ac:dyDescent="0.2">
      <c r="A1046" s="334" t="s">
        <v>1566</v>
      </c>
      <c r="B1046" s="380"/>
      <c r="C1046" s="334" t="s">
        <v>366</v>
      </c>
      <c r="D1046" s="377"/>
      <c r="E1046" s="377"/>
      <c r="F1046" s="378"/>
      <c r="G1046" s="377"/>
      <c r="H1046" s="377"/>
      <c r="I1046" s="399"/>
      <c r="J1046" s="377"/>
      <c r="K1046" s="377"/>
      <c r="L1046" s="378"/>
      <c r="M1046" s="377"/>
      <c r="N1046" s="377"/>
      <c r="O1046" s="380"/>
      <c r="P1046" s="380"/>
      <c r="Q1046" s="380"/>
    </row>
    <row r="1047" spans="1:17" x14ac:dyDescent="0.2">
      <c r="A1047" s="334" t="s">
        <v>1755</v>
      </c>
      <c r="B1047" s="380"/>
      <c r="C1047" s="380" t="s">
        <v>1986</v>
      </c>
      <c r="D1047" s="377">
        <v>1500</v>
      </c>
      <c r="E1047" s="377"/>
      <c r="F1047" s="378"/>
      <c r="G1047" s="377"/>
      <c r="H1047" s="377"/>
      <c r="I1047" s="399"/>
      <c r="J1047" s="377">
        <v>500</v>
      </c>
      <c r="K1047" s="377"/>
      <c r="L1047" s="378"/>
      <c r="M1047" s="377"/>
      <c r="N1047" s="377"/>
      <c r="O1047" s="380"/>
      <c r="P1047" s="380"/>
      <c r="Q1047" s="380"/>
    </row>
    <row r="1048" spans="1:17" x14ac:dyDescent="0.2">
      <c r="A1048" s="334" t="s">
        <v>1567</v>
      </c>
      <c r="B1048" s="380"/>
      <c r="C1048" s="334" t="s">
        <v>3142</v>
      </c>
      <c r="D1048" s="377"/>
      <c r="E1048" s="377"/>
      <c r="F1048" s="422"/>
      <c r="G1048" s="423"/>
      <c r="H1048" s="423"/>
      <c r="I1048" s="399"/>
      <c r="J1048" s="377"/>
      <c r="K1048" s="377"/>
      <c r="L1048" s="422"/>
      <c r="M1048" s="423"/>
      <c r="N1048" s="423"/>
      <c r="O1048" s="380"/>
      <c r="P1048" s="380"/>
      <c r="Q1048" s="380"/>
    </row>
    <row r="1049" spans="1:17" x14ac:dyDescent="0.2">
      <c r="A1049" s="334"/>
      <c r="B1049" s="334"/>
      <c r="C1049" s="334"/>
      <c r="D1049" s="394"/>
      <c r="E1049" s="394"/>
      <c r="F1049" s="378"/>
      <c r="G1049" s="377"/>
      <c r="H1049" s="377"/>
      <c r="I1049" s="387"/>
      <c r="J1049" s="394"/>
      <c r="K1049" s="394"/>
      <c r="L1049" s="378"/>
      <c r="M1049" s="377"/>
      <c r="N1049" s="377"/>
      <c r="O1049" s="380"/>
      <c r="P1049" s="380"/>
      <c r="Q1049" s="380"/>
    </row>
    <row r="1050" spans="1:17" ht="15.75" thickBot="1" x14ac:dyDescent="0.25">
      <c r="A1050" s="334"/>
      <c r="B1050" s="334"/>
      <c r="C1050" s="334"/>
      <c r="D1050" s="411">
        <f>SUM(D1016:D1048)</f>
        <v>2500</v>
      </c>
      <c r="E1050" s="411">
        <f>SUM(E1016:E1048)</f>
        <v>0</v>
      </c>
      <c r="F1050" s="414">
        <f>SUM(F1016:F1048)</f>
        <v>0</v>
      </c>
      <c r="G1050" s="411"/>
      <c r="H1050" s="411">
        <f>SUM(H1016:H1048)</f>
        <v>0</v>
      </c>
      <c r="I1050" s="387"/>
      <c r="J1050" s="411">
        <f>SUM(J1016:J1048)</f>
        <v>1000</v>
      </c>
      <c r="K1050" s="411">
        <f>SUM(K1016:K1048)</f>
        <v>0</v>
      </c>
      <c r="L1050" s="414">
        <f>SUM(L1016:L1048)</f>
        <v>200</v>
      </c>
      <c r="M1050" s="411"/>
      <c r="N1050" s="411">
        <f>SUM(N1016:N1048)</f>
        <v>0</v>
      </c>
      <c r="O1050" s="380"/>
      <c r="P1050" s="380"/>
      <c r="Q1050" s="380"/>
    </row>
    <row r="1051" spans="1:17" x14ac:dyDescent="0.2">
      <c r="A1051" s="334"/>
      <c r="B1051" s="334"/>
      <c r="C1051" s="334"/>
      <c r="D1051" s="385"/>
      <c r="E1051" s="385"/>
      <c r="F1051" s="415"/>
      <c r="G1051" s="385"/>
      <c r="H1051" s="385"/>
      <c r="I1051" s="387"/>
      <c r="J1051" s="385"/>
      <c r="K1051" s="385"/>
      <c r="L1051" s="415"/>
      <c r="M1051" s="385"/>
      <c r="N1051" s="385"/>
      <c r="O1051" s="380"/>
      <c r="P1051" s="380"/>
      <c r="Q1051" s="380"/>
    </row>
    <row r="1052" spans="1:17" ht="15.75" x14ac:dyDescent="0.25">
      <c r="A1052" s="334"/>
      <c r="B1052" s="334"/>
      <c r="C1052" s="334"/>
      <c r="D1052" s="385"/>
      <c r="E1052" s="385"/>
      <c r="F1052" s="415"/>
      <c r="G1052" s="385"/>
      <c r="H1052" s="385"/>
      <c r="I1052" s="397"/>
      <c r="J1052" s="385"/>
      <c r="K1052" s="385"/>
      <c r="L1052" s="415"/>
      <c r="M1052" s="385"/>
      <c r="N1052" s="385"/>
      <c r="O1052" s="380"/>
      <c r="P1052" s="380"/>
      <c r="Q1052" s="380"/>
    </row>
    <row r="1053" spans="1:17" x14ac:dyDescent="0.2">
      <c r="A1053" s="334" t="s">
        <v>539</v>
      </c>
      <c r="B1053" s="380"/>
      <c r="C1053" s="380"/>
      <c r="D1053" s="385"/>
      <c r="E1053" s="385"/>
      <c r="F1053" s="415"/>
      <c r="G1053" s="385"/>
      <c r="H1053" s="385"/>
      <c r="I1053" s="387"/>
      <c r="J1053" s="385"/>
      <c r="K1053" s="385"/>
      <c r="L1053" s="415"/>
      <c r="M1053" s="385"/>
      <c r="N1053" s="385"/>
      <c r="O1053" s="380"/>
      <c r="P1053" s="380"/>
      <c r="Q1053" s="380"/>
    </row>
    <row r="1054" spans="1:17" x14ac:dyDescent="0.2">
      <c r="A1054" s="380"/>
      <c r="B1054" s="380"/>
      <c r="C1054" s="384" t="s">
        <v>436</v>
      </c>
      <c r="D1054" s="385" t="s">
        <v>663</v>
      </c>
      <c r="E1054" s="385" t="s">
        <v>664</v>
      </c>
      <c r="F1054" s="415" t="s">
        <v>2753</v>
      </c>
      <c r="G1054" s="385"/>
      <c r="H1054" s="385" t="s">
        <v>667</v>
      </c>
      <c r="I1054" s="387"/>
      <c r="J1054" s="385" t="s">
        <v>663</v>
      </c>
      <c r="K1054" s="385" t="s">
        <v>664</v>
      </c>
      <c r="L1054" s="415" t="s">
        <v>2753</v>
      </c>
      <c r="M1054" s="385"/>
      <c r="N1054" s="385" t="s">
        <v>667</v>
      </c>
      <c r="O1054" s="380"/>
      <c r="P1054" s="380"/>
      <c r="Q1054" s="380"/>
    </row>
    <row r="1055" spans="1:17" x14ac:dyDescent="0.2">
      <c r="A1055" s="380"/>
      <c r="B1055" s="380"/>
      <c r="C1055" s="380"/>
      <c r="D1055" s="424" t="s">
        <v>665</v>
      </c>
      <c r="E1055" s="424" t="s">
        <v>666</v>
      </c>
      <c r="F1055" s="415" t="s">
        <v>2755</v>
      </c>
      <c r="G1055" s="385"/>
      <c r="H1055" s="424" t="s">
        <v>529</v>
      </c>
      <c r="I1055" s="387"/>
      <c r="J1055" s="424" t="s">
        <v>665</v>
      </c>
      <c r="K1055" s="424" t="s">
        <v>666</v>
      </c>
      <c r="L1055" s="415" t="s">
        <v>2755</v>
      </c>
      <c r="M1055" s="385"/>
      <c r="N1055" s="424" t="s">
        <v>529</v>
      </c>
      <c r="O1055" s="380"/>
      <c r="P1055" s="380"/>
      <c r="Q1055" s="380"/>
    </row>
    <row r="1056" spans="1:17" x14ac:dyDescent="0.2">
      <c r="A1056" s="334" t="s">
        <v>342</v>
      </c>
      <c r="B1056" s="380"/>
      <c r="C1056" s="334" t="s">
        <v>342</v>
      </c>
      <c r="D1056" s="385"/>
      <c r="E1056" s="385"/>
      <c r="F1056" s="415"/>
      <c r="G1056" s="385"/>
      <c r="H1056" s="385"/>
      <c r="I1056" s="387"/>
      <c r="J1056" s="385"/>
      <c r="K1056" s="385"/>
      <c r="L1056" s="415"/>
      <c r="M1056" s="385"/>
      <c r="N1056" s="385"/>
      <c r="O1056" s="380"/>
      <c r="P1056" s="380"/>
      <c r="Q1056" s="380"/>
    </row>
    <row r="1057" spans="1:17" x14ac:dyDescent="0.2">
      <c r="A1057" s="334" t="s">
        <v>1723</v>
      </c>
      <c r="B1057" s="380"/>
      <c r="C1057" s="334" t="s">
        <v>1880</v>
      </c>
      <c r="D1057" s="385" t="s">
        <v>181</v>
      </c>
      <c r="E1057" s="385" t="s">
        <v>181</v>
      </c>
      <c r="F1057" s="415" t="s">
        <v>181</v>
      </c>
      <c r="G1057" s="385"/>
      <c r="H1057" s="385" t="s">
        <v>181</v>
      </c>
      <c r="I1057" s="387"/>
      <c r="J1057" s="385" t="s">
        <v>181</v>
      </c>
      <c r="K1057" s="385" t="s">
        <v>181</v>
      </c>
      <c r="L1057" s="415" t="s">
        <v>181</v>
      </c>
      <c r="M1057" s="385"/>
      <c r="N1057" s="385" t="s">
        <v>181</v>
      </c>
      <c r="O1057" s="380"/>
      <c r="P1057" s="380"/>
      <c r="Q1057" s="380"/>
    </row>
    <row r="1058" spans="1:17" x14ac:dyDescent="0.2">
      <c r="A1058" s="380"/>
      <c r="B1058" s="380"/>
      <c r="C1058" s="380"/>
      <c r="D1058" s="385"/>
      <c r="E1058" s="385"/>
      <c r="F1058" s="415"/>
      <c r="G1058" s="385"/>
      <c r="H1058" s="385"/>
      <c r="I1058" s="387"/>
      <c r="J1058" s="385"/>
      <c r="K1058" s="385"/>
      <c r="L1058" s="415"/>
      <c r="M1058" s="385"/>
      <c r="N1058" s="385"/>
      <c r="O1058" s="380"/>
      <c r="P1058" s="380"/>
      <c r="Q1058" s="380"/>
    </row>
    <row r="1059" spans="1:17" x14ac:dyDescent="0.2">
      <c r="A1059" s="334" t="s">
        <v>1733</v>
      </c>
      <c r="B1059" s="380"/>
      <c r="C1059" s="334" t="s">
        <v>27</v>
      </c>
      <c r="D1059" s="377"/>
      <c r="E1059" s="377"/>
      <c r="F1059" s="378"/>
      <c r="G1059" s="377"/>
      <c r="H1059" s="377"/>
      <c r="I1059" s="399"/>
      <c r="J1059" s="377"/>
      <c r="K1059" s="377"/>
      <c r="L1059" s="378"/>
      <c r="M1059" s="377"/>
      <c r="N1059" s="377"/>
      <c r="O1059" s="380"/>
      <c r="P1059" s="380"/>
      <c r="Q1059" s="380"/>
    </row>
    <row r="1060" spans="1:17" x14ac:dyDescent="0.2">
      <c r="A1060" s="334" t="s">
        <v>1743</v>
      </c>
      <c r="B1060" s="380"/>
      <c r="C1060" s="334" t="s">
        <v>1886</v>
      </c>
      <c r="D1060" s="377"/>
      <c r="E1060" s="377"/>
      <c r="F1060" s="378"/>
      <c r="G1060" s="377"/>
      <c r="H1060" s="377"/>
      <c r="I1060" s="399"/>
      <c r="J1060" s="377"/>
      <c r="K1060" s="377"/>
      <c r="L1060" s="378"/>
      <c r="M1060" s="377"/>
      <c r="N1060" s="377"/>
      <c r="O1060" s="380"/>
      <c r="P1060" s="380"/>
      <c r="Q1060" s="380"/>
    </row>
    <row r="1061" spans="1:17" x14ac:dyDescent="0.2">
      <c r="A1061" s="334" t="s">
        <v>1569</v>
      </c>
      <c r="B1061" s="380"/>
      <c r="C1061" s="334" t="s">
        <v>1888</v>
      </c>
      <c r="D1061" s="377"/>
      <c r="E1061" s="377"/>
      <c r="F1061" s="378"/>
      <c r="G1061" s="377"/>
      <c r="H1061" s="377"/>
      <c r="I1061" s="399"/>
      <c r="J1061" s="377"/>
      <c r="K1061" s="377"/>
      <c r="L1061" s="378"/>
      <c r="M1061" s="377"/>
      <c r="N1061" s="377"/>
      <c r="O1061" s="380"/>
      <c r="P1061" s="380"/>
      <c r="Q1061" s="380"/>
    </row>
    <row r="1062" spans="1:17" x14ac:dyDescent="0.2">
      <c r="A1062" s="334" t="s">
        <v>1724</v>
      </c>
      <c r="B1062" s="380"/>
      <c r="C1062" s="334" t="s">
        <v>1881</v>
      </c>
      <c r="D1062" s="377"/>
      <c r="E1062" s="377"/>
      <c r="F1062" s="378"/>
      <c r="G1062" s="377"/>
      <c r="H1062" s="377"/>
      <c r="I1062" s="399"/>
      <c r="J1062" s="377">
        <v>650</v>
      </c>
      <c r="K1062" s="377">
        <v>0</v>
      </c>
      <c r="L1062" s="378">
        <v>0</v>
      </c>
      <c r="M1062" s="377"/>
      <c r="N1062" s="377"/>
      <c r="O1062" s="380"/>
      <c r="P1062" s="380"/>
      <c r="Q1062" s="380"/>
    </row>
    <row r="1063" spans="1:17" x14ac:dyDescent="0.2">
      <c r="A1063" s="334" t="s">
        <v>1736</v>
      </c>
      <c r="B1063" s="380"/>
      <c r="C1063" s="334" t="s">
        <v>1747</v>
      </c>
      <c r="D1063" s="377"/>
      <c r="E1063" s="377"/>
      <c r="F1063" s="378"/>
      <c r="G1063" s="377"/>
      <c r="H1063" s="377"/>
      <c r="I1063" s="399"/>
      <c r="J1063" s="377"/>
      <c r="K1063" s="377"/>
      <c r="L1063" s="378"/>
      <c r="M1063" s="377"/>
      <c r="N1063" s="377"/>
      <c r="O1063" s="380"/>
      <c r="P1063" s="380"/>
      <c r="Q1063" s="380"/>
    </row>
    <row r="1064" spans="1:17" x14ac:dyDescent="0.2">
      <c r="A1064" s="334" t="s">
        <v>1744</v>
      </c>
      <c r="B1064" s="380"/>
      <c r="C1064" s="334" t="s">
        <v>1254</v>
      </c>
      <c r="D1064" s="377"/>
      <c r="E1064" s="377"/>
      <c r="F1064" s="378"/>
      <c r="G1064" s="377"/>
      <c r="H1064" s="377"/>
      <c r="I1064" s="399"/>
      <c r="J1064" s="377"/>
      <c r="K1064" s="377"/>
      <c r="L1064" s="378"/>
      <c r="M1064" s="377"/>
      <c r="N1064" s="377"/>
      <c r="O1064" s="380"/>
      <c r="P1064" s="380"/>
      <c r="Q1064" s="380"/>
    </row>
    <row r="1065" spans="1:17" x14ac:dyDescent="0.2">
      <c r="A1065" s="334" t="s">
        <v>1575</v>
      </c>
      <c r="B1065" s="380"/>
      <c r="C1065" s="334" t="s">
        <v>1889</v>
      </c>
      <c r="D1065" s="377"/>
      <c r="E1065" s="377"/>
      <c r="F1065" s="378"/>
      <c r="G1065" s="377"/>
      <c r="H1065" s="377"/>
      <c r="I1065" s="399"/>
      <c r="J1065" s="377"/>
      <c r="K1065" s="377"/>
      <c r="L1065" s="378"/>
      <c r="M1065" s="377"/>
      <c r="N1065" s="377"/>
      <c r="O1065" s="380"/>
      <c r="P1065" s="380"/>
      <c r="Q1065" s="380"/>
    </row>
    <row r="1066" spans="1:17" x14ac:dyDescent="0.2">
      <c r="A1066" s="334" t="s">
        <v>1725</v>
      </c>
      <c r="B1066" s="380"/>
      <c r="C1066" s="334" t="s">
        <v>1890</v>
      </c>
      <c r="D1066" s="377"/>
      <c r="E1066" s="377"/>
      <c r="F1066" s="378"/>
      <c r="G1066" s="377"/>
      <c r="H1066" s="377"/>
      <c r="I1066" s="399"/>
      <c r="J1066" s="377"/>
      <c r="K1066" s="377"/>
      <c r="L1066" s="378"/>
      <c r="M1066" s="377"/>
      <c r="N1066" s="377"/>
      <c r="O1066" s="380"/>
      <c r="P1066" s="380"/>
      <c r="Q1066" s="380"/>
    </row>
    <row r="1067" spans="1:17" x14ac:dyDescent="0.2">
      <c r="A1067" s="334" t="s">
        <v>1565</v>
      </c>
      <c r="B1067" s="380"/>
      <c r="C1067" s="334" t="s">
        <v>1927</v>
      </c>
      <c r="D1067" s="377"/>
      <c r="E1067" s="377"/>
      <c r="F1067" s="378"/>
      <c r="G1067" s="377"/>
      <c r="H1067" s="377"/>
      <c r="I1067" s="399"/>
      <c r="J1067" s="377">
        <v>200</v>
      </c>
      <c r="K1067" s="377"/>
      <c r="L1067" s="378"/>
      <c r="M1067" s="377"/>
      <c r="N1067" s="377"/>
      <c r="O1067" s="380"/>
      <c r="P1067" s="380"/>
      <c r="Q1067" s="380"/>
    </row>
    <row r="1068" spans="1:17" x14ac:dyDescent="0.2">
      <c r="A1068" s="334" t="s">
        <v>1737</v>
      </c>
      <c r="B1068" s="380"/>
      <c r="C1068" s="334" t="s">
        <v>1928</v>
      </c>
      <c r="D1068" s="377"/>
      <c r="E1068" s="377"/>
      <c r="F1068" s="378"/>
      <c r="G1068" s="377"/>
      <c r="H1068" s="377"/>
      <c r="I1068" s="399"/>
      <c r="J1068" s="377">
        <v>100</v>
      </c>
      <c r="K1068" s="377"/>
      <c r="L1068" s="378"/>
      <c r="M1068" s="377"/>
      <c r="N1068" s="377"/>
      <c r="O1068" s="380"/>
      <c r="P1068" s="380"/>
      <c r="Q1068" s="380"/>
    </row>
    <row r="1069" spans="1:17" x14ac:dyDescent="0.2">
      <c r="A1069" s="334" t="s">
        <v>1726</v>
      </c>
      <c r="B1069" s="380"/>
      <c r="C1069" s="334" t="s">
        <v>1117</v>
      </c>
      <c r="D1069" s="377"/>
      <c r="E1069" s="377"/>
      <c r="F1069" s="378"/>
      <c r="G1069" s="377"/>
      <c r="H1069" s="377"/>
      <c r="I1069" s="399"/>
      <c r="J1069" s="377"/>
      <c r="K1069" s="377"/>
      <c r="L1069" s="378"/>
      <c r="M1069" s="377"/>
      <c r="N1069" s="377"/>
      <c r="O1069" s="380"/>
      <c r="P1069" s="380"/>
      <c r="Q1069" s="380"/>
    </row>
    <row r="1070" spans="1:17" x14ac:dyDescent="0.2">
      <c r="A1070" s="334" t="s">
        <v>1756</v>
      </c>
      <c r="B1070" s="380"/>
      <c r="C1070" s="334" t="s">
        <v>3137</v>
      </c>
      <c r="D1070" s="377"/>
      <c r="E1070" s="377"/>
      <c r="F1070" s="378"/>
      <c r="G1070" s="377"/>
      <c r="H1070" s="377"/>
      <c r="I1070" s="399"/>
      <c r="J1070" s="377"/>
      <c r="K1070" s="377"/>
      <c r="L1070" s="378"/>
      <c r="M1070" s="377"/>
      <c r="N1070" s="377"/>
      <c r="O1070" s="380"/>
      <c r="P1070" s="380"/>
      <c r="Q1070" s="380"/>
    </row>
    <row r="1071" spans="1:17" x14ac:dyDescent="0.2">
      <c r="A1071" s="334" t="s">
        <v>1751</v>
      </c>
      <c r="B1071" s="380"/>
      <c r="C1071" s="334" t="s">
        <v>3138</v>
      </c>
      <c r="D1071" s="377"/>
      <c r="E1071" s="377"/>
      <c r="F1071" s="378"/>
      <c r="G1071" s="377"/>
      <c r="H1071" s="377"/>
      <c r="I1071" s="399"/>
      <c r="J1071" s="377"/>
      <c r="K1071" s="377"/>
      <c r="L1071" s="378"/>
      <c r="M1071" s="377"/>
      <c r="N1071" s="377"/>
      <c r="O1071" s="380"/>
      <c r="P1071" s="380"/>
      <c r="Q1071" s="380"/>
    </row>
    <row r="1072" spans="1:17" x14ac:dyDescent="0.2">
      <c r="A1072" s="334" t="s">
        <v>1752</v>
      </c>
      <c r="B1072" s="380"/>
      <c r="C1072" s="334" t="s">
        <v>367</v>
      </c>
      <c r="D1072" s="377"/>
      <c r="E1072" s="377"/>
      <c r="F1072" s="378"/>
      <c r="G1072" s="377"/>
      <c r="H1072" s="377"/>
      <c r="I1072" s="399"/>
      <c r="J1072" s="377"/>
      <c r="K1072" s="377"/>
      <c r="L1072" s="378"/>
      <c r="M1072" s="377"/>
      <c r="N1072" s="377"/>
      <c r="O1072" s="380"/>
      <c r="P1072" s="380"/>
      <c r="Q1072" s="380"/>
    </row>
    <row r="1073" spans="1:17" x14ac:dyDescent="0.2">
      <c r="A1073" s="334" t="s">
        <v>1577</v>
      </c>
      <c r="B1073" s="380"/>
      <c r="C1073" s="334" t="s">
        <v>1815</v>
      </c>
      <c r="D1073" s="377"/>
      <c r="E1073" s="377"/>
      <c r="F1073" s="378"/>
      <c r="G1073" s="377"/>
      <c r="H1073" s="377"/>
      <c r="I1073" s="399"/>
      <c r="J1073" s="377"/>
      <c r="K1073" s="377"/>
      <c r="L1073" s="378"/>
      <c r="M1073" s="377"/>
      <c r="N1073" s="377"/>
      <c r="O1073" s="380"/>
      <c r="P1073" s="380"/>
      <c r="Q1073" s="380"/>
    </row>
    <row r="1074" spans="1:17" x14ac:dyDescent="0.2">
      <c r="A1074" s="334" t="s">
        <v>1753</v>
      </c>
      <c r="B1074" s="380"/>
      <c r="C1074" s="334" t="s">
        <v>1816</v>
      </c>
      <c r="D1074" s="377"/>
      <c r="E1074" s="377"/>
      <c r="F1074" s="378"/>
      <c r="G1074" s="377"/>
      <c r="H1074" s="377"/>
      <c r="I1074" s="399"/>
      <c r="J1074" s="377"/>
      <c r="K1074" s="377"/>
      <c r="L1074" s="378"/>
      <c r="M1074" s="377"/>
      <c r="N1074" s="377"/>
      <c r="O1074" s="380"/>
      <c r="P1074" s="380"/>
      <c r="Q1074" s="380"/>
    </row>
    <row r="1075" spans="1:17" x14ac:dyDescent="0.2">
      <c r="A1075" s="334" t="s">
        <v>1734</v>
      </c>
      <c r="B1075" s="380"/>
      <c r="C1075" s="334" t="s">
        <v>1746</v>
      </c>
      <c r="D1075" s="377"/>
      <c r="E1075" s="377"/>
      <c r="F1075" s="378"/>
      <c r="G1075" s="377"/>
      <c r="H1075" s="377"/>
      <c r="I1075" s="399"/>
      <c r="J1075" s="377"/>
      <c r="K1075" s="377"/>
      <c r="L1075" s="378"/>
      <c r="M1075" s="377"/>
      <c r="N1075" s="377"/>
      <c r="O1075" s="380"/>
      <c r="P1075" s="380"/>
      <c r="Q1075" s="380"/>
    </row>
    <row r="1076" spans="1:17" x14ac:dyDescent="0.2">
      <c r="A1076" s="334" t="s">
        <v>1571</v>
      </c>
      <c r="B1076" s="380"/>
      <c r="C1076" s="334" t="s">
        <v>3</v>
      </c>
      <c r="D1076" s="377"/>
      <c r="E1076" s="377"/>
      <c r="F1076" s="378"/>
      <c r="G1076" s="377"/>
      <c r="H1076" s="377"/>
      <c r="I1076" s="399"/>
      <c r="J1076" s="377"/>
      <c r="K1076" s="377"/>
      <c r="L1076" s="378"/>
      <c r="M1076" s="377"/>
      <c r="N1076" s="377"/>
      <c r="O1076" s="380"/>
      <c r="P1076" s="380"/>
      <c r="Q1076" s="380"/>
    </row>
    <row r="1077" spans="1:17" x14ac:dyDescent="0.2">
      <c r="A1077" s="334" t="s">
        <v>1738</v>
      </c>
      <c r="B1077" s="380"/>
      <c r="C1077" s="334" t="s">
        <v>1591</v>
      </c>
      <c r="D1077" s="377"/>
      <c r="E1077" s="377"/>
      <c r="F1077" s="378"/>
      <c r="G1077" s="377"/>
      <c r="H1077" s="377"/>
      <c r="I1077" s="399"/>
      <c r="J1077" s="377">
        <v>100</v>
      </c>
      <c r="K1077" s="377"/>
      <c r="L1077" s="378"/>
      <c r="M1077" s="377"/>
      <c r="N1077" s="377"/>
      <c r="O1077" s="380"/>
      <c r="P1077" s="380"/>
      <c r="Q1077" s="380"/>
    </row>
    <row r="1078" spans="1:17" x14ac:dyDescent="0.2">
      <c r="A1078" s="334" t="s">
        <v>1727</v>
      </c>
      <c r="B1078" s="380"/>
      <c r="C1078" s="334" t="s">
        <v>307</v>
      </c>
      <c r="D1078" s="377"/>
      <c r="E1078" s="377"/>
      <c r="F1078" s="378"/>
      <c r="G1078" s="377"/>
      <c r="H1078" s="377"/>
      <c r="I1078" s="399"/>
      <c r="J1078" s="377">
        <v>100</v>
      </c>
      <c r="K1078" s="377"/>
      <c r="L1078" s="378"/>
      <c r="M1078" s="377"/>
      <c r="N1078" s="377"/>
      <c r="O1078" s="380"/>
      <c r="P1078" s="380"/>
      <c r="Q1078" s="380"/>
    </row>
    <row r="1079" spans="1:17" x14ac:dyDescent="0.2">
      <c r="A1079" s="334" t="s">
        <v>1728</v>
      </c>
      <c r="B1079" s="380"/>
      <c r="C1079" s="334" t="s">
        <v>310</v>
      </c>
      <c r="D1079" s="377"/>
      <c r="E1079" s="377"/>
      <c r="F1079" s="378"/>
      <c r="G1079" s="377"/>
      <c r="H1079" s="377"/>
      <c r="I1079" s="399"/>
      <c r="J1079" s="377">
        <v>150</v>
      </c>
      <c r="K1079" s="377"/>
      <c r="L1079" s="378"/>
      <c r="M1079" s="377"/>
      <c r="N1079" s="377"/>
      <c r="O1079" s="380"/>
      <c r="P1079" s="380"/>
      <c r="Q1079" s="380"/>
    </row>
    <row r="1080" spans="1:17" x14ac:dyDescent="0.2">
      <c r="A1080" s="334" t="s">
        <v>1729</v>
      </c>
      <c r="B1080" s="380"/>
      <c r="C1080" s="380" t="s">
        <v>1551</v>
      </c>
      <c r="D1080" s="377"/>
      <c r="E1080" s="377"/>
      <c r="F1080" s="378"/>
      <c r="G1080" s="377"/>
      <c r="H1080" s="377"/>
      <c r="I1080" s="399"/>
      <c r="J1080" s="377"/>
      <c r="K1080" s="377"/>
      <c r="L1080" s="378"/>
      <c r="M1080" s="377"/>
      <c r="N1080" s="377"/>
      <c r="O1080" s="380"/>
      <c r="P1080" s="380"/>
      <c r="Q1080" s="380"/>
    </row>
    <row r="1081" spans="1:17" x14ac:dyDescent="0.2">
      <c r="A1081" s="334" t="s">
        <v>1735</v>
      </c>
      <c r="B1081" s="380"/>
      <c r="C1081" s="380" t="s">
        <v>194</v>
      </c>
      <c r="D1081" s="377"/>
      <c r="E1081" s="377"/>
      <c r="F1081" s="378"/>
      <c r="G1081" s="377"/>
      <c r="H1081" s="377"/>
      <c r="I1081" s="399"/>
      <c r="J1081" s="377"/>
      <c r="K1081" s="377"/>
      <c r="L1081" s="378"/>
      <c r="M1081" s="377"/>
      <c r="N1081" s="377"/>
      <c r="O1081" s="380"/>
      <c r="P1081" s="380"/>
      <c r="Q1081" s="380"/>
    </row>
    <row r="1082" spans="1:17" x14ac:dyDescent="0.2">
      <c r="A1082" s="334" t="s">
        <v>1741</v>
      </c>
      <c r="B1082" s="380"/>
      <c r="C1082" s="334" t="s">
        <v>1748</v>
      </c>
      <c r="D1082" s="377"/>
      <c r="E1082" s="377"/>
      <c r="F1082" s="378"/>
      <c r="G1082" s="377"/>
      <c r="H1082" s="377"/>
      <c r="I1082" s="399"/>
      <c r="J1082" s="377"/>
      <c r="K1082" s="377"/>
      <c r="L1082" s="378"/>
      <c r="M1082" s="377"/>
      <c r="N1082" s="377"/>
      <c r="O1082" s="380"/>
      <c r="P1082" s="380"/>
      <c r="Q1082" s="380"/>
    </row>
    <row r="1083" spans="1:17" x14ac:dyDescent="0.2">
      <c r="A1083" s="334" t="s">
        <v>1742</v>
      </c>
      <c r="B1083" s="380"/>
      <c r="C1083" s="334" t="s">
        <v>1553</v>
      </c>
      <c r="D1083" s="377"/>
      <c r="E1083" s="377"/>
      <c r="F1083" s="378"/>
      <c r="G1083" s="377"/>
      <c r="H1083" s="377"/>
      <c r="I1083" s="399"/>
      <c r="J1083" s="377"/>
      <c r="K1083" s="377"/>
      <c r="L1083" s="378"/>
      <c r="M1083" s="377"/>
      <c r="N1083" s="377"/>
      <c r="O1083" s="380"/>
      <c r="P1083" s="380"/>
      <c r="Q1083" s="380"/>
    </row>
    <row r="1084" spans="1:17" x14ac:dyDescent="0.2">
      <c r="A1084" s="334" t="s">
        <v>1754</v>
      </c>
      <c r="B1084" s="380"/>
      <c r="C1084" s="334" t="s">
        <v>1929</v>
      </c>
      <c r="D1084" s="377"/>
      <c r="E1084" s="377"/>
      <c r="F1084" s="378"/>
      <c r="G1084" s="377"/>
      <c r="H1084" s="377"/>
      <c r="I1084" s="399"/>
      <c r="J1084" s="377"/>
      <c r="K1084" s="377"/>
      <c r="L1084" s="378"/>
      <c r="M1084" s="377"/>
      <c r="N1084" s="377"/>
      <c r="O1084" s="380"/>
      <c r="P1084" s="380"/>
      <c r="Q1084" s="380"/>
    </row>
    <row r="1085" spans="1:17" x14ac:dyDescent="0.2">
      <c r="A1085" s="334" t="s">
        <v>1584</v>
      </c>
      <c r="B1085" s="380"/>
      <c r="C1085" s="334" t="s">
        <v>0</v>
      </c>
      <c r="D1085" s="377"/>
      <c r="E1085" s="377"/>
      <c r="F1085" s="378"/>
      <c r="G1085" s="377"/>
      <c r="H1085" s="377"/>
      <c r="I1085" s="399"/>
      <c r="J1085" s="377"/>
      <c r="K1085" s="377"/>
      <c r="L1085" s="378"/>
      <c r="M1085" s="377"/>
      <c r="N1085" s="377"/>
      <c r="O1085" s="380"/>
      <c r="P1085" s="380"/>
      <c r="Q1085" s="380"/>
    </row>
    <row r="1086" spans="1:17" x14ac:dyDescent="0.2">
      <c r="A1086" s="334" t="s">
        <v>1580</v>
      </c>
      <c r="B1086" s="380"/>
      <c r="C1086" s="334" t="s">
        <v>1936</v>
      </c>
      <c r="D1086" s="377"/>
      <c r="E1086" s="377"/>
      <c r="F1086" s="378"/>
      <c r="G1086" s="377"/>
      <c r="H1086" s="377"/>
      <c r="I1086" s="399"/>
      <c r="J1086" s="377"/>
      <c r="K1086" s="377"/>
      <c r="L1086" s="378"/>
      <c r="M1086" s="377"/>
      <c r="N1086" s="377"/>
      <c r="O1086" s="380"/>
      <c r="P1086" s="380"/>
      <c r="Q1086" s="380"/>
    </row>
    <row r="1087" spans="1:17" x14ac:dyDescent="0.2">
      <c r="A1087" s="334" t="s">
        <v>1572</v>
      </c>
      <c r="B1087" s="380"/>
      <c r="C1087" s="334" t="s">
        <v>3134</v>
      </c>
      <c r="D1087" s="377"/>
      <c r="E1087" s="377"/>
      <c r="F1087" s="378"/>
      <c r="G1087" s="377"/>
      <c r="H1087" s="377"/>
      <c r="I1087" s="399"/>
      <c r="J1087" s="377"/>
      <c r="K1087" s="377"/>
      <c r="L1087" s="378"/>
      <c r="M1087" s="377"/>
      <c r="N1087" s="377"/>
      <c r="O1087" s="380"/>
      <c r="P1087" s="380"/>
      <c r="Q1087" s="380"/>
    </row>
    <row r="1088" spans="1:17" x14ac:dyDescent="0.2">
      <c r="A1088" s="334" t="s">
        <v>1730</v>
      </c>
      <c r="B1088" s="380"/>
      <c r="C1088" s="334" t="s">
        <v>1985</v>
      </c>
      <c r="D1088" s="377"/>
      <c r="E1088" s="377"/>
      <c r="F1088" s="378"/>
      <c r="G1088" s="377"/>
      <c r="H1088" s="377"/>
      <c r="I1088" s="399"/>
      <c r="J1088" s="377">
        <v>400</v>
      </c>
      <c r="K1088" s="377"/>
      <c r="L1088" s="378"/>
      <c r="M1088" s="377"/>
      <c r="N1088" s="377">
        <v>3000</v>
      </c>
      <c r="O1088" s="380"/>
      <c r="P1088" s="380"/>
      <c r="Q1088" s="380"/>
    </row>
    <row r="1089" spans="1:17" x14ac:dyDescent="0.2">
      <c r="A1089" s="334" t="s">
        <v>1566</v>
      </c>
      <c r="B1089" s="380"/>
      <c r="C1089" s="334" t="s">
        <v>366</v>
      </c>
      <c r="D1089" s="377">
        <v>500</v>
      </c>
      <c r="E1089" s="377"/>
      <c r="F1089" s="378"/>
      <c r="G1089" s="377"/>
      <c r="H1089" s="377"/>
      <c r="I1089" s="399"/>
      <c r="J1089" s="377">
        <v>300</v>
      </c>
      <c r="K1089" s="377"/>
      <c r="L1089" s="378"/>
      <c r="M1089" s="377"/>
      <c r="N1089" s="377"/>
      <c r="O1089" s="380"/>
      <c r="P1089" s="380"/>
      <c r="Q1089" s="380"/>
    </row>
    <row r="1090" spans="1:17" x14ac:dyDescent="0.2">
      <c r="A1090" s="334" t="s">
        <v>1755</v>
      </c>
      <c r="B1090" s="380"/>
      <c r="C1090" s="380" t="s">
        <v>1986</v>
      </c>
      <c r="D1090" s="377">
        <v>3000</v>
      </c>
      <c r="E1090" s="377"/>
      <c r="F1090" s="378"/>
      <c r="G1090" s="377"/>
      <c r="H1090" s="377">
        <v>3000</v>
      </c>
      <c r="I1090" s="399"/>
      <c r="J1090" s="377"/>
      <c r="K1090" s="377"/>
      <c r="L1090" s="378"/>
      <c r="M1090" s="377"/>
      <c r="N1090" s="377"/>
      <c r="O1090" s="380"/>
      <c r="P1090" s="380"/>
      <c r="Q1090" s="380"/>
    </row>
    <row r="1091" spans="1:17" x14ac:dyDescent="0.2">
      <c r="A1091" s="334" t="s">
        <v>1567</v>
      </c>
      <c r="B1091" s="380"/>
      <c r="C1091" s="334" t="s">
        <v>3142</v>
      </c>
      <c r="D1091" s="423"/>
      <c r="E1091" s="423"/>
      <c r="F1091" s="422"/>
      <c r="G1091" s="423"/>
      <c r="H1091" s="423"/>
      <c r="I1091" s="399"/>
      <c r="J1091" s="423"/>
      <c r="K1091" s="423"/>
      <c r="L1091" s="422"/>
      <c r="M1091" s="423"/>
      <c r="N1091" s="423"/>
      <c r="O1091" s="380"/>
      <c r="P1091" s="380"/>
      <c r="Q1091" s="380"/>
    </row>
    <row r="1092" spans="1:17" x14ac:dyDescent="0.2">
      <c r="A1092" s="334"/>
      <c r="B1092" s="334"/>
      <c r="C1092" s="334"/>
      <c r="D1092" s="334"/>
      <c r="E1092" s="377"/>
      <c r="F1092" s="378"/>
      <c r="G1092" s="377"/>
      <c r="H1092" s="377"/>
      <c r="I1092" s="387"/>
      <c r="J1092" s="334"/>
      <c r="K1092" s="377"/>
      <c r="L1092" s="378"/>
      <c r="M1092" s="377"/>
      <c r="N1092" s="377"/>
      <c r="O1092" s="380"/>
      <c r="P1092" s="380"/>
      <c r="Q1092" s="380"/>
    </row>
    <row r="1093" spans="1:17" ht="15.75" thickBot="1" x14ac:dyDescent="0.25">
      <c r="A1093" s="334"/>
      <c r="B1093" s="334"/>
      <c r="C1093" s="334"/>
      <c r="D1093" s="411">
        <f t="shared" ref="D1093:H1093" si="18">SUM(D1059:D1092)</f>
        <v>3500</v>
      </c>
      <c r="E1093" s="411">
        <f t="shared" si="18"/>
        <v>0</v>
      </c>
      <c r="F1093" s="414">
        <f t="shared" si="18"/>
        <v>0</v>
      </c>
      <c r="G1093" s="411"/>
      <c r="H1093" s="411">
        <f t="shared" si="18"/>
        <v>3000</v>
      </c>
      <c r="I1093" s="387"/>
      <c r="J1093" s="411">
        <f t="shared" ref="J1093:L1093" si="19">SUM(J1059:J1092)</f>
        <v>2000</v>
      </c>
      <c r="K1093" s="411">
        <f t="shared" si="19"/>
        <v>0</v>
      </c>
      <c r="L1093" s="414">
        <f t="shared" si="19"/>
        <v>0</v>
      </c>
      <c r="M1093" s="411"/>
      <c r="N1093" s="411">
        <f t="shared" ref="N1093" si="20">SUM(N1059:N1092)</f>
        <v>3000</v>
      </c>
      <c r="O1093" s="380"/>
      <c r="P1093" s="380"/>
      <c r="Q1093" s="380"/>
    </row>
    <row r="1094" spans="1:17" x14ac:dyDescent="0.2">
      <c r="A1094" s="334"/>
      <c r="B1094" s="334"/>
      <c r="C1094" s="334"/>
      <c r="D1094" s="334"/>
      <c r="E1094" s="377"/>
      <c r="F1094" s="378"/>
      <c r="G1094" s="377"/>
      <c r="H1094" s="377"/>
      <c r="I1094" s="387"/>
      <c r="J1094" s="334"/>
      <c r="K1094" s="377"/>
      <c r="L1094" s="378"/>
      <c r="M1094" s="377"/>
      <c r="N1094" s="377"/>
      <c r="O1094" s="380"/>
      <c r="P1094" s="380"/>
      <c r="Q1094" s="380"/>
    </row>
    <row r="1095" spans="1:17" ht="15.75" x14ac:dyDescent="0.25">
      <c r="A1095" s="334"/>
      <c r="B1095" s="334"/>
      <c r="C1095" s="334"/>
      <c r="D1095" s="334"/>
      <c r="E1095" s="377"/>
      <c r="F1095" s="378"/>
      <c r="G1095" s="377"/>
      <c r="H1095" s="377"/>
      <c r="I1095" s="397"/>
      <c r="J1095" s="334"/>
      <c r="K1095" s="377"/>
      <c r="L1095" s="378"/>
      <c r="M1095" s="377"/>
      <c r="N1095" s="377"/>
      <c r="O1095" s="380"/>
      <c r="P1095" s="380"/>
      <c r="Q1095" s="380"/>
    </row>
    <row r="1096" spans="1:17" x14ac:dyDescent="0.2">
      <c r="A1096" s="334" t="s">
        <v>539</v>
      </c>
      <c r="B1096" s="380"/>
      <c r="C1096" s="380"/>
      <c r="D1096" s="385"/>
      <c r="E1096" s="385"/>
      <c r="F1096" s="415"/>
      <c r="G1096" s="385"/>
      <c r="H1096" s="385"/>
      <c r="I1096" s="387"/>
      <c r="J1096" s="385"/>
      <c r="K1096" s="385"/>
      <c r="L1096" s="415"/>
      <c r="M1096" s="385"/>
      <c r="N1096" s="385"/>
      <c r="O1096" s="380"/>
      <c r="P1096" s="380"/>
      <c r="Q1096" s="380"/>
    </row>
    <row r="1097" spans="1:17" x14ac:dyDescent="0.2">
      <c r="A1097" s="380"/>
      <c r="B1097" s="380"/>
      <c r="C1097" s="384" t="s">
        <v>436</v>
      </c>
      <c r="D1097" s="385" t="s">
        <v>1019</v>
      </c>
      <c r="E1097" s="385" t="s">
        <v>1693</v>
      </c>
      <c r="F1097" s="415" t="s">
        <v>1835</v>
      </c>
      <c r="G1097" s="385"/>
      <c r="H1097" s="385" t="s">
        <v>1836</v>
      </c>
      <c r="I1097" s="387"/>
      <c r="J1097" s="385" t="s">
        <v>1019</v>
      </c>
      <c r="K1097" s="385" t="s">
        <v>1693</v>
      </c>
      <c r="L1097" s="415" t="s">
        <v>1835</v>
      </c>
      <c r="M1097" s="385"/>
      <c r="N1097" s="385" t="s">
        <v>1836</v>
      </c>
      <c r="O1097" s="380"/>
      <c r="P1097" s="380"/>
      <c r="Q1097" s="380"/>
    </row>
    <row r="1098" spans="1:17" x14ac:dyDescent="0.2">
      <c r="A1098" s="380"/>
      <c r="B1098" s="380"/>
      <c r="C1098" s="380"/>
      <c r="D1098" s="385" t="s">
        <v>1020</v>
      </c>
      <c r="E1098" s="385" t="s">
        <v>1692</v>
      </c>
      <c r="F1098" s="415" t="s">
        <v>1834</v>
      </c>
      <c r="G1098" s="385"/>
      <c r="H1098" s="385" t="s">
        <v>1837</v>
      </c>
      <c r="I1098" s="387"/>
      <c r="J1098" s="385" t="s">
        <v>1020</v>
      </c>
      <c r="K1098" s="385" t="s">
        <v>1692</v>
      </c>
      <c r="L1098" s="415" t="s">
        <v>1834</v>
      </c>
      <c r="M1098" s="385"/>
      <c r="N1098" s="385" t="s">
        <v>1837</v>
      </c>
      <c r="O1098" s="380"/>
      <c r="P1098" s="380"/>
      <c r="Q1098" s="380"/>
    </row>
    <row r="1099" spans="1:17" x14ac:dyDescent="0.2">
      <c r="A1099" s="334" t="s">
        <v>342</v>
      </c>
      <c r="B1099" s="380"/>
      <c r="C1099" s="334" t="s">
        <v>342</v>
      </c>
      <c r="D1099" s="385"/>
      <c r="E1099" s="385"/>
      <c r="F1099" s="415"/>
      <c r="G1099" s="385"/>
      <c r="H1099" s="385"/>
      <c r="I1099" s="387"/>
      <c r="J1099" s="385"/>
      <c r="K1099" s="385"/>
      <c r="L1099" s="415"/>
      <c r="M1099" s="385"/>
      <c r="N1099" s="385"/>
      <c r="O1099" s="380"/>
      <c r="P1099" s="380"/>
      <c r="Q1099" s="380"/>
    </row>
    <row r="1100" spans="1:17" x14ac:dyDescent="0.2">
      <c r="A1100" s="334" t="s">
        <v>1723</v>
      </c>
      <c r="B1100" s="380"/>
      <c r="C1100" s="334" t="s">
        <v>1880</v>
      </c>
      <c r="D1100" s="385" t="s">
        <v>181</v>
      </c>
      <c r="E1100" s="385" t="s">
        <v>181</v>
      </c>
      <c r="F1100" s="415" t="s">
        <v>181</v>
      </c>
      <c r="G1100" s="385"/>
      <c r="H1100" s="385" t="s">
        <v>181</v>
      </c>
      <c r="I1100" s="387"/>
      <c r="J1100" s="385" t="s">
        <v>181</v>
      </c>
      <c r="K1100" s="385" t="s">
        <v>181</v>
      </c>
      <c r="L1100" s="415" t="s">
        <v>181</v>
      </c>
      <c r="M1100" s="385"/>
      <c r="N1100" s="385" t="s">
        <v>181</v>
      </c>
      <c r="O1100" s="380"/>
      <c r="P1100" s="380"/>
      <c r="Q1100" s="380"/>
    </row>
    <row r="1101" spans="1:17" x14ac:dyDescent="0.2">
      <c r="A1101" s="380"/>
      <c r="B1101" s="380"/>
      <c r="C1101" s="380"/>
      <c r="D1101" s="385"/>
      <c r="E1101" s="385"/>
      <c r="F1101" s="415"/>
      <c r="G1101" s="385"/>
      <c r="H1101" s="385"/>
      <c r="I1101" s="387"/>
      <c r="J1101" s="385"/>
      <c r="K1101" s="385"/>
      <c r="L1101" s="415"/>
      <c r="M1101" s="385"/>
      <c r="N1101" s="385"/>
      <c r="O1101" s="380"/>
      <c r="P1101" s="380"/>
      <c r="Q1101" s="380"/>
    </row>
    <row r="1102" spans="1:17" x14ac:dyDescent="0.2">
      <c r="A1102" s="334" t="s">
        <v>1733</v>
      </c>
      <c r="B1102" s="380"/>
      <c r="C1102" s="334" t="s">
        <v>27</v>
      </c>
      <c r="D1102" s="377"/>
      <c r="E1102" s="377"/>
      <c r="F1102" s="378"/>
      <c r="G1102" s="377"/>
      <c r="H1102" s="377"/>
      <c r="I1102" s="399"/>
      <c r="J1102" s="377"/>
      <c r="K1102" s="377"/>
      <c r="L1102" s="378"/>
      <c r="M1102" s="377"/>
      <c r="N1102" s="377"/>
      <c r="O1102" s="380"/>
      <c r="P1102" s="380"/>
      <c r="Q1102" s="380"/>
    </row>
    <row r="1103" spans="1:17" x14ac:dyDescent="0.2">
      <c r="A1103" s="334" t="s">
        <v>1743</v>
      </c>
      <c r="B1103" s="380"/>
      <c r="C1103" s="334" t="s">
        <v>1886</v>
      </c>
      <c r="D1103" s="377"/>
      <c r="E1103" s="377"/>
      <c r="F1103" s="378"/>
      <c r="G1103" s="377"/>
      <c r="H1103" s="377"/>
      <c r="I1103" s="399"/>
      <c r="J1103" s="377"/>
      <c r="K1103" s="377"/>
      <c r="L1103" s="378"/>
      <c r="M1103" s="377"/>
      <c r="N1103" s="377"/>
      <c r="O1103" s="380"/>
      <c r="P1103" s="380"/>
      <c r="Q1103" s="380"/>
    </row>
    <row r="1104" spans="1:17" x14ac:dyDescent="0.2">
      <c r="A1104" s="334" t="s">
        <v>1569</v>
      </c>
      <c r="B1104" s="380"/>
      <c r="C1104" s="334" t="s">
        <v>1888</v>
      </c>
      <c r="D1104" s="377"/>
      <c r="E1104" s="377"/>
      <c r="F1104" s="378"/>
      <c r="G1104" s="377"/>
      <c r="H1104" s="377"/>
      <c r="I1104" s="399"/>
      <c r="J1104" s="377"/>
      <c r="K1104" s="377"/>
      <c r="L1104" s="378"/>
      <c r="M1104" s="377"/>
      <c r="N1104" s="377"/>
      <c r="O1104" s="380"/>
      <c r="P1104" s="380"/>
      <c r="Q1104" s="380"/>
    </row>
    <row r="1105" spans="1:17" x14ac:dyDescent="0.2">
      <c r="A1105" s="334" t="s">
        <v>1724</v>
      </c>
      <c r="B1105" s="380"/>
      <c r="C1105" s="334" t="s">
        <v>1881</v>
      </c>
      <c r="D1105" s="377"/>
      <c r="E1105" s="377">
        <v>600</v>
      </c>
      <c r="F1105" s="378"/>
      <c r="G1105" s="377"/>
      <c r="H1105" s="377"/>
      <c r="I1105" s="399"/>
      <c r="J1105" s="377">
        <v>0</v>
      </c>
      <c r="K1105" s="377">
        <v>100</v>
      </c>
      <c r="L1105" s="378"/>
      <c r="M1105" s="377"/>
      <c r="N1105" s="377"/>
      <c r="O1105" s="380"/>
      <c r="P1105" s="380"/>
      <c r="Q1105" s="380"/>
    </row>
    <row r="1106" spans="1:17" x14ac:dyDescent="0.2">
      <c r="A1106" s="334" t="s">
        <v>1736</v>
      </c>
      <c r="B1106" s="380"/>
      <c r="C1106" s="334" t="s">
        <v>1747</v>
      </c>
      <c r="D1106" s="377"/>
      <c r="E1106" s="377"/>
      <c r="F1106" s="378"/>
      <c r="G1106" s="377"/>
      <c r="H1106" s="377"/>
      <c r="I1106" s="399"/>
      <c r="J1106" s="377"/>
      <c r="K1106" s="377"/>
      <c r="L1106" s="378"/>
      <c r="M1106" s="377"/>
      <c r="N1106" s="377"/>
      <c r="O1106" s="380"/>
      <c r="P1106" s="380"/>
      <c r="Q1106" s="380"/>
    </row>
    <row r="1107" spans="1:17" x14ac:dyDescent="0.2">
      <c r="A1107" s="334" t="s">
        <v>1744</v>
      </c>
      <c r="B1107" s="380"/>
      <c r="C1107" s="334" t="s">
        <v>1254</v>
      </c>
      <c r="D1107" s="377"/>
      <c r="E1107" s="377"/>
      <c r="F1107" s="378"/>
      <c r="G1107" s="377"/>
      <c r="H1107" s="377"/>
      <c r="I1107" s="399"/>
      <c r="J1107" s="377"/>
      <c r="K1107" s="377"/>
      <c r="L1107" s="378"/>
      <c r="M1107" s="377"/>
      <c r="N1107" s="377"/>
      <c r="O1107" s="380"/>
      <c r="P1107" s="380"/>
      <c r="Q1107" s="380"/>
    </row>
    <row r="1108" spans="1:17" x14ac:dyDescent="0.2">
      <c r="A1108" s="334" t="s">
        <v>1575</v>
      </c>
      <c r="B1108" s="380"/>
      <c r="C1108" s="334" t="s">
        <v>1889</v>
      </c>
      <c r="D1108" s="377"/>
      <c r="E1108" s="377"/>
      <c r="F1108" s="378"/>
      <c r="G1108" s="377"/>
      <c r="H1108" s="377"/>
      <c r="I1108" s="399"/>
      <c r="J1108" s="377"/>
      <c r="K1108" s="377"/>
      <c r="L1108" s="378"/>
      <c r="M1108" s="377"/>
      <c r="N1108" s="377"/>
      <c r="O1108" s="380"/>
      <c r="P1108" s="380"/>
      <c r="Q1108" s="380"/>
    </row>
    <row r="1109" spans="1:17" x14ac:dyDescent="0.2">
      <c r="A1109" s="334" t="s">
        <v>1725</v>
      </c>
      <c r="B1109" s="380"/>
      <c r="C1109" s="334" t="s">
        <v>1890</v>
      </c>
      <c r="D1109" s="377"/>
      <c r="E1109" s="377"/>
      <c r="F1109" s="378"/>
      <c r="G1109" s="377"/>
      <c r="H1109" s="377"/>
      <c r="I1109" s="399"/>
      <c r="J1109" s="377"/>
      <c r="K1109" s="377"/>
      <c r="L1109" s="378"/>
      <c r="M1109" s="377"/>
      <c r="N1109" s="377"/>
      <c r="O1109" s="380"/>
      <c r="P1109" s="380"/>
      <c r="Q1109" s="380"/>
    </row>
    <row r="1110" spans="1:17" x14ac:dyDescent="0.2">
      <c r="A1110" s="334" t="s">
        <v>1565</v>
      </c>
      <c r="B1110" s="380"/>
      <c r="C1110" s="334" t="s">
        <v>1927</v>
      </c>
      <c r="D1110" s="377"/>
      <c r="E1110" s="377"/>
      <c r="F1110" s="378"/>
      <c r="G1110" s="377"/>
      <c r="H1110" s="377"/>
      <c r="I1110" s="399"/>
      <c r="J1110" s="377"/>
      <c r="K1110" s="377"/>
      <c r="L1110" s="378"/>
      <c r="M1110" s="377"/>
      <c r="N1110" s="377"/>
      <c r="O1110" s="380"/>
      <c r="P1110" s="380"/>
      <c r="Q1110" s="380"/>
    </row>
    <row r="1111" spans="1:17" x14ac:dyDescent="0.2">
      <c r="A1111" s="334" t="s">
        <v>1737</v>
      </c>
      <c r="B1111" s="380"/>
      <c r="C1111" s="334" t="s">
        <v>1928</v>
      </c>
      <c r="D1111" s="377"/>
      <c r="E1111" s="377"/>
      <c r="F1111" s="378"/>
      <c r="G1111" s="377"/>
      <c r="H1111" s="377"/>
      <c r="I1111" s="399"/>
      <c r="J1111" s="377"/>
      <c r="K1111" s="377"/>
      <c r="L1111" s="378"/>
      <c r="M1111" s="377"/>
      <c r="N1111" s="377"/>
      <c r="O1111" s="380"/>
      <c r="P1111" s="380"/>
      <c r="Q1111" s="380"/>
    </row>
    <row r="1112" spans="1:17" x14ac:dyDescent="0.2">
      <c r="A1112" s="334" t="s">
        <v>1726</v>
      </c>
      <c r="B1112" s="380"/>
      <c r="C1112" s="334" t="s">
        <v>1117</v>
      </c>
      <c r="D1112" s="377"/>
      <c r="E1112" s="377"/>
      <c r="F1112" s="378"/>
      <c r="G1112" s="377"/>
      <c r="H1112" s="377"/>
      <c r="I1112" s="399"/>
      <c r="J1112" s="377"/>
      <c r="K1112" s="377"/>
      <c r="L1112" s="378"/>
      <c r="M1112" s="377"/>
      <c r="N1112" s="377"/>
      <c r="O1112" s="380"/>
      <c r="P1112" s="380"/>
      <c r="Q1112" s="380"/>
    </row>
    <row r="1113" spans="1:17" x14ac:dyDescent="0.2">
      <c r="A1113" s="334" t="s">
        <v>1756</v>
      </c>
      <c r="B1113" s="380"/>
      <c r="C1113" s="334" t="s">
        <v>3137</v>
      </c>
      <c r="D1113" s="377"/>
      <c r="E1113" s="377"/>
      <c r="F1113" s="378"/>
      <c r="G1113" s="377"/>
      <c r="H1113" s="377"/>
      <c r="I1113" s="399"/>
      <c r="J1113" s="377"/>
      <c r="K1113" s="377"/>
      <c r="L1113" s="378"/>
      <c r="M1113" s="377"/>
      <c r="N1113" s="377"/>
      <c r="O1113" s="380"/>
      <c r="P1113" s="380"/>
      <c r="Q1113" s="380"/>
    </row>
    <row r="1114" spans="1:17" x14ac:dyDescent="0.2">
      <c r="A1114" s="334" t="s">
        <v>1751</v>
      </c>
      <c r="B1114" s="380"/>
      <c r="C1114" s="334" t="s">
        <v>3138</v>
      </c>
      <c r="D1114" s="377"/>
      <c r="E1114" s="377"/>
      <c r="F1114" s="378"/>
      <c r="G1114" s="377"/>
      <c r="H1114" s="377"/>
      <c r="I1114" s="399"/>
      <c r="J1114" s="377"/>
      <c r="K1114" s="377"/>
      <c r="L1114" s="378"/>
      <c r="M1114" s="377"/>
      <c r="N1114" s="377"/>
      <c r="O1114" s="380"/>
      <c r="P1114" s="380"/>
      <c r="Q1114" s="380"/>
    </row>
    <row r="1115" spans="1:17" x14ac:dyDescent="0.2">
      <c r="A1115" s="334" t="s">
        <v>1752</v>
      </c>
      <c r="B1115" s="380"/>
      <c r="C1115" s="334" t="s">
        <v>367</v>
      </c>
      <c r="D1115" s="377"/>
      <c r="E1115" s="377"/>
      <c r="F1115" s="378"/>
      <c r="G1115" s="377"/>
      <c r="H1115" s="377"/>
      <c r="I1115" s="399"/>
      <c r="J1115" s="377"/>
      <c r="K1115" s="377"/>
      <c r="L1115" s="378"/>
      <c r="M1115" s="377"/>
      <c r="N1115" s="377"/>
      <c r="O1115" s="380"/>
      <c r="P1115" s="380"/>
      <c r="Q1115" s="380"/>
    </row>
    <row r="1116" spans="1:17" x14ac:dyDescent="0.2">
      <c r="A1116" s="334" t="s">
        <v>1577</v>
      </c>
      <c r="B1116" s="380"/>
      <c r="C1116" s="334" t="s">
        <v>1815</v>
      </c>
      <c r="D1116" s="377"/>
      <c r="E1116" s="377"/>
      <c r="F1116" s="378"/>
      <c r="G1116" s="377"/>
      <c r="H1116" s="377"/>
      <c r="I1116" s="399"/>
      <c r="J1116" s="377"/>
      <c r="K1116" s="377"/>
      <c r="L1116" s="378"/>
      <c r="M1116" s="377"/>
      <c r="N1116" s="377"/>
      <c r="O1116" s="380"/>
      <c r="P1116" s="380"/>
      <c r="Q1116" s="380"/>
    </row>
    <row r="1117" spans="1:17" x14ac:dyDescent="0.2">
      <c r="A1117" s="334" t="s">
        <v>1753</v>
      </c>
      <c r="B1117" s="380"/>
      <c r="C1117" s="334" t="s">
        <v>1816</v>
      </c>
      <c r="D1117" s="377"/>
      <c r="E1117" s="377"/>
      <c r="F1117" s="378"/>
      <c r="G1117" s="377"/>
      <c r="H1117" s="377"/>
      <c r="I1117" s="399"/>
      <c r="J1117" s="377"/>
      <c r="K1117" s="377"/>
      <c r="L1117" s="378"/>
      <c r="M1117" s="377"/>
      <c r="N1117" s="377"/>
      <c r="O1117" s="380"/>
      <c r="P1117" s="380"/>
      <c r="Q1117" s="380"/>
    </row>
    <row r="1118" spans="1:17" x14ac:dyDescent="0.2">
      <c r="A1118" s="334" t="s">
        <v>1734</v>
      </c>
      <c r="B1118" s="380"/>
      <c r="C1118" s="334" t="s">
        <v>1746</v>
      </c>
      <c r="D1118" s="377"/>
      <c r="E1118" s="377"/>
      <c r="F1118" s="378"/>
      <c r="G1118" s="377"/>
      <c r="H1118" s="377"/>
      <c r="I1118" s="399"/>
      <c r="J1118" s="377"/>
      <c r="K1118" s="377"/>
      <c r="L1118" s="378"/>
      <c r="M1118" s="377"/>
      <c r="N1118" s="377"/>
      <c r="O1118" s="380"/>
      <c r="P1118" s="380"/>
      <c r="Q1118" s="380"/>
    </row>
    <row r="1119" spans="1:17" x14ac:dyDescent="0.2">
      <c r="A1119" s="334" t="s">
        <v>1571</v>
      </c>
      <c r="B1119" s="380"/>
      <c r="C1119" s="334" t="s">
        <v>3</v>
      </c>
      <c r="D1119" s="377"/>
      <c r="E1119" s="377"/>
      <c r="F1119" s="378"/>
      <c r="G1119" s="377"/>
      <c r="H1119" s="377"/>
      <c r="I1119" s="399"/>
      <c r="J1119" s="377"/>
      <c r="K1119" s="377"/>
      <c r="L1119" s="378"/>
      <c r="M1119" s="377"/>
      <c r="N1119" s="377"/>
      <c r="O1119" s="380"/>
      <c r="P1119" s="380"/>
      <c r="Q1119" s="380"/>
    </row>
    <row r="1120" spans="1:17" x14ac:dyDescent="0.2">
      <c r="A1120" s="334" t="s">
        <v>1738</v>
      </c>
      <c r="B1120" s="380"/>
      <c r="C1120" s="334" t="s">
        <v>1591</v>
      </c>
      <c r="D1120" s="377"/>
      <c r="E1120" s="377"/>
      <c r="F1120" s="378"/>
      <c r="G1120" s="377"/>
      <c r="H1120" s="377"/>
      <c r="I1120" s="399"/>
      <c r="J1120" s="377"/>
      <c r="K1120" s="377"/>
      <c r="L1120" s="378"/>
      <c r="M1120" s="377"/>
      <c r="N1120" s="377"/>
      <c r="O1120" s="380"/>
      <c r="P1120" s="380"/>
      <c r="Q1120" s="380"/>
    </row>
    <row r="1121" spans="1:17" x14ac:dyDescent="0.2">
      <c r="A1121" s="334" t="s">
        <v>1727</v>
      </c>
      <c r="B1121" s="380"/>
      <c r="C1121" s="334" t="s">
        <v>307</v>
      </c>
      <c r="D1121" s="377"/>
      <c r="E1121" s="377"/>
      <c r="F1121" s="378"/>
      <c r="G1121" s="377"/>
      <c r="H1121" s="377"/>
      <c r="I1121" s="399"/>
      <c r="J1121" s="377"/>
      <c r="K1121" s="377"/>
      <c r="L1121" s="378"/>
      <c r="M1121" s="377"/>
      <c r="N1121" s="377"/>
      <c r="O1121" s="380"/>
      <c r="P1121" s="380"/>
      <c r="Q1121" s="380"/>
    </row>
    <row r="1122" spans="1:17" x14ac:dyDescent="0.2">
      <c r="A1122" s="334" t="s">
        <v>1728</v>
      </c>
      <c r="B1122" s="380"/>
      <c r="C1122" s="334" t="s">
        <v>310</v>
      </c>
      <c r="D1122" s="377"/>
      <c r="E1122" s="377"/>
      <c r="F1122" s="378"/>
      <c r="G1122" s="377"/>
      <c r="H1122" s="377"/>
      <c r="I1122" s="399"/>
      <c r="J1122" s="377"/>
      <c r="K1122" s="377"/>
      <c r="L1122" s="378"/>
      <c r="M1122" s="377"/>
      <c r="N1122" s="377"/>
      <c r="O1122" s="380"/>
      <c r="P1122" s="380"/>
      <c r="Q1122" s="380"/>
    </row>
    <row r="1123" spans="1:17" x14ac:dyDescent="0.2">
      <c r="A1123" s="334" t="s">
        <v>1729</v>
      </c>
      <c r="B1123" s="380"/>
      <c r="C1123" s="380" t="s">
        <v>1551</v>
      </c>
      <c r="D1123" s="377"/>
      <c r="E1123" s="377"/>
      <c r="F1123" s="378"/>
      <c r="G1123" s="377"/>
      <c r="H1123" s="377"/>
      <c r="I1123" s="399"/>
      <c r="J1123" s="377"/>
      <c r="K1123" s="377"/>
      <c r="L1123" s="378"/>
      <c r="M1123" s="377"/>
      <c r="N1123" s="377"/>
      <c r="O1123" s="380"/>
      <c r="P1123" s="380"/>
      <c r="Q1123" s="380"/>
    </row>
    <row r="1124" spans="1:17" x14ac:dyDescent="0.2">
      <c r="A1124" s="334" t="s">
        <v>1735</v>
      </c>
      <c r="B1124" s="380"/>
      <c r="C1124" s="380" t="s">
        <v>194</v>
      </c>
      <c r="D1124" s="377"/>
      <c r="E1124" s="377"/>
      <c r="F1124" s="378"/>
      <c r="G1124" s="377"/>
      <c r="H1124" s="377"/>
      <c r="I1124" s="399"/>
      <c r="J1124" s="377"/>
      <c r="K1124" s="377"/>
      <c r="L1124" s="378"/>
      <c r="M1124" s="377"/>
      <c r="N1124" s="377"/>
      <c r="O1124" s="380"/>
      <c r="P1124" s="380"/>
      <c r="Q1124" s="380"/>
    </row>
    <row r="1125" spans="1:17" x14ac:dyDescent="0.2">
      <c r="A1125" s="334" t="s">
        <v>1741</v>
      </c>
      <c r="B1125" s="380"/>
      <c r="C1125" s="334" t="s">
        <v>1748</v>
      </c>
      <c r="D1125" s="377"/>
      <c r="E1125" s="377"/>
      <c r="F1125" s="378"/>
      <c r="G1125" s="377"/>
      <c r="H1125" s="377"/>
      <c r="I1125" s="399"/>
      <c r="J1125" s="377"/>
      <c r="K1125" s="377"/>
      <c r="L1125" s="378"/>
      <c r="M1125" s="377"/>
      <c r="N1125" s="377"/>
      <c r="O1125" s="380"/>
      <c r="P1125" s="380"/>
      <c r="Q1125" s="380"/>
    </row>
    <row r="1126" spans="1:17" x14ac:dyDescent="0.2">
      <c r="A1126" s="334" t="s">
        <v>1742</v>
      </c>
      <c r="B1126" s="380"/>
      <c r="C1126" s="334" t="s">
        <v>1553</v>
      </c>
      <c r="D1126" s="377"/>
      <c r="E1126" s="377"/>
      <c r="F1126" s="378"/>
      <c r="G1126" s="377"/>
      <c r="H1126" s="377"/>
      <c r="I1126" s="399"/>
      <c r="J1126" s="377"/>
      <c r="K1126" s="377"/>
      <c r="L1126" s="378"/>
      <c r="M1126" s="377"/>
      <c r="N1126" s="377"/>
      <c r="O1126" s="380"/>
      <c r="P1126" s="380"/>
      <c r="Q1126" s="380"/>
    </row>
    <row r="1127" spans="1:17" x14ac:dyDescent="0.2">
      <c r="A1127" s="334" t="s">
        <v>1754</v>
      </c>
      <c r="B1127" s="380"/>
      <c r="C1127" s="334" t="s">
        <v>1929</v>
      </c>
      <c r="D1127" s="377"/>
      <c r="E1127" s="377"/>
      <c r="F1127" s="378"/>
      <c r="G1127" s="377"/>
      <c r="H1127" s="377"/>
      <c r="I1127" s="399"/>
      <c r="J1127" s="377"/>
      <c r="K1127" s="377"/>
      <c r="L1127" s="378"/>
      <c r="M1127" s="377"/>
      <c r="N1127" s="377"/>
      <c r="O1127" s="380"/>
      <c r="P1127" s="380"/>
      <c r="Q1127" s="380"/>
    </row>
    <row r="1128" spans="1:17" x14ac:dyDescent="0.2">
      <c r="A1128" s="334" t="s">
        <v>1584</v>
      </c>
      <c r="B1128" s="380"/>
      <c r="C1128" s="334" t="s">
        <v>0</v>
      </c>
      <c r="D1128" s="377"/>
      <c r="E1128" s="377"/>
      <c r="F1128" s="378"/>
      <c r="G1128" s="377"/>
      <c r="H1128" s="377"/>
      <c r="I1128" s="399"/>
      <c r="J1128" s="377"/>
      <c r="K1128" s="377"/>
      <c r="L1128" s="378"/>
      <c r="M1128" s="377"/>
      <c r="N1128" s="377"/>
      <c r="O1128" s="380"/>
      <c r="P1128" s="380"/>
      <c r="Q1128" s="380"/>
    </row>
    <row r="1129" spans="1:17" x14ac:dyDescent="0.2">
      <c r="A1129" s="334" t="s">
        <v>1580</v>
      </c>
      <c r="B1129" s="380"/>
      <c r="C1129" s="334" t="s">
        <v>1936</v>
      </c>
      <c r="D1129" s="377"/>
      <c r="E1129" s="377"/>
      <c r="F1129" s="378"/>
      <c r="G1129" s="377"/>
      <c r="H1129" s="377"/>
      <c r="I1129" s="399"/>
      <c r="J1129" s="377"/>
      <c r="K1129" s="377"/>
      <c r="L1129" s="378"/>
      <c r="M1129" s="377"/>
      <c r="N1129" s="377"/>
      <c r="O1129" s="380"/>
      <c r="P1129" s="380"/>
      <c r="Q1129" s="380"/>
    </row>
    <row r="1130" spans="1:17" x14ac:dyDescent="0.2">
      <c r="A1130" s="334" t="s">
        <v>1572</v>
      </c>
      <c r="B1130" s="380"/>
      <c r="C1130" s="334" t="s">
        <v>3134</v>
      </c>
      <c r="D1130" s="377"/>
      <c r="E1130" s="377"/>
      <c r="F1130" s="378"/>
      <c r="G1130" s="377"/>
      <c r="H1130" s="377"/>
      <c r="I1130" s="399"/>
      <c r="J1130" s="377"/>
      <c r="K1130" s="377"/>
      <c r="L1130" s="378"/>
      <c r="M1130" s="377"/>
      <c r="N1130" s="377"/>
      <c r="O1130" s="380"/>
      <c r="P1130" s="380"/>
      <c r="Q1130" s="380"/>
    </row>
    <row r="1131" spans="1:17" x14ac:dyDescent="0.2">
      <c r="A1131" s="334" t="s">
        <v>1730</v>
      </c>
      <c r="B1131" s="380"/>
      <c r="C1131" s="334" t="s">
        <v>1985</v>
      </c>
      <c r="D1131" s="377"/>
      <c r="E1131" s="377"/>
      <c r="F1131" s="378"/>
      <c r="G1131" s="377"/>
      <c r="H1131" s="377"/>
      <c r="I1131" s="399"/>
      <c r="J1131" s="377"/>
      <c r="K1131" s="377">
        <v>100</v>
      </c>
      <c r="L1131" s="378">
        <v>200</v>
      </c>
      <c r="M1131" s="377"/>
      <c r="N1131" s="377">
        <v>200</v>
      </c>
      <c r="O1131" s="380"/>
      <c r="P1131" s="380"/>
      <c r="Q1131" s="380"/>
    </row>
    <row r="1132" spans="1:17" x14ac:dyDescent="0.2">
      <c r="A1132" s="334" t="s">
        <v>1566</v>
      </c>
      <c r="B1132" s="380"/>
      <c r="C1132" s="334" t="s">
        <v>366</v>
      </c>
      <c r="D1132" s="377"/>
      <c r="E1132" s="377"/>
      <c r="F1132" s="378"/>
      <c r="G1132" s="377"/>
      <c r="H1132" s="377"/>
      <c r="I1132" s="399"/>
      <c r="J1132" s="377"/>
      <c r="K1132" s="377"/>
      <c r="L1132" s="378"/>
      <c r="M1132" s="377"/>
      <c r="N1132" s="377"/>
      <c r="O1132" s="380"/>
      <c r="P1132" s="380"/>
      <c r="Q1132" s="380"/>
    </row>
    <row r="1133" spans="1:17" x14ac:dyDescent="0.2">
      <c r="A1133" s="334" t="s">
        <v>1755</v>
      </c>
      <c r="B1133" s="380"/>
      <c r="C1133" s="380" t="s">
        <v>1986</v>
      </c>
      <c r="D1133" s="377"/>
      <c r="E1133" s="377">
        <v>400</v>
      </c>
      <c r="F1133" s="378">
        <v>200</v>
      </c>
      <c r="G1133" s="377"/>
      <c r="H1133" s="377">
        <v>200</v>
      </c>
      <c r="I1133" s="399"/>
      <c r="J1133" s="377"/>
      <c r="K1133" s="377"/>
      <c r="L1133" s="378"/>
      <c r="M1133" s="377"/>
      <c r="N1133" s="377"/>
      <c r="O1133" s="380"/>
      <c r="P1133" s="380"/>
      <c r="Q1133" s="380"/>
    </row>
    <row r="1134" spans="1:17" x14ac:dyDescent="0.2">
      <c r="A1134" s="334" t="s">
        <v>1567</v>
      </c>
      <c r="B1134" s="380"/>
      <c r="C1134" s="334" t="s">
        <v>3142</v>
      </c>
      <c r="D1134" s="423"/>
      <c r="E1134" s="423"/>
      <c r="F1134" s="422"/>
      <c r="G1134" s="423"/>
      <c r="H1134" s="423"/>
      <c r="I1134" s="399"/>
      <c r="J1134" s="423"/>
      <c r="K1134" s="423"/>
      <c r="L1134" s="422"/>
      <c r="M1134" s="423"/>
      <c r="N1134" s="423"/>
      <c r="O1134" s="380"/>
      <c r="P1134" s="380"/>
      <c r="Q1134" s="380"/>
    </row>
    <row r="1135" spans="1:17" x14ac:dyDescent="0.2">
      <c r="A1135" s="334"/>
      <c r="B1135" s="334"/>
      <c r="C1135" s="334"/>
      <c r="D1135" s="334"/>
      <c r="E1135" s="377"/>
      <c r="F1135" s="378"/>
      <c r="G1135" s="377"/>
      <c r="H1135" s="377"/>
      <c r="I1135" s="387"/>
      <c r="J1135" s="334"/>
      <c r="K1135" s="377"/>
      <c r="L1135" s="378"/>
      <c r="M1135" s="377"/>
      <c r="N1135" s="377"/>
      <c r="O1135" s="380"/>
      <c r="P1135" s="380"/>
      <c r="Q1135" s="380"/>
    </row>
    <row r="1136" spans="1:17" ht="15.75" thickBot="1" x14ac:dyDescent="0.25">
      <c r="A1136" s="334"/>
      <c r="B1136" s="334"/>
      <c r="C1136" s="334"/>
      <c r="D1136" s="411">
        <f>SUM(D1102:D1135)</f>
        <v>0</v>
      </c>
      <c r="E1136" s="411">
        <f>SUM(E1102:E1135)</f>
        <v>1000</v>
      </c>
      <c r="F1136" s="414">
        <f>SUM(F1102:F1135)</f>
        <v>200</v>
      </c>
      <c r="G1136" s="411"/>
      <c r="H1136" s="411">
        <f>SUM(H1102:H1135)</f>
        <v>200</v>
      </c>
      <c r="I1136" s="387"/>
      <c r="J1136" s="411">
        <f>SUM(J1102:J1135)</f>
        <v>0</v>
      </c>
      <c r="K1136" s="411">
        <f>SUM(K1102:K1135)</f>
        <v>200</v>
      </c>
      <c r="L1136" s="414">
        <f>SUM(L1102:L1135)</f>
        <v>200</v>
      </c>
      <c r="M1136" s="411"/>
      <c r="N1136" s="411">
        <f>SUM(N1102:N1135)</f>
        <v>200</v>
      </c>
      <c r="O1136" s="380"/>
      <c r="P1136" s="380"/>
      <c r="Q1136" s="380"/>
    </row>
    <row r="1137" spans="1:17" x14ac:dyDescent="0.2">
      <c r="A1137" s="334"/>
      <c r="B1137" s="334"/>
      <c r="C1137" s="334"/>
      <c r="D1137" s="334"/>
      <c r="E1137" s="377"/>
      <c r="F1137" s="378"/>
      <c r="G1137" s="377"/>
      <c r="H1137" s="377"/>
      <c r="I1137" s="387"/>
      <c r="J1137" s="382"/>
      <c r="K1137" s="382"/>
      <c r="L1137" s="380"/>
      <c r="M1137" s="380"/>
      <c r="N1137" s="380"/>
      <c r="O1137" s="380"/>
      <c r="P1137" s="380"/>
      <c r="Q1137" s="380"/>
    </row>
    <row r="1138" spans="1:17" ht="15.75" x14ac:dyDescent="0.25">
      <c r="A1138" s="334"/>
      <c r="B1138" s="334"/>
      <c r="C1138" s="334"/>
      <c r="D1138" s="334"/>
      <c r="E1138" s="377"/>
      <c r="F1138" s="378"/>
      <c r="G1138" s="377"/>
      <c r="H1138" s="377"/>
      <c r="I1138" s="397"/>
      <c r="J1138" s="425"/>
      <c r="K1138" s="425"/>
      <c r="L1138" s="426"/>
      <c r="M1138" s="380"/>
      <c r="N1138" s="380"/>
      <c r="O1138" s="380"/>
      <c r="P1138" s="380"/>
      <c r="Q1138" s="380"/>
    </row>
    <row r="1139" spans="1:17" x14ac:dyDescent="0.2">
      <c r="A1139" s="334"/>
      <c r="B1139" s="334"/>
      <c r="C1139" s="334"/>
      <c r="D1139" s="334"/>
      <c r="E1139" s="377"/>
      <c r="F1139" s="378"/>
      <c r="G1139" s="377"/>
      <c r="H1139" s="377"/>
      <c r="I1139" s="387"/>
      <c r="J1139" s="382"/>
      <c r="K1139" s="382"/>
      <c r="L1139" s="380"/>
      <c r="M1139" s="380"/>
      <c r="N1139" s="380"/>
      <c r="O1139" s="380"/>
      <c r="P1139" s="380"/>
      <c r="Q1139" s="380"/>
    </row>
    <row r="1140" spans="1:17" x14ac:dyDescent="0.2">
      <c r="A1140" s="334"/>
      <c r="B1140" s="334"/>
      <c r="C1140" s="334"/>
      <c r="D1140" s="334"/>
      <c r="E1140" s="377"/>
      <c r="F1140" s="378"/>
      <c r="G1140" s="377"/>
      <c r="H1140" s="377"/>
      <c r="I1140" s="387"/>
      <c r="J1140" s="382"/>
      <c r="K1140" s="382"/>
      <c r="L1140" s="380"/>
      <c r="M1140" s="380"/>
      <c r="N1140" s="380"/>
      <c r="O1140" s="380"/>
      <c r="P1140" s="380"/>
      <c r="Q1140" s="380"/>
    </row>
    <row r="1141" spans="1:17" x14ac:dyDescent="0.2">
      <c r="A1141" s="334" t="s">
        <v>1757</v>
      </c>
      <c r="B1141" s="377"/>
      <c r="C1141" s="377"/>
      <c r="D1141" s="377"/>
      <c r="E1141" s="334"/>
      <c r="F1141" s="412"/>
      <c r="G1141" s="334"/>
      <c r="H1141" s="334"/>
      <c r="I1141" s="381"/>
      <c r="J1141" s="382"/>
      <c r="K1141" s="382"/>
      <c r="L1141" s="380"/>
      <c r="M1141" s="380"/>
      <c r="N1141" s="380"/>
      <c r="O1141" s="380"/>
      <c r="P1141" s="380"/>
      <c r="Q1141" s="380"/>
    </row>
    <row r="1142" spans="1:17" x14ac:dyDescent="0.2">
      <c r="A1142" s="334"/>
      <c r="B1142" s="334"/>
      <c r="C1142" s="384" t="s">
        <v>2100</v>
      </c>
      <c r="D1142" s="334"/>
      <c r="E1142" s="377"/>
      <c r="F1142" s="378"/>
      <c r="G1142" s="377"/>
      <c r="H1142" s="377"/>
      <c r="I1142" s="387"/>
      <c r="J1142" s="382"/>
      <c r="K1142" s="382"/>
      <c r="L1142" s="380"/>
      <c r="M1142" s="380"/>
      <c r="N1142" s="380"/>
      <c r="O1142" s="380"/>
      <c r="P1142" s="380"/>
      <c r="Q1142" s="380"/>
    </row>
    <row r="1143" spans="1:17" x14ac:dyDescent="0.2">
      <c r="A1143" s="377"/>
      <c r="B1143" s="377"/>
      <c r="C1143" s="377"/>
      <c r="D1143" s="377"/>
      <c r="E1143" s="380"/>
      <c r="F1143" s="378"/>
      <c r="G1143" s="380"/>
      <c r="H1143" s="380"/>
      <c r="I1143" s="383"/>
      <c r="J1143" s="382"/>
      <c r="K1143" s="382"/>
      <c r="L1143" s="380"/>
      <c r="M1143" s="380"/>
      <c r="N1143" s="380"/>
      <c r="O1143" s="380"/>
      <c r="P1143" s="380"/>
      <c r="Q1143" s="380"/>
    </row>
    <row r="1144" spans="1:17" x14ac:dyDescent="0.2">
      <c r="A1144" s="334" t="s">
        <v>1723</v>
      </c>
      <c r="B1144" s="380"/>
      <c r="C1144" s="334" t="s">
        <v>1880</v>
      </c>
      <c r="D1144" s="334" t="s">
        <v>181</v>
      </c>
      <c r="E1144" s="380"/>
      <c r="F1144" s="378"/>
      <c r="G1144" s="380"/>
      <c r="H1144" s="380"/>
      <c r="I1144" s="383"/>
      <c r="J1144" s="334" t="s">
        <v>181</v>
      </c>
      <c r="K1144" s="382"/>
      <c r="L1144" s="380"/>
      <c r="M1144" s="380"/>
      <c r="N1144" s="380"/>
      <c r="O1144" s="380"/>
      <c r="P1144" s="380"/>
      <c r="Q1144" s="380"/>
    </row>
    <row r="1145" spans="1:17" x14ac:dyDescent="0.2">
      <c r="A1145" s="380"/>
      <c r="B1145" s="380"/>
      <c r="C1145" s="380"/>
      <c r="D1145" s="380"/>
      <c r="E1145" s="380"/>
      <c r="F1145" s="378"/>
      <c r="G1145" s="380"/>
      <c r="H1145" s="380"/>
      <c r="I1145" s="383"/>
      <c r="J1145" s="380"/>
      <c r="K1145" s="382"/>
      <c r="L1145" s="380"/>
      <c r="M1145" s="380"/>
      <c r="N1145" s="380"/>
      <c r="O1145" s="380"/>
      <c r="P1145" s="380"/>
      <c r="Q1145" s="380"/>
    </row>
    <row r="1146" spans="1:17" x14ac:dyDescent="0.2">
      <c r="A1146" s="334" t="s">
        <v>1568</v>
      </c>
      <c r="B1146" s="380"/>
      <c r="C1146" s="380" t="s">
        <v>1817</v>
      </c>
      <c r="D1146" s="377"/>
      <c r="E1146" s="384"/>
      <c r="F1146" s="378"/>
      <c r="G1146" s="380"/>
      <c r="H1146" s="380"/>
      <c r="I1146" s="399"/>
      <c r="J1146" s="377"/>
      <c r="K1146" s="382"/>
      <c r="L1146" s="380"/>
      <c r="M1146" s="380"/>
      <c r="N1146" s="380"/>
      <c r="O1146" s="380"/>
      <c r="P1146" s="380"/>
      <c r="Q1146" s="380"/>
    </row>
    <row r="1147" spans="1:17" x14ac:dyDescent="0.2">
      <c r="A1147" s="384" t="s">
        <v>1569</v>
      </c>
      <c r="B1147" s="380"/>
      <c r="C1147" s="334" t="s">
        <v>1888</v>
      </c>
      <c r="D1147" s="377">
        <v>250</v>
      </c>
      <c r="E1147" s="384"/>
      <c r="F1147" s="378"/>
      <c r="G1147" s="380"/>
      <c r="H1147" s="380"/>
      <c r="I1147" s="399"/>
      <c r="J1147" s="377">
        <v>500</v>
      </c>
      <c r="K1147" s="382"/>
      <c r="L1147" s="380"/>
      <c r="M1147" s="380"/>
      <c r="N1147" s="380"/>
      <c r="O1147" s="380"/>
      <c r="P1147" s="380"/>
      <c r="Q1147" s="380"/>
    </row>
    <row r="1148" spans="1:17" x14ac:dyDescent="0.2">
      <c r="A1148" s="334" t="s">
        <v>1724</v>
      </c>
      <c r="B1148" s="380"/>
      <c r="C1148" s="334" t="s">
        <v>1881</v>
      </c>
      <c r="D1148" s="377">
        <v>15000</v>
      </c>
      <c r="E1148" s="384"/>
      <c r="F1148" s="378"/>
      <c r="G1148" s="380"/>
      <c r="H1148" s="380"/>
      <c r="I1148" s="399"/>
      <c r="J1148" s="377">
        <v>5000</v>
      </c>
      <c r="K1148" s="382"/>
      <c r="L1148" s="380"/>
      <c r="M1148" s="380"/>
      <c r="N1148" s="380"/>
      <c r="O1148" s="380"/>
      <c r="P1148" s="380"/>
      <c r="Q1148" s="380"/>
    </row>
    <row r="1149" spans="1:17" x14ac:dyDescent="0.2">
      <c r="A1149" s="334" t="s">
        <v>1736</v>
      </c>
      <c r="B1149" s="380"/>
      <c r="C1149" s="334" t="s">
        <v>1747</v>
      </c>
      <c r="D1149" s="377">
        <v>300</v>
      </c>
      <c r="E1149" s="384"/>
      <c r="F1149" s="378"/>
      <c r="G1149" s="380"/>
      <c r="H1149" s="380"/>
      <c r="I1149" s="399"/>
      <c r="J1149" s="377">
        <v>300</v>
      </c>
      <c r="K1149" s="382"/>
      <c r="L1149" s="380"/>
      <c r="M1149" s="380"/>
      <c r="N1149" s="380"/>
      <c r="O1149" s="380"/>
      <c r="P1149" s="380"/>
      <c r="Q1149" s="380"/>
    </row>
    <row r="1150" spans="1:17" x14ac:dyDescent="0.2">
      <c r="A1150" s="334" t="s">
        <v>1744</v>
      </c>
      <c r="B1150" s="380"/>
      <c r="C1150" s="334" t="s">
        <v>1254</v>
      </c>
      <c r="D1150" s="377">
        <v>900</v>
      </c>
      <c r="E1150" s="384"/>
      <c r="F1150" s="378"/>
      <c r="G1150" s="380"/>
      <c r="H1150" s="380"/>
      <c r="I1150" s="399"/>
      <c r="J1150" s="377"/>
      <c r="K1150" s="382"/>
      <c r="L1150" s="380"/>
      <c r="M1150" s="380"/>
      <c r="N1150" s="380"/>
      <c r="O1150" s="380"/>
      <c r="P1150" s="380"/>
      <c r="Q1150" s="380"/>
    </row>
    <row r="1151" spans="1:17" x14ac:dyDescent="0.2">
      <c r="A1151" s="334" t="s">
        <v>1725</v>
      </c>
      <c r="B1151" s="380"/>
      <c r="C1151" s="334" t="s">
        <v>1890</v>
      </c>
      <c r="D1151" s="377">
        <v>100</v>
      </c>
      <c r="E1151" s="384"/>
      <c r="F1151" s="378"/>
      <c r="G1151" s="380"/>
      <c r="H1151" s="380"/>
      <c r="I1151" s="399"/>
      <c r="J1151" s="377">
        <v>100</v>
      </c>
      <c r="K1151" s="382"/>
      <c r="L1151" s="380"/>
      <c r="M1151" s="380"/>
      <c r="N1151" s="380"/>
      <c r="O1151" s="380"/>
      <c r="P1151" s="380"/>
      <c r="Q1151" s="380"/>
    </row>
    <row r="1152" spans="1:17" x14ac:dyDescent="0.2">
      <c r="A1152" s="384" t="s">
        <v>1745</v>
      </c>
      <c r="B1152" s="380"/>
      <c r="C1152" s="334" t="s">
        <v>1887</v>
      </c>
      <c r="D1152" s="377">
        <v>100</v>
      </c>
      <c r="E1152" s="384"/>
      <c r="F1152" s="378"/>
      <c r="G1152" s="380"/>
      <c r="H1152" s="380"/>
      <c r="I1152" s="399"/>
      <c r="J1152" s="377">
        <v>100</v>
      </c>
      <c r="K1152" s="382"/>
      <c r="L1152" s="380"/>
      <c r="M1152" s="380"/>
      <c r="N1152" s="380"/>
      <c r="O1152" s="380"/>
      <c r="P1152" s="380"/>
      <c r="Q1152" s="380"/>
    </row>
    <row r="1153" spans="1:17" x14ac:dyDescent="0.2">
      <c r="A1153" s="384" t="s">
        <v>1737</v>
      </c>
      <c r="B1153" s="380"/>
      <c r="C1153" s="334" t="s">
        <v>1984</v>
      </c>
      <c r="D1153" s="377">
        <v>200</v>
      </c>
      <c r="E1153" s="384"/>
      <c r="F1153" s="378"/>
      <c r="G1153" s="380"/>
      <c r="H1153" s="380"/>
      <c r="I1153" s="399"/>
      <c r="J1153" s="377"/>
      <c r="K1153" s="382"/>
      <c r="L1153" s="380"/>
      <c r="M1153" s="380"/>
      <c r="N1153" s="380"/>
      <c r="O1153" s="380"/>
      <c r="P1153" s="380"/>
      <c r="Q1153" s="380"/>
    </row>
    <row r="1154" spans="1:17" x14ac:dyDescent="0.2">
      <c r="A1154" s="334" t="s">
        <v>1726</v>
      </c>
      <c r="B1154" s="380"/>
      <c r="C1154" s="334" t="s">
        <v>1117</v>
      </c>
      <c r="D1154" s="377">
        <v>3000</v>
      </c>
      <c r="E1154" s="384"/>
      <c r="F1154" s="378"/>
      <c r="G1154" s="380"/>
      <c r="H1154" s="380"/>
      <c r="I1154" s="399"/>
      <c r="J1154" s="377">
        <v>5000</v>
      </c>
      <c r="K1154" s="382"/>
      <c r="L1154" s="380"/>
      <c r="M1154" s="380"/>
      <c r="N1154" s="380"/>
      <c r="O1154" s="380"/>
      <c r="P1154" s="380"/>
      <c r="Q1154" s="380"/>
    </row>
    <row r="1155" spans="1:17" x14ac:dyDescent="0.2">
      <c r="A1155" s="384" t="s">
        <v>1828</v>
      </c>
      <c r="B1155" s="380"/>
      <c r="C1155" s="334" t="s">
        <v>2712</v>
      </c>
      <c r="D1155" s="377">
        <v>3500</v>
      </c>
      <c r="E1155" s="384"/>
      <c r="F1155" s="378"/>
      <c r="G1155" s="380"/>
      <c r="H1155" s="380"/>
      <c r="I1155" s="399"/>
      <c r="J1155" s="377"/>
      <c r="K1155" s="382"/>
      <c r="L1155" s="380"/>
      <c r="M1155" s="380"/>
      <c r="N1155" s="380"/>
      <c r="O1155" s="380"/>
      <c r="P1155" s="380"/>
      <c r="Q1155" s="380"/>
    </row>
    <row r="1156" spans="1:17" x14ac:dyDescent="0.2">
      <c r="A1156" s="334" t="s">
        <v>1751</v>
      </c>
      <c r="B1156" s="380"/>
      <c r="C1156" s="334" t="s">
        <v>3138</v>
      </c>
      <c r="D1156" s="377">
        <v>7500</v>
      </c>
      <c r="E1156" s="384"/>
      <c r="F1156" s="378"/>
      <c r="G1156" s="380"/>
      <c r="H1156" s="380"/>
      <c r="I1156" s="399"/>
      <c r="J1156" s="377">
        <v>3000</v>
      </c>
      <c r="K1156" s="382"/>
      <c r="L1156" s="380"/>
      <c r="M1156" s="380"/>
      <c r="N1156" s="380"/>
      <c r="O1156" s="380"/>
      <c r="P1156" s="380"/>
      <c r="Q1156" s="380"/>
    </row>
    <row r="1157" spans="1:17" x14ac:dyDescent="0.2">
      <c r="A1157" s="384" t="s">
        <v>1752</v>
      </c>
      <c r="B1157" s="380"/>
      <c r="C1157" s="334" t="s">
        <v>367</v>
      </c>
      <c r="D1157" s="377"/>
      <c r="E1157" s="384"/>
      <c r="F1157" s="378"/>
      <c r="G1157" s="380"/>
      <c r="H1157" s="380"/>
      <c r="I1157" s="399"/>
      <c r="J1157" s="377">
        <v>500</v>
      </c>
      <c r="K1157" s="382"/>
      <c r="L1157" s="380"/>
      <c r="M1157" s="380"/>
      <c r="N1157" s="380"/>
      <c r="O1157" s="380"/>
      <c r="P1157" s="380"/>
      <c r="Q1157" s="380"/>
    </row>
    <row r="1158" spans="1:17" x14ac:dyDescent="0.2">
      <c r="A1158" s="403" t="s">
        <v>1577</v>
      </c>
      <c r="B1158" s="380"/>
      <c r="C1158" s="334" t="s">
        <v>1815</v>
      </c>
      <c r="D1158" s="377">
        <v>800</v>
      </c>
      <c r="E1158" s="384"/>
      <c r="F1158" s="378"/>
      <c r="G1158" s="380"/>
      <c r="H1158" s="380"/>
      <c r="I1158" s="399"/>
      <c r="J1158" s="377"/>
      <c r="K1158" s="382"/>
      <c r="L1158" s="380"/>
      <c r="M1158" s="380"/>
      <c r="N1158" s="380"/>
      <c r="O1158" s="380"/>
      <c r="P1158" s="380"/>
      <c r="Q1158" s="380"/>
    </row>
    <row r="1159" spans="1:17" x14ac:dyDescent="0.2">
      <c r="A1159" s="403" t="s">
        <v>1734</v>
      </c>
      <c r="B1159" s="380"/>
      <c r="C1159" s="334" t="s">
        <v>1746</v>
      </c>
      <c r="D1159" s="377"/>
      <c r="E1159" s="384"/>
      <c r="F1159" s="378"/>
      <c r="G1159" s="380"/>
      <c r="H1159" s="380"/>
      <c r="I1159" s="399"/>
      <c r="J1159" s="377">
        <v>2000</v>
      </c>
      <c r="K1159" s="382"/>
      <c r="L1159" s="380"/>
      <c r="M1159" s="380"/>
      <c r="N1159" s="380"/>
      <c r="O1159" s="380"/>
      <c r="P1159" s="380"/>
      <c r="Q1159" s="380"/>
    </row>
    <row r="1160" spans="1:17" x14ac:dyDescent="0.2">
      <c r="A1160" s="334" t="s">
        <v>1571</v>
      </c>
      <c r="B1160" s="380"/>
      <c r="C1160" s="334" t="s">
        <v>3</v>
      </c>
      <c r="D1160" s="377"/>
      <c r="E1160" s="384"/>
      <c r="F1160" s="378"/>
      <c r="G1160" s="380"/>
      <c r="H1160" s="380"/>
      <c r="I1160" s="399"/>
      <c r="J1160" s="377">
        <v>500</v>
      </c>
      <c r="K1160" s="382"/>
      <c r="L1160" s="380"/>
      <c r="M1160" s="380"/>
      <c r="N1160" s="380"/>
      <c r="O1160" s="380"/>
      <c r="P1160" s="380"/>
      <c r="Q1160" s="380"/>
    </row>
    <row r="1161" spans="1:17" x14ac:dyDescent="0.2">
      <c r="A1161" s="334" t="s">
        <v>1738</v>
      </c>
      <c r="B1161" s="380"/>
      <c r="C1161" s="334" t="s">
        <v>1591</v>
      </c>
      <c r="D1161" s="377">
        <v>500</v>
      </c>
      <c r="E1161" s="384"/>
      <c r="F1161" s="378"/>
      <c r="G1161" s="380"/>
      <c r="H1161" s="380"/>
      <c r="I1161" s="399"/>
      <c r="J1161" s="377">
        <v>450</v>
      </c>
      <c r="K1161" s="382"/>
      <c r="L1161" s="380"/>
      <c r="M1161" s="380"/>
      <c r="N1161" s="380"/>
      <c r="O1161" s="380"/>
      <c r="P1161" s="380"/>
      <c r="Q1161" s="380"/>
    </row>
    <row r="1162" spans="1:17" x14ac:dyDescent="0.2">
      <c r="A1162" s="334" t="s">
        <v>1727</v>
      </c>
      <c r="B1162" s="380"/>
      <c r="C1162" s="334" t="s">
        <v>307</v>
      </c>
      <c r="D1162" s="377">
        <v>500</v>
      </c>
      <c r="E1162" s="384"/>
      <c r="F1162" s="378"/>
      <c r="G1162" s="380"/>
      <c r="H1162" s="380"/>
      <c r="I1162" s="399"/>
      <c r="J1162" s="377">
        <v>300</v>
      </c>
      <c r="K1162" s="382"/>
      <c r="L1162" s="380"/>
      <c r="M1162" s="380"/>
      <c r="N1162" s="380"/>
      <c r="O1162" s="380"/>
      <c r="P1162" s="380"/>
      <c r="Q1162" s="380"/>
    </row>
    <row r="1163" spans="1:17" x14ac:dyDescent="0.2">
      <c r="A1163" s="334" t="s">
        <v>1728</v>
      </c>
      <c r="B1163" s="380"/>
      <c r="C1163" s="334" t="s">
        <v>310</v>
      </c>
      <c r="D1163" s="377">
        <v>15500</v>
      </c>
      <c r="E1163" s="384"/>
      <c r="F1163" s="378"/>
      <c r="G1163" s="380"/>
      <c r="H1163" s="380"/>
      <c r="I1163" s="399"/>
      <c r="J1163" s="377">
        <v>14700</v>
      </c>
      <c r="K1163" s="382"/>
      <c r="L1163" s="380"/>
      <c r="M1163" s="380"/>
      <c r="N1163" s="380"/>
      <c r="O1163" s="380"/>
      <c r="P1163" s="380"/>
      <c r="Q1163" s="380"/>
    </row>
    <row r="1164" spans="1:17" x14ac:dyDescent="0.2">
      <c r="A1164" s="334" t="s">
        <v>1729</v>
      </c>
      <c r="B1164" s="380"/>
      <c r="C1164" s="380" t="s">
        <v>1551</v>
      </c>
      <c r="D1164" s="377">
        <v>-5685</v>
      </c>
      <c r="E1164" s="384"/>
      <c r="F1164" s="378"/>
      <c r="G1164" s="380"/>
      <c r="H1164" s="380"/>
      <c r="I1164" s="399"/>
      <c r="J1164" s="377">
        <v>5000</v>
      </c>
      <c r="K1164" s="382"/>
      <c r="L1164" s="380"/>
      <c r="M1164" s="380"/>
      <c r="N1164" s="380"/>
      <c r="O1164" s="380"/>
      <c r="P1164" s="380"/>
      <c r="Q1164" s="380"/>
    </row>
    <row r="1165" spans="1:17" x14ac:dyDescent="0.2">
      <c r="A1165" s="334" t="s">
        <v>1735</v>
      </c>
      <c r="B1165" s="380"/>
      <c r="C1165" s="380" t="s">
        <v>194</v>
      </c>
      <c r="D1165" s="377"/>
      <c r="E1165" s="384"/>
      <c r="F1165" s="378"/>
      <c r="G1165" s="380"/>
      <c r="H1165" s="380"/>
      <c r="I1165" s="399"/>
      <c r="J1165" s="377">
        <v>200</v>
      </c>
      <c r="K1165" s="382"/>
      <c r="L1165" s="380"/>
      <c r="M1165" s="380"/>
      <c r="N1165" s="380"/>
      <c r="O1165" s="380"/>
      <c r="P1165" s="380"/>
      <c r="Q1165" s="380"/>
    </row>
    <row r="1166" spans="1:17" x14ac:dyDescent="0.2">
      <c r="A1166" s="334" t="s">
        <v>1741</v>
      </c>
      <c r="B1166" s="380"/>
      <c r="C1166" s="334" t="s">
        <v>1748</v>
      </c>
      <c r="D1166" s="377">
        <v>200</v>
      </c>
      <c r="E1166" s="384"/>
      <c r="F1166" s="378"/>
      <c r="G1166" s="380"/>
      <c r="H1166" s="380"/>
      <c r="I1166" s="399"/>
      <c r="J1166" s="377">
        <v>1500</v>
      </c>
      <c r="K1166" s="382"/>
      <c r="L1166" s="380"/>
      <c r="M1166" s="380"/>
      <c r="N1166" s="380"/>
      <c r="O1166" s="380"/>
      <c r="P1166" s="380"/>
      <c r="Q1166" s="380"/>
    </row>
    <row r="1167" spans="1:17" x14ac:dyDescent="0.2">
      <c r="A1167" s="334" t="s">
        <v>1742</v>
      </c>
      <c r="B1167" s="380"/>
      <c r="C1167" s="334" t="s">
        <v>1553</v>
      </c>
      <c r="D1167" s="377"/>
      <c r="E1167" s="384"/>
      <c r="F1167" s="378"/>
      <c r="G1167" s="380"/>
      <c r="H1167" s="380"/>
      <c r="I1167" s="399"/>
      <c r="J1167" s="377">
        <v>300</v>
      </c>
      <c r="K1167" s="382"/>
      <c r="L1167" s="380"/>
      <c r="M1167" s="380"/>
      <c r="N1167" s="380"/>
      <c r="O1167" s="380"/>
      <c r="P1167" s="380"/>
      <c r="Q1167" s="380"/>
    </row>
    <row r="1168" spans="1:17" x14ac:dyDescent="0.2">
      <c r="A1168" s="334" t="s">
        <v>1754</v>
      </c>
      <c r="B1168" s="380"/>
      <c r="C1168" s="334" t="s">
        <v>1929</v>
      </c>
      <c r="D1168" s="377">
        <v>3500</v>
      </c>
      <c r="E1168" s="384"/>
      <c r="F1168" s="378"/>
      <c r="G1168" s="380"/>
      <c r="H1168" s="380"/>
      <c r="I1168" s="399"/>
      <c r="J1168" s="377"/>
      <c r="K1168" s="382"/>
      <c r="L1168" s="380"/>
      <c r="M1168" s="380"/>
      <c r="N1168" s="380"/>
      <c r="O1168" s="380"/>
      <c r="P1168" s="380"/>
      <c r="Q1168" s="380"/>
    </row>
    <row r="1169" spans="1:17" x14ac:dyDescent="0.2">
      <c r="A1169" s="334" t="s">
        <v>1730</v>
      </c>
      <c r="B1169" s="380"/>
      <c r="C1169" s="334" t="s">
        <v>1985</v>
      </c>
      <c r="D1169" s="377">
        <v>3500</v>
      </c>
      <c r="E1169" s="384"/>
      <c r="F1169" s="378"/>
      <c r="G1169" s="380"/>
      <c r="H1169" s="380"/>
      <c r="I1169" s="399"/>
      <c r="J1169" s="377">
        <v>3500</v>
      </c>
      <c r="K1169" s="382"/>
      <c r="L1169" s="380"/>
      <c r="M1169" s="380"/>
      <c r="N1169" s="380"/>
      <c r="O1169" s="380"/>
      <c r="P1169" s="380"/>
      <c r="Q1169" s="380"/>
    </row>
    <row r="1170" spans="1:17" x14ac:dyDescent="0.2">
      <c r="A1170" s="334" t="s">
        <v>1566</v>
      </c>
      <c r="B1170" s="380"/>
      <c r="C1170" s="334" t="s">
        <v>366</v>
      </c>
      <c r="D1170" s="377">
        <v>1000</v>
      </c>
      <c r="E1170" s="384"/>
      <c r="F1170" s="378"/>
      <c r="G1170" s="380"/>
      <c r="H1170" s="380"/>
      <c r="I1170" s="399"/>
      <c r="J1170" s="377">
        <v>300</v>
      </c>
      <c r="K1170" s="382"/>
      <c r="L1170" s="380"/>
      <c r="M1170" s="380"/>
      <c r="N1170" s="380"/>
      <c r="O1170" s="380"/>
      <c r="P1170" s="380"/>
      <c r="Q1170" s="380"/>
    </row>
    <row r="1171" spans="1:17" x14ac:dyDescent="0.2">
      <c r="A1171" s="384" t="s">
        <v>1588</v>
      </c>
      <c r="B1171" s="380"/>
      <c r="C1171" s="334" t="s">
        <v>191</v>
      </c>
      <c r="D1171" s="377">
        <v>500</v>
      </c>
      <c r="E1171" s="384"/>
      <c r="F1171" s="378"/>
      <c r="G1171" s="380"/>
      <c r="H1171" s="380"/>
      <c r="I1171" s="399"/>
      <c r="J1171" s="377"/>
      <c r="K1171" s="382"/>
      <c r="L1171" s="380"/>
      <c r="M1171" s="380"/>
      <c r="N1171" s="380"/>
      <c r="O1171" s="380"/>
      <c r="P1171" s="380"/>
      <c r="Q1171" s="380"/>
    </row>
    <row r="1172" spans="1:17" x14ac:dyDescent="0.2">
      <c r="A1172" s="380"/>
      <c r="B1172" s="380"/>
      <c r="C1172" s="380"/>
      <c r="D1172" s="394"/>
      <c r="E1172" s="380"/>
      <c r="F1172" s="378"/>
      <c r="G1172" s="380"/>
      <c r="H1172" s="380"/>
      <c r="I1172" s="383"/>
      <c r="J1172" s="394"/>
      <c r="K1172" s="382"/>
      <c r="L1172" s="380"/>
      <c r="M1172" s="380"/>
      <c r="N1172" s="380"/>
      <c r="O1172" s="380"/>
      <c r="P1172" s="380"/>
      <c r="Q1172" s="380"/>
    </row>
    <row r="1173" spans="1:17" x14ac:dyDescent="0.2">
      <c r="A1173" s="380"/>
      <c r="B1173" s="380"/>
      <c r="C1173" s="380"/>
      <c r="D1173" s="334">
        <f>SUM(D1146:D1171)</f>
        <v>51165</v>
      </c>
      <c r="E1173" s="380"/>
      <c r="F1173" s="378"/>
      <c r="G1173" s="380"/>
      <c r="H1173" s="380"/>
      <c r="I1173" s="383"/>
      <c r="J1173" s="334">
        <f>SUM(J1146:J1171)</f>
        <v>43250</v>
      </c>
      <c r="K1173" s="382"/>
      <c r="L1173" s="380"/>
      <c r="M1173" s="380"/>
      <c r="N1173" s="380"/>
      <c r="O1173" s="380"/>
      <c r="P1173" s="380"/>
      <c r="Q1173" s="380"/>
    </row>
    <row r="1174" spans="1:17" ht="15.75" thickTop="1" x14ac:dyDescent="0.2">
      <c r="A1174" s="380"/>
      <c r="B1174" s="380"/>
      <c r="C1174" s="380"/>
      <c r="D1174" s="395">
        <f>D1173-D1146</f>
        <v>51165</v>
      </c>
      <c r="E1174" s="380"/>
      <c r="F1174" s="378"/>
      <c r="G1174" s="380"/>
      <c r="H1174" s="380"/>
      <c r="I1174" s="383"/>
      <c r="J1174" s="395">
        <f>J1173-J1146</f>
        <v>43250</v>
      </c>
      <c r="K1174" s="382"/>
      <c r="L1174" s="380"/>
      <c r="M1174" s="380"/>
      <c r="N1174" s="380"/>
      <c r="O1174" s="380"/>
      <c r="P1174" s="380"/>
      <c r="Q1174" s="380"/>
    </row>
    <row r="1175" spans="1:17" ht="15.75" x14ac:dyDescent="0.25">
      <c r="A1175" s="377"/>
      <c r="B1175" s="377"/>
      <c r="C1175" s="377"/>
      <c r="D1175" s="377"/>
      <c r="E1175" s="377"/>
      <c r="F1175" s="378"/>
      <c r="G1175" s="377"/>
      <c r="H1175" s="377"/>
      <c r="I1175" s="397"/>
      <c r="J1175" s="377"/>
      <c r="K1175" s="382"/>
      <c r="L1175" s="380"/>
      <c r="M1175" s="380"/>
      <c r="N1175" s="380"/>
      <c r="O1175" s="380"/>
      <c r="P1175" s="380"/>
      <c r="Q1175" s="380"/>
    </row>
    <row r="1176" spans="1:17" x14ac:dyDescent="0.2">
      <c r="A1176" s="380"/>
      <c r="B1176" s="380"/>
      <c r="C1176" s="380"/>
      <c r="D1176" s="380"/>
      <c r="E1176" s="380"/>
      <c r="F1176" s="378"/>
      <c r="G1176" s="380"/>
      <c r="H1176" s="380"/>
      <c r="I1176" s="383"/>
      <c r="J1176" s="380"/>
      <c r="K1176" s="382"/>
      <c r="L1176" s="380"/>
      <c r="M1176" s="380"/>
      <c r="N1176" s="380"/>
      <c r="O1176" s="380"/>
      <c r="P1176" s="380"/>
      <c r="Q1176" s="380"/>
    </row>
    <row r="1177" spans="1:17" x14ac:dyDescent="0.2">
      <c r="A1177" s="334" t="s">
        <v>3186</v>
      </c>
      <c r="B1177" s="380"/>
      <c r="C1177" s="380"/>
      <c r="D1177" s="380"/>
      <c r="E1177" s="380"/>
      <c r="F1177" s="378"/>
      <c r="G1177" s="380"/>
      <c r="H1177" s="380"/>
      <c r="I1177" s="383"/>
      <c r="J1177" s="380"/>
      <c r="K1177" s="382"/>
      <c r="L1177" s="380"/>
      <c r="M1177" s="380"/>
      <c r="N1177" s="380"/>
      <c r="O1177" s="380"/>
      <c r="P1177" s="380"/>
      <c r="Q1177" s="380"/>
    </row>
    <row r="1178" spans="1:17" x14ac:dyDescent="0.2">
      <c r="A1178" s="380"/>
      <c r="B1178" s="380"/>
      <c r="C1178" s="384" t="s">
        <v>2101</v>
      </c>
      <c r="D1178" s="380"/>
      <c r="E1178" s="380"/>
      <c r="F1178" s="378"/>
      <c r="G1178" s="380"/>
      <c r="H1178" s="380"/>
      <c r="I1178" s="383"/>
      <c r="J1178" s="380"/>
      <c r="K1178" s="382"/>
      <c r="L1178" s="380"/>
      <c r="M1178" s="380"/>
      <c r="N1178" s="380"/>
      <c r="O1178" s="380"/>
      <c r="P1178" s="380"/>
      <c r="Q1178" s="380"/>
    </row>
    <row r="1179" spans="1:17" x14ac:dyDescent="0.2">
      <c r="A1179" s="380"/>
      <c r="B1179" s="380"/>
      <c r="C1179" s="380"/>
      <c r="D1179" s="380"/>
      <c r="E1179" s="380"/>
      <c r="F1179" s="378"/>
      <c r="G1179" s="380"/>
      <c r="H1179" s="380"/>
      <c r="I1179" s="383"/>
      <c r="J1179" s="380"/>
      <c r="K1179" s="382"/>
      <c r="L1179" s="380"/>
      <c r="M1179" s="380"/>
      <c r="N1179" s="380"/>
      <c r="O1179" s="380"/>
      <c r="P1179" s="380"/>
      <c r="Q1179" s="380"/>
    </row>
    <row r="1180" spans="1:17" x14ac:dyDescent="0.2">
      <c r="A1180" s="334" t="s">
        <v>1723</v>
      </c>
      <c r="B1180" s="380"/>
      <c r="C1180" s="334" t="s">
        <v>1880</v>
      </c>
      <c r="D1180" s="334" t="s">
        <v>181</v>
      </c>
      <c r="E1180" s="380"/>
      <c r="F1180" s="378"/>
      <c r="G1180" s="380"/>
      <c r="H1180" s="380"/>
      <c r="I1180" s="383"/>
      <c r="J1180" s="334" t="s">
        <v>181</v>
      </c>
      <c r="K1180" s="382"/>
      <c r="L1180" s="380"/>
      <c r="M1180" s="380"/>
      <c r="N1180" s="380"/>
      <c r="O1180" s="380"/>
      <c r="P1180" s="380"/>
      <c r="Q1180" s="380"/>
    </row>
    <row r="1181" spans="1:17" x14ac:dyDescent="0.2">
      <c r="A1181" s="380"/>
      <c r="B1181" s="380"/>
      <c r="C1181" s="380"/>
      <c r="D1181" s="380"/>
      <c r="E1181" s="380"/>
      <c r="F1181" s="378"/>
      <c r="G1181" s="380"/>
      <c r="H1181" s="380"/>
      <c r="I1181" s="383"/>
      <c r="J1181" s="380"/>
      <c r="K1181" s="382"/>
      <c r="L1181" s="380"/>
      <c r="M1181" s="380"/>
      <c r="N1181" s="380"/>
      <c r="O1181" s="380"/>
      <c r="P1181" s="380"/>
      <c r="Q1181" s="380"/>
    </row>
    <row r="1182" spans="1:17" x14ac:dyDescent="0.2">
      <c r="A1182" s="334" t="s">
        <v>1724</v>
      </c>
      <c r="B1182" s="380"/>
      <c r="C1182" s="334" t="s">
        <v>1881</v>
      </c>
      <c r="D1182" s="377">
        <v>500</v>
      </c>
      <c r="E1182" s="384"/>
      <c r="F1182" s="378"/>
      <c r="G1182" s="380"/>
      <c r="H1182" s="380"/>
      <c r="I1182" s="399"/>
      <c r="J1182" s="377">
        <v>200</v>
      </c>
      <c r="K1182" s="382"/>
      <c r="L1182" s="380"/>
      <c r="M1182" s="380"/>
      <c r="N1182" s="380"/>
      <c r="O1182" s="380"/>
      <c r="P1182" s="380"/>
      <c r="Q1182" s="380"/>
    </row>
    <row r="1183" spans="1:17" x14ac:dyDescent="0.2">
      <c r="A1183" s="334" t="s">
        <v>1736</v>
      </c>
      <c r="B1183" s="380"/>
      <c r="C1183" s="334" t="s">
        <v>1747</v>
      </c>
      <c r="D1183" s="377">
        <v>500</v>
      </c>
      <c r="E1183" s="384"/>
      <c r="F1183" s="378"/>
      <c r="G1183" s="380"/>
      <c r="H1183" s="380"/>
      <c r="I1183" s="399"/>
      <c r="J1183" s="377"/>
      <c r="K1183" s="382"/>
      <c r="L1183" s="380"/>
      <c r="M1183" s="380"/>
      <c r="N1183" s="380"/>
      <c r="O1183" s="380"/>
      <c r="P1183" s="380"/>
      <c r="Q1183" s="380"/>
    </row>
    <row r="1184" spans="1:17" x14ac:dyDescent="0.2">
      <c r="A1184" s="334" t="s">
        <v>1725</v>
      </c>
      <c r="B1184" s="380"/>
      <c r="C1184" s="334" t="s">
        <v>1890</v>
      </c>
      <c r="D1184" s="377">
        <v>200</v>
      </c>
      <c r="E1184" s="384"/>
      <c r="F1184" s="378"/>
      <c r="G1184" s="380"/>
      <c r="H1184" s="380"/>
      <c r="I1184" s="399"/>
      <c r="J1184" s="377">
        <v>200</v>
      </c>
      <c r="K1184" s="382"/>
      <c r="L1184" s="380"/>
      <c r="M1184" s="380"/>
      <c r="N1184" s="380"/>
      <c r="O1184" s="380"/>
      <c r="P1184" s="380"/>
      <c r="Q1184" s="380"/>
    </row>
    <row r="1185" spans="1:17" x14ac:dyDescent="0.2">
      <c r="A1185" s="384" t="s">
        <v>1745</v>
      </c>
      <c r="B1185" s="380"/>
      <c r="C1185" s="334" t="s">
        <v>1887</v>
      </c>
      <c r="D1185" s="377">
        <v>100</v>
      </c>
      <c r="E1185" s="384"/>
      <c r="F1185" s="378"/>
      <c r="G1185" s="380"/>
      <c r="H1185" s="380"/>
      <c r="I1185" s="399"/>
      <c r="J1185" s="377">
        <v>100</v>
      </c>
      <c r="K1185" s="382"/>
      <c r="L1185" s="380"/>
      <c r="M1185" s="380"/>
      <c r="N1185" s="380"/>
      <c r="O1185" s="380"/>
      <c r="P1185" s="380"/>
      <c r="Q1185" s="380"/>
    </row>
    <row r="1186" spans="1:17" x14ac:dyDescent="0.2">
      <c r="A1186" s="334" t="s">
        <v>1737</v>
      </c>
      <c r="B1186" s="380"/>
      <c r="C1186" s="334" t="s">
        <v>1984</v>
      </c>
      <c r="D1186" s="377">
        <v>100</v>
      </c>
      <c r="E1186" s="384"/>
      <c r="F1186" s="378"/>
      <c r="G1186" s="380"/>
      <c r="H1186" s="380"/>
      <c r="I1186" s="399"/>
      <c r="J1186" s="377">
        <v>100</v>
      </c>
      <c r="K1186" s="382"/>
      <c r="L1186" s="380"/>
      <c r="M1186" s="380"/>
      <c r="N1186" s="380"/>
      <c r="O1186" s="380"/>
      <c r="P1186" s="380"/>
      <c r="Q1186" s="380"/>
    </row>
    <row r="1187" spans="1:17" x14ac:dyDescent="0.2">
      <c r="A1187" s="334" t="s">
        <v>1726</v>
      </c>
      <c r="B1187" s="380"/>
      <c r="C1187" s="334" t="s">
        <v>1117</v>
      </c>
      <c r="D1187" s="377">
        <v>400</v>
      </c>
      <c r="E1187" s="384"/>
      <c r="F1187" s="378"/>
      <c r="G1187" s="380"/>
      <c r="H1187" s="380"/>
      <c r="I1187" s="399"/>
      <c r="J1187" s="377">
        <v>200</v>
      </c>
      <c r="K1187" s="382"/>
      <c r="L1187" s="380"/>
      <c r="M1187" s="380"/>
      <c r="N1187" s="380"/>
      <c r="O1187" s="380"/>
      <c r="P1187" s="380"/>
      <c r="Q1187" s="380"/>
    </row>
    <row r="1188" spans="1:17" x14ac:dyDescent="0.2">
      <c r="A1188" s="403" t="s">
        <v>1751</v>
      </c>
      <c r="B1188" s="380"/>
      <c r="C1188" s="334" t="s">
        <v>3138</v>
      </c>
      <c r="D1188" s="377">
        <v>300</v>
      </c>
      <c r="E1188" s="384"/>
      <c r="F1188" s="378"/>
      <c r="G1188" s="380"/>
      <c r="H1188" s="380"/>
      <c r="I1188" s="399"/>
      <c r="J1188" s="377"/>
      <c r="K1188" s="382"/>
      <c r="L1188" s="380"/>
      <c r="M1188" s="380"/>
      <c r="N1188" s="380"/>
      <c r="O1188" s="380"/>
      <c r="P1188" s="380"/>
      <c r="Q1188" s="380"/>
    </row>
    <row r="1189" spans="1:17" x14ac:dyDescent="0.2">
      <c r="A1189" s="403" t="s">
        <v>1734</v>
      </c>
      <c r="B1189" s="380"/>
      <c r="C1189" s="334" t="s">
        <v>1746</v>
      </c>
      <c r="D1189" s="377">
        <v>400</v>
      </c>
      <c r="E1189" s="384"/>
      <c r="F1189" s="378"/>
      <c r="G1189" s="380"/>
      <c r="H1189" s="380"/>
      <c r="I1189" s="399"/>
      <c r="J1189" s="377">
        <v>200</v>
      </c>
      <c r="K1189" s="382"/>
      <c r="L1189" s="380"/>
      <c r="M1189" s="380"/>
      <c r="N1189" s="380"/>
      <c r="O1189" s="380"/>
      <c r="P1189" s="380"/>
      <c r="Q1189" s="380"/>
    </row>
    <row r="1190" spans="1:17" x14ac:dyDescent="0.2">
      <c r="A1190" s="334" t="s">
        <v>1738</v>
      </c>
      <c r="B1190" s="380"/>
      <c r="C1190" s="334" t="s">
        <v>1591</v>
      </c>
      <c r="D1190" s="377">
        <v>300</v>
      </c>
      <c r="E1190" s="384"/>
      <c r="F1190" s="378"/>
      <c r="G1190" s="380"/>
      <c r="H1190" s="380"/>
      <c r="I1190" s="399"/>
      <c r="J1190" s="377">
        <v>300</v>
      </c>
      <c r="K1190" s="382"/>
      <c r="L1190" s="380"/>
      <c r="M1190" s="380"/>
      <c r="N1190" s="380"/>
      <c r="O1190" s="380"/>
      <c r="P1190" s="380"/>
      <c r="Q1190" s="380"/>
    </row>
    <row r="1191" spans="1:17" x14ac:dyDescent="0.2">
      <c r="A1191" s="334" t="s">
        <v>1727</v>
      </c>
      <c r="B1191" s="380"/>
      <c r="C1191" s="334" t="s">
        <v>307</v>
      </c>
      <c r="D1191" s="377">
        <v>400</v>
      </c>
      <c r="E1191" s="384"/>
      <c r="F1191" s="378"/>
      <c r="G1191" s="380"/>
      <c r="H1191" s="380"/>
      <c r="I1191" s="399"/>
      <c r="J1191" s="377">
        <v>300</v>
      </c>
      <c r="K1191" s="382"/>
      <c r="L1191" s="380"/>
      <c r="M1191" s="380"/>
      <c r="N1191" s="380"/>
      <c r="O1191" s="380"/>
      <c r="P1191" s="380"/>
      <c r="Q1191" s="380"/>
    </row>
    <row r="1192" spans="1:17" x14ac:dyDescent="0.2">
      <c r="A1192" s="334" t="s">
        <v>1728</v>
      </c>
      <c r="B1192" s="380"/>
      <c r="C1192" s="334" t="s">
        <v>310</v>
      </c>
      <c r="D1192" s="377">
        <v>400</v>
      </c>
      <c r="E1192" s="384"/>
      <c r="F1192" s="378"/>
      <c r="G1192" s="380"/>
      <c r="H1192" s="380"/>
      <c r="I1192" s="399"/>
      <c r="J1192" s="377">
        <v>300</v>
      </c>
      <c r="K1192" s="382"/>
      <c r="L1192" s="380"/>
      <c r="M1192" s="380"/>
      <c r="N1192" s="380"/>
      <c r="O1192" s="380"/>
      <c r="P1192" s="380"/>
      <c r="Q1192" s="380"/>
    </row>
    <row r="1193" spans="1:17" x14ac:dyDescent="0.2">
      <c r="A1193" s="334" t="s">
        <v>1729</v>
      </c>
      <c r="B1193" s="380"/>
      <c r="C1193" s="380" t="s">
        <v>1551</v>
      </c>
      <c r="D1193" s="377">
        <f>-840-1000</f>
        <v>-1840</v>
      </c>
      <c r="E1193" s="384"/>
      <c r="F1193" s="378"/>
      <c r="G1193" s="380"/>
      <c r="H1193" s="380"/>
      <c r="I1193" s="399"/>
      <c r="J1193" s="377">
        <v>500</v>
      </c>
      <c r="K1193" s="382"/>
      <c r="L1193" s="380"/>
      <c r="M1193" s="380"/>
      <c r="N1193" s="380"/>
      <c r="O1193" s="380"/>
      <c r="P1193" s="380"/>
      <c r="Q1193" s="380"/>
    </row>
    <row r="1194" spans="1:17" x14ac:dyDescent="0.2">
      <c r="A1194" s="334" t="s">
        <v>1735</v>
      </c>
      <c r="B1194" s="380"/>
      <c r="C1194" s="380" t="s">
        <v>194</v>
      </c>
      <c r="D1194" s="377"/>
      <c r="E1194" s="384"/>
      <c r="F1194" s="378"/>
      <c r="G1194" s="380"/>
      <c r="H1194" s="380"/>
      <c r="I1194" s="399"/>
      <c r="J1194" s="377"/>
      <c r="K1194" s="382"/>
      <c r="L1194" s="380"/>
      <c r="M1194" s="380"/>
      <c r="N1194" s="380"/>
      <c r="O1194" s="380"/>
      <c r="P1194" s="380"/>
      <c r="Q1194" s="380"/>
    </row>
    <row r="1195" spans="1:17" x14ac:dyDescent="0.2">
      <c r="A1195" s="334" t="s">
        <v>1742</v>
      </c>
      <c r="B1195" s="380"/>
      <c r="C1195" s="334" t="s">
        <v>1553</v>
      </c>
      <c r="D1195" s="377"/>
      <c r="E1195" s="384"/>
      <c r="F1195" s="378"/>
      <c r="G1195" s="380"/>
      <c r="H1195" s="380"/>
      <c r="I1195" s="399"/>
      <c r="J1195" s="377"/>
      <c r="K1195" s="382"/>
      <c r="L1195" s="380"/>
      <c r="M1195" s="380"/>
      <c r="N1195" s="380"/>
      <c r="O1195" s="380"/>
      <c r="P1195" s="380"/>
      <c r="Q1195" s="380"/>
    </row>
    <row r="1196" spans="1:17" x14ac:dyDescent="0.2">
      <c r="A1196" s="334" t="s">
        <v>1572</v>
      </c>
      <c r="B1196" s="380"/>
      <c r="C1196" s="334" t="s">
        <v>3134</v>
      </c>
      <c r="D1196" s="377">
        <v>200</v>
      </c>
      <c r="E1196" s="384"/>
      <c r="F1196" s="378"/>
      <c r="G1196" s="380"/>
      <c r="H1196" s="380"/>
      <c r="I1196" s="399"/>
      <c r="J1196" s="377">
        <v>200</v>
      </c>
      <c r="K1196" s="382"/>
      <c r="L1196" s="380"/>
      <c r="M1196" s="380"/>
      <c r="N1196" s="380"/>
      <c r="O1196" s="380"/>
      <c r="P1196" s="380"/>
      <c r="Q1196" s="380"/>
    </row>
    <row r="1197" spans="1:17" x14ac:dyDescent="0.2">
      <c r="A1197" s="334" t="s">
        <v>1730</v>
      </c>
      <c r="B1197" s="380"/>
      <c r="C1197" s="334" t="s">
        <v>1985</v>
      </c>
      <c r="D1197" s="377">
        <v>200</v>
      </c>
      <c r="E1197" s="384"/>
      <c r="F1197" s="378"/>
      <c r="G1197" s="380"/>
      <c r="H1197" s="380"/>
      <c r="I1197" s="399"/>
      <c r="J1197" s="377">
        <v>200</v>
      </c>
      <c r="K1197" s="382"/>
      <c r="L1197" s="380"/>
      <c r="M1197" s="380"/>
      <c r="N1197" s="380"/>
      <c r="O1197" s="380"/>
      <c r="P1197" s="380"/>
      <c r="Q1197" s="380"/>
    </row>
    <row r="1198" spans="1:17" x14ac:dyDescent="0.2">
      <c r="A1198" s="384" t="s">
        <v>1566</v>
      </c>
      <c r="B1198" s="380"/>
      <c r="C1198" s="334" t="s">
        <v>366</v>
      </c>
      <c r="D1198" s="377">
        <v>200</v>
      </c>
      <c r="E1198" s="384"/>
      <c r="F1198" s="378"/>
      <c r="G1198" s="380"/>
      <c r="H1198" s="380"/>
      <c r="I1198" s="399"/>
      <c r="J1198" s="377">
        <v>200</v>
      </c>
      <c r="K1198" s="382"/>
      <c r="L1198" s="380"/>
      <c r="M1198" s="380"/>
      <c r="N1198" s="380"/>
      <c r="O1198" s="380"/>
      <c r="P1198" s="380"/>
      <c r="Q1198" s="380"/>
    </row>
    <row r="1199" spans="1:17" x14ac:dyDescent="0.2">
      <c r="A1199" s="334" t="s">
        <v>1752</v>
      </c>
      <c r="B1199" s="380"/>
      <c r="C1199" s="334" t="s">
        <v>367</v>
      </c>
      <c r="D1199" s="377"/>
      <c r="E1199" s="384"/>
      <c r="F1199" s="378"/>
      <c r="G1199" s="380"/>
      <c r="H1199" s="380"/>
      <c r="I1199" s="399"/>
      <c r="J1199" s="377"/>
      <c r="K1199" s="382"/>
      <c r="L1199" s="380"/>
      <c r="M1199" s="380"/>
      <c r="N1199" s="380"/>
      <c r="O1199" s="380"/>
      <c r="P1199" s="380"/>
      <c r="Q1199" s="380"/>
    </row>
    <row r="1200" spans="1:17" x14ac:dyDescent="0.2">
      <c r="A1200" s="334" t="s">
        <v>1567</v>
      </c>
      <c r="B1200" s="380"/>
      <c r="C1200" s="334" t="s">
        <v>3142</v>
      </c>
      <c r="D1200" s="377"/>
      <c r="E1200" s="384"/>
      <c r="F1200" s="378"/>
      <c r="G1200" s="380"/>
      <c r="H1200" s="380"/>
      <c r="I1200" s="399"/>
      <c r="J1200" s="377"/>
      <c r="K1200" s="382"/>
      <c r="L1200" s="380"/>
      <c r="M1200" s="380"/>
      <c r="N1200" s="380"/>
      <c r="O1200" s="380"/>
      <c r="P1200" s="380"/>
      <c r="Q1200" s="380"/>
    </row>
    <row r="1201" spans="1:17" x14ac:dyDescent="0.2">
      <c r="A1201" s="380"/>
      <c r="B1201" s="380"/>
      <c r="C1201" s="380"/>
      <c r="D1201" s="394"/>
      <c r="E1201" s="380"/>
      <c r="F1201" s="378"/>
      <c r="G1201" s="380"/>
      <c r="H1201" s="380"/>
      <c r="I1201" s="383"/>
      <c r="J1201" s="394"/>
      <c r="K1201" s="382"/>
      <c r="L1201" s="380"/>
      <c r="M1201" s="380"/>
      <c r="N1201" s="380"/>
      <c r="O1201" s="380"/>
      <c r="P1201" s="380"/>
      <c r="Q1201" s="380"/>
    </row>
    <row r="1202" spans="1:17" x14ac:dyDescent="0.2">
      <c r="A1202" s="380"/>
      <c r="B1202" s="380"/>
      <c r="C1202" s="380"/>
      <c r="D1202" s="334">
        <f>SUM(D1182:D1200)</f>
        <v>2360</v>
      </c>
      <c r="E1202" s="380"/>
      <c r="F1202" s="378"/>
      <c r="G1202" s="380"/>
      <c r="H1202" s="380"/>
      <c r="I1202" s="383"/>
      <c r="J1202" s="334">
        <f>SUM(J1182:J1200)</f>
        <v>3000</v>
      </c>
      <c r="K1202" s="382"/>
      <c r="L1202" s="380"/>
      <c r="M1202" s="380"/>
      <c r="N1202" s="380"/>
      <c r="O1202" s="380"/>
      <c r="P1202" s="380"/>
      <c r="Q1202" s="380"/>
    </row>
    <row r="1203" spans="1:17" ht="15.75" thickTop="1" x14ac:dyDescent="0.2">
      <c r="A1203" s="380"/>
      <c r="B1203" s="380"/>
      <c r="C1203" s="380"/>
      <c r="D1203" s="395"/>
      <c r="E1203" s="380"/>
      <c r="F1203" s="378"/>
      <c r="G1203" s="380"/>
      <c r="H1203" s="380"/>
      <c r="I1203" s="383"/>
      <c r="J1203" s="395"/>
      <c r="K1203" s="382"/>
      <c r="L1203" s="380"/>
      <c r="M1203" s="380"/>
      <c r="N1203" s="380"/>
      <c r="O1203" s="380"/>
      <c r="P1203" s="380"/>
      <c r="Q1203" s="380"/>
    </row>
    <row r="1204" spans="1:17" ht="15.75" x14ac:dyDescent="0.25">
      <c r="A1204" s="377"/>
      <c r="B1204" s="377"/>
      <c r="C1204" s="377"/>
      <c r="D1204" s="377"/>
      <c r="E1204" s="377"/>
      <c r="F1204" s="378"/>
      <c r="G1204" s="377"/>
      <c r="H1204" s="377"/>
      <c r="I1204" s="397"/>
      <c r="J1204" s="377"/>
      <c r="K1204" s="382"/>
      <c r="L1204" s="380"/>
      <c r="M1204" s="380"/>
      <c r="N1204" s="380"/>
      <c r="O1204" s="380"/>
      <c r="P1204" s="380"/>
      <c r="Q1204" s="380"/>
    </row>
    <row r="1205" spans="1:17" x14ac:dyDescent="0.2">
      <c r="A1205" s="380"/>
      <c r="B1205" s="380"/>
      <c r="C1205" s="380"/>
      <c r="D1205" s="380"/>
      <c r="E1205" s="380"/>
      <c r="F1205" s="378"/>
      <c r="G1205" s="380"/>
      <c r="H1205" s="380"/>
      <c r="I1205" s="383"/>
      <c r="J1205" s="380"/>
      <c r="K1205" s="382"/>
      <c r="L1205" s="380"/>
      <c r="M1205" s="380"/>
      <c r="N1205" s="380"/>
      <c r="O1205" s="380"/>
      <c r="P1205" s="380"/>
      <c r="Q1205" s="380"/>
    </row>
    <row r="1206" spans="1:17" x14ac:dyDescent="0.2">
      <c r="A1206" s="334" t="s">
        <v>1759</v>
      </c>
      <c r="B1206" s="380"/>
      <c r="C1206" s="380"/>
      <c r="D1206" s="380"/>
      <c r="E1206" s="380"/>
      <c r="F1206" s="378"/>
      <c r="G1206" s="380"/>
      <c r="H1206" s="380"/>
      <c r="I1206" s="383"/>
      <c r="J1206" s="380"/>
      <c r="K1206" s="382"/>
      <c r="L1206" s="380"/>
      <c r="M1206" s="380"/>
      <c r="N1206" s="380"/>
      <c r="O1206" s="380"/>
      <c r="P1206" s="380"/>
      <c r="Q1206" s="380"/>
    </row>
    <row r="1207" spans="1:17" x14ac:dyDescent="0.2">
      <c r="A1207" s="380"/>
      <c r="B1207" s="380"/>
      <c r="C1207" s="384" t="s">
        <v>2102</v>
      </c>
      <c r="D1207" s="380"/>
      <c r="E1207" s="380"/>
      <c r="F1207" s="378"/>
      <c r="G1207" s="380"/>
      <c r="H1207" s="380"/>
      <c r="I1207" s="383"/>
      <c r="J1207" s="380"/>
      <c r="K1207" s="382"/>
      <c r="L1207" s="380"/>
      <c r="M1207" s="380"/>
      <c r="N1207" s="380"/>
      <c r="O1207" s="380"/>
      <c r="P1207" s="380"/>
      <c r="Q1207" s="380"/>
    </row>
    <row r="1208" spans="1:17" x14ac:dyDescent="0.2">
      <c r="A1208" s="380"/>
      <c r="B1208" s="380"/>
      <c r="C1208" s="380"/>
      <c r="D1208" s="380"/>
      <c r="E1208" s="380"/>
      <c r="F1208" s="378"/>
      <c r="G1208" s="380"/>
      <c r="H1208" s="380"/>
      <c r="I1208" s="383"/>
      <c r="J1208" s="380"/>
      <c r="K1208" s="382"/>
      <c r="L1208" s="380"/>
      <c r="M1208" s="380"/>
      <c r="N1208" s="380"/>
      <c r="O1208" s="380"/>
      <c r="P1208" s="380"/>
      <c r="Q1208" s="380"/>
    </row>
    <row r="1209" spans="1:17" x14ac:dyDescent="0.2">
      <c r="A1209" s="334" t="s">
        <v>1723</v>
      </c>
      <c r="B1209" s="380"/>
      <c r="C1209" s="334" t="s">
        <v>1880</v>
      </c>
      <c r="D1209" s="334" t="s">
        <v>181</v>
      </c>
      <c r="E1209" s="380"/>
      <c r="F1209" s="378"/>
      <c r="G1209" s="380"/>
      <c r="H1209" s="380"/>
      <c r="I1209" s="383"/>
      <c r="J1209" s="334" t="s">
        <v>181</v>
      </c>
      <c r="K1209" s="382"/>
      <c r="L1209" s="380"/>
      <c r="M1209" s="380"/>
      <c r="N1209" s="380"/>
      <c r="O1209" s="380"/>
      <c r="P1209" s="380"/>
      <c r="Q1209" s="380"/>
    </row>
    <row r="1210" spans="1:17" x14ac:dyDescent="0.2">
      <c r="A1210" s="380"/>
      <c r="B1210" s="380"/>
      <c r="C1210" s="380"/>
      <c r="D1210" s="380"/>
      <c r="E1210" s="380"/>
      <c r="F1210" s="378"/>
      <c r="G1210" s="380"/>
      <c r="H1210" s="380"/>
      <c r="I1210" s="383"/>
      <c r="J1210" s="380"/>
      <c r="K1210" s="382"/>
      <c r="L1210" s="380"/>
      <c r="M1210" s="380"/>
      <c r="N1210" s="380"/>
      <c r="O1210" s="380"/>
      <c r="P1210" s="380"/>
      <c r="Q1210" s="380"/>
    </row>
    <row r="1211" spans="1:17" x14ac:dyDescent="0.2">
      <c r="A1211" s="334" t="s">
        <v>1758</v>
      </c>
      <c r="B1211" s="380"/>
      <c r="C1211" s="334" t="s">
        <v>1987</v>
      </c>
      <c r="D1211" s="377"/>
      <c r="E1211" s="384"/>
      <c r="F1211" s="378"/>
      <c r="G1211" s="380"/>
      <c r="H1211" s="380"/>
      <c r="I1211" s="399"/>
      <c r="J1211" s="377"/>
      <c r="K1211" s="382"/>
      <c r="L1211" s="380"/>
      <c r="M1211" s="380"/>
      <c r="N1211" s="380"/>
      <c r="O1211" s="380"/>
      <c r="P1211" s="380"/>
      <c r="Q1211" s="380"/>
    </row>
    <row r="1212" spans="1:17" x14ac:dyDescent="0.2">
      <c r="A1212" s="334" t="s">
        <v>1743</v>
      </c>
      <c r="B1212" s="380"/>
      <c r="C1212" s="334" t="s">
        <v>1886</v>
      </c>
      <c r="D1212" s="377">
        <v>3000</v>
      </c>
      <c r="E1212" s="384"/>
      <c r="F1212" s="378"/>
      <c r="G1212" s="380"/>
      <c r="H1212" s="380"/>
      <c r="I1212" s="399"/>
      <c r="J1212" s="377">
        <v>3000</v>
      </c>
      <c r="K1212" s="382"/>
      <c r="L1212" s="380"/>
      <c r="M1212" s="380"/>
      <c r="N1212" s="380"/>
      <c r="O1212" s="380"/>
      <c r="P1212" s="380"/>
      <c r="Q1212" s="380"/>
    </row>
    <row r="1213" spans="1:17" x14ac:dyDescent="0.2">
      <c r="A1213" s="334" t="s">
        <v>1724</v>
      </c>
      <c r="B1213" s="380"/>
      <c r="C1213" s="334" t="s">
        <v>1881</v>
      </c>
      <c r="D1213" s="377">
        <v>1000</v>
      </c>
      <c r="E1213" s="384"/>
      <c r="F1213" s="378"/>
      <c r="G1213" s="380"/>
      <c r="H1213" s="380"/>
      <c r="I1213" s="399"/>
      <c r="J1213" s="377">
        <v>1000</v>
      </c>
      <c r="K1213" s="382"/>
      <c r="L1213" s="380"/>
      <c r="M1213" s="380"/>
      <c r="N1213" s="380"/>
      <c r="O1213" s="380"/>
      <c r="P1213" s="380"/>
      <c r="Q1213" s="380"/>
    </row>
    <row r="1214" spans="1:17" x14ac:dyDescent="0.2">
      <c r="A1214" s="334" t="s">
        <v>1736</v>
      </c>
      <c r="B1214" s="380"/>
      <c r="C1214" s="334" t="s">
        <v>1747</v>
      </c>
      <c r="D1214" s="377">
        <v>500</v>
      </c>
      <c r="E1214" s="384"/>
      <c r="F1214" s="378"/>
      <c r="G1214" s="380"/>
      <c r="H1214" s="380"/>
      <c r="I1214" s="399"/>
      <c r="J1214" s="377">
        <v>500</v>
      </c>
      <c r="K1214" s="382"/>
      <c r="L1214" s="380"/>
      <c r="M1214" s="380"/>
      <c r="N1214" s="380"/>
      <c r="O1214" s="380"/>
      <c r="P1214" s="380"/>
      <c r="Q1214" s="380"/>
    </row>
    <row r="1215" spans="1:17" x14ac:dyDescent="0.2">
      <c r="A1215" s="334" t="s">
        <v>1744</v>
      </c>
      <c r="B1215" s="380"/>
      <c r="C1215" s="334" t="s">
        <v>1254</v>
      </c>
      <c r="D1215" s="377">
        <v>500</v>
      </c>
      <c r="E1215" s="384"/>
      <c r="F1215" s="378"/>
      <c r="G1215" s="380"/>
      <c r="H1215" s="380"/>
      <c r="I1215" s="399"/>
      <c r="J1215" s="377">
        <v>500</v>
      </c>
      <c r="K1215" s="382"/>
      <c r="L1215" s="380"/>
      <c r="M1215" s="380"/>
      <c r="N1215" s="380"/>
      <c r="O1215" s="380"/>
      <c r="P1215" s="380"/>
      <c r="Q1215" s="380"/>
    </row>
    <row r="1216" spans="1:17" x14ac:dyDescent="0.2">
      <c r="A1216" s="334" t="s">
        <v>1745</v>
      </c>
      <c r="B1216" s="380"/>
      <c r="C1216" s="334" t="s">
        <v>1887</v>
      </c>
      <c r="D1216" s="377">
        <v>100</v>
      </c>
      <c r="E1216" s="384"/>
      <c r="F1216" s="378"/>
      <c r="G1216" s="380"/>
      <c r="H1216" s="380"/>
      <c r="I1216" s="399"/>
      <c r="J1216" s="377">
        <v>100</v>
      </c>
      <c r="K1216" s="382"/>
      <c r="L1216" s="380"/>
      <c r="M1216" s="380"/>
      <c r="N1216" s="380"/>
      <c r="O1216" s="380"/>
      <c r="P1216" s="380"/>
      <c r="Q1216" s="380"/>
    </row>
    <row r="1217" spans="1:17" x14ac:dyDescent="0.2">
      <c r="A1217" s="334" t="s">
        <v>1737</v>
      </c>
      <c r="B1217" s="380"/>
      <c r="C1217" s="334" t="s">
        <v>1984</v>
      </c>
      <c r="D1217" s="377">
        <v>250</v>
      </c>
      <c r="E1217" s="384"/>
      <c r="F1217" s="378"/>
      <c r="G1217" s="380"/>
      <c r="H1217" s="380"/>
      <c r="I1217" s="399"/>
      <c r="J1217" s="377">
        <v>250</v>
      </c>
      <c r="K1217" s="382"/>
      <c r="L1217" s="380"/>
      <c r="M1217" s="380"/>
      <c r="N1217" s="380"/>
      <c r="O1217" s="380"/>
      <c r="P1217" s="380"/>
      <c r="Q1217" s="380"/>
    </row>
    <row r="1218" spans="1:17" x14ac:dyDescent="0.2">
      <c r="A1218" s="334" t="s">
        <v>1726</v>
      </c>
      <c r="B1218" s="380"/>
      <c r="C1218" s="334" t="s">
        <v>1117</v>
      </c>
      <c r="D1218" s="377">
        <v>500</v>
      </c>
      <c r="E1218" s="384"/>
      <c r="F1218" s="378"/>
      <c r="G1218" s="380"/>
      <c r="H1218" s="380"/>
      <c r="I1218" s="399"/>
      <c r="J1218" s="377">
        <v>500</v>
      </c>
      <c r="K1218" s="382"/>
      <c r="L1218" s="380"/>
      <c r="M1218" s="380"/>
      <c r="N1218" s="380"/>
      <c r="O1218" s="380"/>
      <c r="P1218" s="380"/>
      <c r="Q1218" s="380"/>
    </row>
    <row r="1219" spans="1:17" x14ac:dyDescent="0.2">
      <c r="A1219" s="334" t="s">
        <v>1756</v>
      </c>
      <c r="B1219" s="380"/>
      <c r="C1219" s="334" t="s">
        <v>3137</v>
      </c>
      <c r="D1219" s="377">
        <v>15000</v>
      </c>
      <c r="E1219" s="384"/>
      <c r="F1219" s="378"/>
      <c r="G1219" s="380"/>
      <c r="H1219" s="380"/>
      <c r="I1219" s="399"/>
      <c r="J1219" s="377">
        <v>10000</v>
      </c>
      <c r="K1219" s="382"/>
      <c r="L1219" s="380"/>
      <c r="M1219" s="380"/>
      <c r="N1219" s="380"/>
      <c r="O1219" s="380"/>
      <c r="P1219" s="380"/>
      <c r="Q1219" s="380"/>
    </row>
    <row r="1220" spans="1:17" x14ac:dyDescent="0.2">
      <c r="A1220" s="334" t="s">
        <v>1751</v>
      </c>
      <c r="B1220" s="380"/>
      <c r="C1220" s="334" t="s">
        <v>3138</v>
      </c>
      <c r="D1220" s="377">
        <v>30000</v>
      </c>
      <c r="E1220" s="384"/>
      <c r="F1220" s="378"/>
      <c r="G1220" s="380"/>
      <c r="H1220" s="380"/>
      <c r="I1220" s="399"/>
      <c r="J1220" s="377">
        <v>20000</v>
      </c>
      <c r="K1220" s="382"/>
      <c r="L1220" s="380"/>
      <c r="M1220" s="380"/>
      <c r="N1220" s="380"/>
      <c r="O1220" s="380"/>
      <c r="P1220" s="380"/>
      <c r="Q1220" s="380"/>
    </row>
    <row r="1221" spans="1:17" x14ac:dyDescent="0.2">
      <c r="A1221" s="334" t="s">
        <v>1760</v>
      </c>
      <c r="B1221" s="380"/>
      <c r="C1221" s="334" t="s">
        <v>40</v>
      </c>
      <c r="D1221" s="377"/>
      <c r="E1221" s="384"/>
      <c r="F1221" s="378"/>
      <c r="G1221" s="380"/>
      <c r="H1221" s="380"/>
      <c r="I1221" s="399"/>
      <c r="J1221" s="377"/>
      <c r="K1221" s="382"/>
      <c r="L1221" s="380"/>
      <c r="M1221" s="380"/>
      <c r="N1221" s="380"/>
      <c r="O1221" s="380"/>
      <c r="P1221" s="380"/>
      <c r="Q1221" s="380"/>
    </row>
    <row r="1222" spans="1:17" x14ac:dyDescent="0.2">
      <c r="A1222" s="334" t="s">
        <v>1738</v>
      </c>
      <c r="B1222" s="380"/>
      <c r="C1222" s="334" t="s">
        <v>1591</v>
      </c>
      <c r="D1222" s="377">
        <v>300</v>
      </c>
      <c r="E1222" s="384"/>
      <c r="F1222" s="378"/>
      <c r="G1222" s="380"/>
      <c r="H1222" s="380"/>
      <c r="I1222" s="399"/>
      <c r="J1222" s="377">
        <v>300</v>
      </c>
      <c r="K1222" s="382"/>
      <c r="L1222" s="380"/>
      <c r="M1222" s="380"/>
      <c r="N1222" s="380"/>
      <c r="O1222" s="380"/>
      <c r="P1222" s="380"/>
      <c r="Q1222" s="380"/>
    </row>
    <row r="1223" spans="1:17" x14ac:dyDescent="0.2">
      <c r="A1223" s="334" t="s">
        <v>1727</v>
      </c>
      <c r="B1223" s="380"/>
      <c r="C1223" s="334" t="s">
        <v>307</v>
      </c>
      <c r="D1223" s="377">
        <v>300</v>
      </c>
      <c r="E1223" s="384"/>
      <c r="F1223" s="378"/>
      <c r="G1223" s="380"/>
      <c r="H1223" s="380"/>
      <c r="I1223" s="399"/>
      <c r="J1223" s="377">
        <v>300</v>
      </c>
      <c r="K1223" s="382"/>
      <c r="L1223" s="380"/>
      <c r="M1223" s="380"/>
      <c r="N1223" s="380"/>
      <c r="O1223" s="380"/>
      <c r="P1223" s="380"/>
      <c r="Q1223" s="380"/>
    </row>
    <row r="1224" spans="1:17" x14ac:dyDescent="0.2">
      <c r="A1224" s="334" t="s">
        <v>1728</v>
      </c>
      <c r="B1224" s="380"/>
      <c r="C1224" s="334" t="s">
        <v>310</v>
      </c>
      <c r="D1224" s="377">
        <v>800</v>
      </c>
      <c r="E1224" s="384"/>
      <c r="F1224" s="378"/>
      <c r="G1224" s="380"/>
      <c r="H1224" s="380"/>
      <c r="I1224" s="399"/>
      <c r="J1224" s="377">
        <v>800</v>
      </c>
      <c r="K1224" s="382"/>
      <c r="L1224" s="380"/>
      <c r="M1224" s="380"/>
      <c r="N1224" s="380"/>
      <c r="O1224" s="380"/>
      <c r="P1224" s="380"/>
      <c r="Q1224" s="380"/>
    </row>
    <row r="1225" spans="1:17" x14ac:dyDescent="0.2">
      <c r="A1225" s="334" t="s">
        <v>1729</v>
      </c>
      <c r="B1225" s="380"/>
      <c r="C1225" s="380" t="s">
        <v>1551</v>
      </c>
      <c r="D1225" s="377">
        <v>-40000</v>
      </c>
      <c r="E1225" s="384"/>
      <c r="F1225" s="378"/>
      <c r="G1225" s="380"/>
      <c r="H1225" s="380"/>
      <c r="I1225" s="399"/>
      <c r="J1225" s="377">
        <v>100</v>
      </c>
      <c r="K1225" s="382"/>
      <c r="L1225" s="380"/>
      <c r="M1225" s="380"/>
      <c r="N1225" s="380"/>
      <c r="O1225" s="380"/>
      <c r="P1225" s="380"/>
      <c r="Q1225" s="380"/>
    </row>
    <row r="1226" spans="1:17" x14ac:dyDescent="0.2">
      <c r="A1226" s="334" t="s">
        <v>1735</v>
      </c>
      <c r="B1226" s="380"/>
      <c r="C1226" s="380" t="s">
        <v>194</v>
      </c>
      <c r="D1226" s="377"/>
      <c r="E1226" s="384"/>
      <c r="F1226" s="378"/>
      <c r="G1226" s="380"/>
      <c r="H1226" s="380"/>
      <c r="I1226" s="399"/>
      <c r="J1226" s="377">
        <v>100</v>
      </c>
      <c r="K1226" s="382"/>
      <c r="L1226" s="380"/>
      <c r="M1226" s="380"/>
      <c r="N1226" s="380"/>
      <c r="O1226" s="380"/>
      <c r="P1226" s="380"/>
      <c r="Q1226" s="380"/>
    </row>
    <row r="1227" spans="1:17" x14ac:dyDescent="0.2">
      <c r="A1227" s="384" t="s">
        <v>1580</v>
      </c>
      <c r="B1227" s="380"/>
      <c r="C1227" s="334" t="s">
        <v>1936</v>
      </c>
      <c r="D1227" s="377"/>
      <c r="E1227" s="384"/>
      <c r="F1227" s="378"/>
      <c r="G1227" s="380"/>
      <c r="H1227" s="380"/>
      <c r="I1227" s="399"/>
      <c r="J1227" s="377"/>
      <c r="K1227" s="382"/>
      <c r="L1227" s="380"/>
      <c r="M1227" s="380"/>
      <c r="N1227" s="380"/>
      <c r="O1227" s="380"/>
      <c r="P1227" s="380"/>
      <c r="Q1227" s="380"/>
    </row>
    <row r="1228" spans="1:17" x14ac:dyDescent="0.2">
      <c r="A1228" s="334" t="s">
        <v>1730</v>
      </c>
      <c r="B1228" s="380"/>
      <c r="C1228" s="334" t="s">
        <v>1985</v>
      </c>
      <c r="D1228" s="377">
        <v>2000</v>
      </c>
      <c r="E1228" s="384"/>
      <c r="F1228" s="378"/>
      <c r="G1228" s="380"/>
      <c r="H1228" s="380"/>
      <c r="I1228" s="399"/>
      <c r="J1228" s="377">
        <v>2000</v>
      </c>
      <c r="K1228" s="382"/>
      <c r="L1228" s="380"/>
      <c r="M1228" s="380"/>
      <c r="N1228" s="380"/>
      <c r="O1228" s="380"/>
      <c r="P1228" s="380"/>
      <c r="Q1228" s="380"/>
    </row>
    <row r="1229" spans="1:17" x14ac:dyDescent="0.2">
      <c r="A1229" s="384" t="s">
        <v>1566</v>
      </c>
      <c r="B1229" s="380"/>
      <c r="C1229" s="334" t="s">
        <v>366</v>
      </c>
      <c r="D1229" s="377">
        <v>450</v>
      </c>
      <c r="E1229" s="384"/>
      <c r="F1229" s="378"/>
      <c r="G1229" s="380"/>
      <c r="H1229" s="380"/>
      <c r="I1229" s="399"/>
      <c r="J1229" s="377">
        <v>450</v>
      </c>
      <c r="K1229" s="382"/>
      <c r="L1229" s="380"/>
      <c r="M1229" s="380"/>
      <c r="N1229" s="380"/>
      <c r="O1229" s="380"/>
      <c r="P1229" s="380"/>
      <c r="Q1229" s="380"/>
    </row>
    <row r="1230" spans="1:17" x14ac:dyDescent="0.2">
      <c r="A1230" s="334" t="s">
        <v>1755</v>
      </c>
      <c r="B1230" s="380"/>
      <c r="C1230" s="380" t="s">
        <v>1986</v>
      </c>
      <c r="D1230" s="377"/>
      <c r="E1230" s="384"/>
      <c r="F1230" s="378"/>
      <c r="G1230" s="380"/>
      <c r="H1230" s="380"/>
      <c r="I1230" s="399"/>
      <c r="J1230" s="377"/>
      <c r="K1230" s="382"/>
      <c r="L1230" s="380"/>
      <c r="M1230" s="380"/>
      <c r="N1230" s="380"/>
      <c r="O1230" s="380"/>
      <c r="P1230" s="380"/>
      <c r="Q1230" s="380"/>
    </row>
    <row r="1231" spans="1:17" x14ac:dyDescent="0.2">
      <c r="A1231" s="384" t="s">
        <v>1962</v>
      </c>
      <c r="B1231" s="380"/>
      <c r="C1231" s="380" t="s">
        <v>572</v>
      </c>
      <c r="D1231" s="377"/>
      <c r="E1231" s="384"/>
      <c r="F1231" s="378"/>
      <c r="G1231" s="380"/>
      <c r="H1231" s="380"/>
      <c r="I1231" s="399"/>
      <c r="J1231" s="377"/>
      <c r="K1231" s="382"/>
      <c r="L1231" s="380"/>
      <c r="M1231" s="380"/>
      <c r="N1231" s="380"/>
      <c r="O1231" s="380"/>
      <c r="P1231" s="380"/>
      <c r="Q1231" s="380"/>
    </row>
    <row r="1232" spans="1:17" x14ac:dyDescent="0.2">
      <c r="A1232" s="384">
        <v>9000</v>
      </c>
      <c r="B1232" s="380"/>
      <c r="C1232" s="334" t="s">
        <v>3142</v>
      </c>
      <c r="D1232" s="377">
        <v>2500</v>
      </c>
      <c r="E1232" s="384"/>
      <c r="F1232" s="378"/>
      <c r="G1232" s="380"/>
      <c r="H1232" s="380"/>
      <c r="I1232" s="399"/>
      <c r="J1232" s="377">
        <v>2500</v>
      </c>
      <c r="K1232" s="382"/>
      <c r="L1232" s="380"/>
      <c r="M1232" s="380"/>
      <c r="N1232" s="380"/>
      <c r="O1232" s="380"/>
      <c r="P1232" s="380"/>
      <c r="Q1232" s="380"/>
    </row>
    <row r="1233" spans="1:17" x14ac:dyDescent="0.2">
      <c r="A1233" s="380"/>
      <c r="B1233" s="380"/>
      <c r="C1233" s="380"/>
      <c r="D1233" s="394"/>
      <c r="E1233" s="380"/>
      <c r="F1233" s="378"/>
      <c r="G1233" s="380"/>
      <c r="H1233" s="380"/>
      <c r="I1233" s="383"/>
      <c r="J1233" s="394"/>
      <c r="K1233" s="382"/>
      <c r="L1233" s="380"/>
      <c r="M1233" s="380"/>
      <c r="N1233" s="380"/>
      <c r="O1233" s="380"/>
      <c r="P1233" s="380"/>
      <c r="Q1233" s="380"/>
    </row>
    <row r="1234" spans="1:17" x14ac:dyDescent="0.2">
      <c r="A1234" s="380"/>
      <c r="B1234" s="380"/>
      <c r="C1234" s="380"/>
      <c r="D1234" s="334">
        <f>SUM(D1211:D1232)</f>
        <v>17200</v>
      </c>
      <c r="E1234" s="380"/>
      <c r="F1234" s="378"/>
      <c r="G1234" s="380"/>
      <c r="H1234" s="380"/>
      <c r="I1234" s="383"/>
      <c r="J1234" s="334">
        <f>SUM(J1211:J1232)</f>
        <v>42400</v>
      </c>
      <c r="K1234" s="382"/>
      <c r="L1234" s="380"/>
      <c r="M1234" s="380"/>
      <c r="N1234" s="380"/>
      <c r="O1234" s="380"/>
      <c r="P1234" s="380"/>
      <c r="Q1234" s="380"/>
    </row>
    <row r="1235" spans="1:17" ht="15.75" thickTop="1" x14ac:dyDescent="0.2">
      <c r="A1235" s="380"/>
      <c r="B1235" s="380"/>
      <c r="C1235" s="380"/>
      <c r="D1235" s="395">
        <f>D1234-D1211</f>
        <v>17200</v>
      </c>
      <c r="E1235" s="380"/>
      <c r="F1235" s="378"/>
      <c r="G1235" s="380"/>
      <c r="H1235" s="380"/>
      <c r="I1235" s="383"/>
      <c r="J1235" s="395">
        <f>J1234</f>
        <v>42400</v>
      </c>
      <c r="K1235" s="382"/>
      <c r="L1235" s="380"/>
      <c r="M1235" s="380"/>
      <c r="N1235" s="380"/>
      <c r="O1235" s="380"/>
      <c r="P1235" s="380"/>
      <c r="Q1235" s="380"/>
    </row>
    <row r="1236" spans="1:17" ht="15.75" x14ac:dyDescent="0.25">
      <c r="A1236" s="377"/>
      <c r="B1236" s="377"/>
      <c r="C1236" s="377"/>
      <c r="D1236" s="377"/>
      <c r="E1236" s="377"/>
      <c r="F1236" s="378"/>
      <c r="G1236" s="377"/>
      <c r="H1236" s="377"/>
      <c r="I1236" s="397"/>
      <c r="J1236" s="377"/>
      <c r="K1236" s="382"/>
      <c r="L1236" s="380"/>
      <c r="M1236" s="380"/>
      <c r="N1236" s="380"/>
      <c r="O1236" s="380"/>
      <c r="P1236" s="380"/>
      <c r="Q1236" s="380"/>
    </row>
    <row r="1237" spans="1:17" x14ac:dyDescent="0.2">
      <c r="A1237" s="380"/>
      <c r="B1237" s="380"/>
      <c r="C1237" s="380"/>
      <c r="D1237" s="380"/>
      <c r="E1237" s="380"/>
      <c r="F1237" s="378"/>
      <c r="G1237" s="380"/>
      <c r="H1237" s="380"/>
      <c r="I1237" s="383"/>
      <c r="J1237" s="380"/>
      <c r="K1237" s="382"/>
      <c r="L1237" s="380"/>
      <c r="M1237" s="380"/>
      <c r="N1237" s="380"/>
      <c r="O1237" s="380"/>
      <c r="P1237" s="380"/>
      <c r="Q1237" s="380"/>
    </row>
    <row r="1238" spans="1:17" x14ac:dyDescent="0.2">
      <c r="A1238" s="334" t="s">
        <v>3179</v>
      </c>
      <c r="B1238" s="380"/>
      <c r="C1238" s="380"/>
      <c r="D1238" s="380"/>
      <c r="E1238" s="380"/>
      <c r="F1238" s="378"/>
      <c r="G1238" s="380"/>
      <c r="H1238" s="380"/>
      <c r="I1238" s="383"/>
      <c r="J1238" s="380"/>
      <c r="K1238" s="382"/>
      <c r="L1238" s="380"/>
      <c r="M1238" s="380"/>
      <c r="N1238" s="380"/>
      <c r="O1238" s="380"/>
      <c r="P1238" s="380"/>
      <c r="Q1238" s="380"/>
    </row>
    <row r="1239" spans="1:17" x14ac:dyDescent="0.2">
      <c r="A1239" s="380"/>
      <c r="B1239" s="380"/>
      <c r="C1239" s="384" t="s">
        <v>2103</v>
      </c>
      <c r="D1239" s="380"/>
      <c r="E1239" s="380"/>
      <c r="F1239" s="378"/>
      <c r="G1239" s="380"/>
      <c r="H1239" s="380"/>
      <c r="I1239" s="383"/>
      <c r="J1239" s="380"/>
      <c r="K1239" s="382"/>
      <c r="L1239" s="380"/>
      <c r="M1239" s="380"/>
      <c r="N1239" s="380"/>
      <c r="O1239" s="380"/>
      <c r="P1239" s="380"/>
      <c r="Q1239" s="380"/>
    </row>
    <row r="1240" spans="1:17" x14ac:dyDescent="0.2">
      <c r="A1240" s="380"/>
      <c r="B1240" s="380"/>
      <c r="C1240" s="380"/>
      <c r="D1240" s="380"/>
      <c r="E1240" s="380"/>
      <c r="F1240" s="378"/>
      <c r="G1240" s="380"/>
      <c r="H1240" s="380"/>
      <c r="I1240" s="383"/>
      <c r="J1240" s="380"/>
      <c r="K1240" s="382"/>
      <c r="L1240" s="380"/>
      <c r="M1240" s="380"/>
      <c r="N1240" s="380"/>
      <c r="O1240" s="380"/>
      <c r="P1240" s="380"/>
      <c r="Q1240" s="380"/>
    </row>
    <row r="1241" spans="1:17" x14ac:dyDescent="0.2">
      <c r="A1241" s="334" t="s">
        <v>1723</v>
      </c>
      <c r="B1241" s="380"/>
      <c r="C1241" s="334" t="s">
        <v>1880</v>
      </c>
      <c r="D1241" s="334" t="s">
        <v>181</v>
      </c>
      <c r="E1241" s="380"/>
      <c r="F1241" s="378"/>
      <c r="G1241" s="380"/>
      <c r="H1241" s="380"/>
      <c r="I1241" s="383"/>
      <c r="J1241" s="334" t="s">
        <v>181</v>
      </c>
      <c r="K1241" s="382"/>
      <c r="L1241" s="380"/>
      <c r="M1241" s="380"/>
      <c r="N1241" s="380"/>
      <c r="O1241" s="380"/>
      <c r="P1241" s="380"/>
      <c r="Q1241" s="380"/>
    </row>
    <row r="1242" spans="1:17" x14ac:dyDescent="0.2">
      <c r="A1242" s="380"/>
      <c r="B1242" s="380"/>
      <c r="C1242" s="380"/>
      <c r="D1242" s="380"/>
      <c r="E1242" s="380"/>
      <c r="F1242" s="378"/>
      <c r="G1242" s="380"/>
      <c r="H1242" s="380"/>
      <c r="I1242" s="383"/>
      <c r="J1242" s="380"/>
      <c r="K1242" s="382"/>
      <c r="L1242" s="380"/>
      <c r="M1242" s="380"/>
      <c r="N1242" s="380"/>
      <c r="O1242" s="380"/>
      <c r="P1242" s="380"/>
      <c r="Q1242" s="380"/>
    </row>
    <row r="1243" spans="1:17" x14ac:dyDescent="0.2">
      <c r="A1243" s="334" t="s">
        <v>1733</v>
      </c>
      <c r="B1243" s="380"/>
      <c r="C1243" s="334" t="s">
        <v>27</v>
      </c>
      <c r="D1243" s="377"/>
      <c r="E1243" s="384"/>
      <c r="F1243" s="378"/>
      <c r="G1243" s="380"/>
      <c r="H1243" s="380"/>
      <c r="I1243" s="399"/>
      <c r="J1243" s="377"/>
      <c r="K1243" s="382"/>
      <c r="L1243" s="380"/>
      <c r="M1243" s="380"/>
      <c r="N1243" s="380"/>
      <c r="O1243" s="380"/>
      <c r="P1243" s="380"/>
      <c r="Q1243" s="380"/>
    </row>
    <row r="1244" spans="1:17" x14ac:dyDescent="0.2">
      <c r="A1244" s="334" t="s">
        <v>1743</v>
      </c>
      <c r="B1244" s="380"/>
      <c r="C1244" s="334" t="s">
        <v>1886</v>
      </c>
      <c r="D1244" s="379">
        <v>500</v>
      </c>
      <c r="E1244" s="384"/>
      <c r="F1244" s="378"/>
      <c r="G1244" s="380"/>
      <c r="H1244" s="380"/>
      <c r="I1244" s="399"/>
      <c r="J1244" s="377">
        <v>500</v>
      </c>
      <c r="K1244" s="382"/>
      <c r="L1244" s="380"/>
      <c r="M1244" s="380"/>
      <c r="N1244" s="380"/>
      <c r="O1244" s="380"/>
      <c r="P1244" s="380"/>
      <c r="Q1244" s="380"/>
    </row>
    <row r="1245" spans="1:17" x14ac:dyDescent="0.2">
      <c r="A1245" s="334" t="s">
        <v>1724</v>
      </c>
      <c r="B1245" s="380"/>
      <c r="C1245" s="334" t="s">
        <v>1881</v>
      </c>
      <c r="D1245" s="379">
        <f>1800+500</f>
        <v>2300</v>
      </c>
      <c r="E1245" s="384"/>
      <c r="F1245" s="378"/>
      <c r="G1245" s="380"/>
      <c r="H1245" s="380"/>
      <c r="I1245" s="399"/>
      <c r="J1245" s="377">
        <v>1800</v>
      </c>
      <c r="K1245" s="382"/>
      <c r="L1245" s="380"/>
      <c r="M1245" s="380"/>
      <c r="N1245" s="380"/>
      <c r="O1245" s="380"/>
      <c r="P1245" s="380"/>
      <c r="Q1245" s="380"/>
    </row>
    <row r="1246" spans="1:17" x14ac:dyDescent="0.2">
      <c r="A1246" s="334" t="s">
        <v>1736</v>
      </c>
      <c r="B1246" s="380"/>
      <c r="C1246" s="334" t="s">
        <v>1747</v>
      </c>
      <c r="D1246" s="379">
        <v>500</v>
      </c>
      <c r="E1246" s="384"/>
      <c r="F1246" s="378"/>
      <c r="G1246" s="380"/>
      <c r="H1246" s="380"/>
      <c r="I1246" s="399"/>
      <c r="J1246" s="377">
        <v>500</v>
      </c>
      <c r="K1246" s="382"/>
      <c r="L1246" s="380"/>
      <c r="M1246" s="380"/>
      <c r="N1246" s="380"/>
      <c r="O1246" s="380"/>
      <c r="P1246" s="380"/>
      <c r="Q1246" s="380"/>
    </row>
    <row r="1247" spans="1:17" x14ac:dyDescent="0.2">
      <c r="A1247" s="384" t="s">
        <v>1744</v>
      </c>
      <c r="B1247" s="380"/>
      <c r="C1247" s="334" t="s">
        <v>1254</v>
      </c>
      <c r="D1247" s="379"/>
      <c r="E1247" s="384"/>
      <c r="F1247" s="378"/>
      <c r="G1247" s="380"/>
      <c r="H1247" s="380"/>
      <c r="I1247" s="399"/>
      <c r="J1247" s="377"/>
      <c r="K1247" s="382"/>
      <c r="L1247" s="380"/>
      <c r="M1247" s="380"/>
      <c r="N1247" s="380"/>
      <c r="O1247" s="380"/>
      <c r="P1247" s="380"/>
      <c r="Q1247" s="380"/>
    </row>
    <row r="1248" spans="1:17" x14ac:dyDescent="0.2">
      <c r="A1248" s="334" t="s">
        <v>1725</v>
      </c>
      <c r="B1248" s="380"/>
      <c r="C1248" s="334" t="s">
        <v>1890</v>
      </c>
      <c r="D1248" s="379">
        <v>200</v>
      </c>
      <c r="E1248" s="384"/>
      <c r="F1248" s="378"/>
      <c r="G1248" s="380"/>
      <c r="H1248" s="380"/>
      <c r="I1248" s="399"/>
      <c r="J1248" s="377">
        <v>200</v>
      </c>
      <c r="K1248" s="382"/>
      <c r="L1248" s="380"/>
      <c r="M1248" s="380"/>
      <c r="N1248" s="380"/>
      <c r="O1248" s="380"/>
      <c r="P1248" s="380"/>
      <c r="Q1248" s="380"/>
    </row>
    <row r="1249" spans="1:17" x14ac:dyDescent="0.2">
      <c r="A1249" s="334" t="s">
        <v>1745</v>
      </c>
      <c r="B1249" s="380"/>
      <c r="C1249" s="334" t="s">
        <v>1887</v>
      </c>
      <c r="D1249" s="379">
        <v>250</v>
      </c>
      <c r="E1249" s="384"/>
      <c r="F1249" s="378"/>
      <c r="G1249" s="380"/>
      <c r="H1249" s="380"/>
      <c r="I1249" s="399"/>
      <c r="J1249" s="377">
        <v>250</v>
      </c>
      <c r="K1249" s="382"/>
      <c r="L1249" s="380"/>
      <c r="M1249" s="380"/>
      <c r="N1249" s="380"/>
      <c r="O1249" s="380"/>
      <c r="P1249" s="380"/>
      <c r="Q1249" s="380"/>
    </row>
    <row r="1250" spans="1:17" x14ac:dyDescent="0.2">
      <c r="A1250" s="334" t="s">
        <v>1565</v>
      </c>
      <c r="B1250" s="380"/>
      <c r="C1250" s="334" t="s">
        <v>1927</v>
      </c>
      <c r="D1250" s="379">
        <v>250</v>
      </c>
      <c r="E1250" s="384"/>
      <c r="F1250" s="378"/>
      <c r="G1250" s="380"/>
      <c r="H1250" s="380"/>
      <c r="I1250" s="399"/>
      <c r="J1250" s="377">
        <v>250</v>
      </c>
      <c r="K1250" s="382"/>
      <c r="L1250" s="380"/>
      <c r="M1250" s="380"/>
      <c r="N1250" s="380"/>
      <c r="O1250" s="380"/>
      <c r="P1250" s="380"/>
      <c r="Q1250" s="380"/>
    </row>
    <row r="1251" spans="1:17" x14ac:dyDescent="0.2">
      <c r="A1251" s="334" t="s">
        <v>1737</v>
      </c>
      <c r="B1251" s="380"/>
      <c r="C1251" s="334" t="s">
        <v>1984</v>
      </c>
      <c r="D1251" s="379"/>
      <c r="E1251" s="384"/>
      <c r="F1251" s="378"/>
      <c r="G1251" s="380"/>
      <c r="H1251" s="380"/>
      <c r="I1251" s="399"/>
      <c r="J1251" s="377"/>
      <c r="K1251" s="382"/>
      <c r="L1251" s="380"/>
      <c r="M1251" s="380"/>
      <c r="N1251" s="380"/>
      <c r="O1251" s="380"/>
      <c r="P1251" s="380"/>
      <c r="Q1251" s="380"/>
    </row>
    <row r="1252" spans="1:17" x14ac:dyDescent="0.2">
      <c r="A1252" s="334" t="s">
        <v>1726</v>
      </c>
      <c r="B1252" s="380"/>
      <c r="C1252" s="334" t="s">
        <v>1117</v>
      </c>
      <c r="D1252" s="379"/>
      <c r="E1252" s="384"/>
      <c r="F1252" s="378"/>
      <c r="G1252" s="380"/>
      <c r="H1252" s="380"/>
      <c r="I1252" s="399"/>
      <c r="J1252" s="377"/>
      <c r="K1252" s="382"/>
      <c r="L1252" s="380"/>
      <c r="M1252" s="380"/>
      <c r="N1252" s="380"/>
      <c r="O1252" s="380"/>
      <c r="P1252" s="380"/>
      <c r="Q1252" s="380"/>
    </row>
    <row r="1253" spans="1:17" x14ac:dyDescent="0.2">
      <c r="A1253" s="334" t="s">
        <v>1734</v>
      </c>
      <c r="B1253" s="380"/>
      <c r="C1253" s="334" t="s">
        <v>1746</v>
      </c>
      <c r="D1253" s="379"/>
      <c r="E1253" s="384"/>
      <c r="F1253" s="378"/>
      <c r="G1253" s="380"/>
      <c r="H1253" s="380"/>
      <c r="I1253" s="399"/>
      <c r="J1253" s="377"/>
      <c r="K1253" s="382"/>
      <c r="L1253" s="380"/>
      <c r="M1253" s="380"/>
      <c r="N1253" s="380"/>
      <c r="O1253" s="380"/>
      <c r="P1253" s="380"/>
      <c r="Q1253" s="380"/>
    </row>
    <row r="1254" spans="1:17" x14ac:dyDescent="0.2">
      <c r="A1254" s="334" t="s">
        <v>1738</v>
      </c>
      <c r="B1254" s="380"/>
      <c r="C1254" s="334" t="s">
        <v>1591</v>
      </c>
      <c r="D1254" s="379"/>
      <c r="E1254" s="384"/>
      <c r="F1254" s="378"/>
      <c r="G1254" s="380"/>
      <c r="H1254" s="380"/>
      <c r="I1254" s="399"/>
      <c r="J1254" s="377"/>
      <c r="K1254" s="382"/>
      <c r="L1254" s="380"/>
      <c r="M1254" s="380"/>
      <c r="N1254" s="380"/>
      <c r="O1254" s="380"/>
      <c r="P1254" s="380"/>
      <c r="Q1254" s="380"/>
    </row>
    <row r="1255" spans="1:17" x14ac:dyDescent="0.2">
      <c r="A1255" s="334" t="s">
        <v>1727</v>
      </c>
      <c r="B1255" s="380"/>
      <c r="C1255" s="334" t="s">
        <v>307</v>
      </c>
      <c r="D1255" s="379">
        <v>300</v>
      </c>
      <c r="E1255" s="384"/>
      <c r="F1255" s="378"/>
      <c r="G1255" s="380"/>
      <c r="H1255" s="380"/>
      <c r="I1255" s="399"/>
      <c r="J1255" s="377">
        <v>300</v>
      </c>
      <c r="K1255" s="382"/>
      <c r="L1255" s="380"/>
      <c r="M1255" s="380"/>
      <c r="N1255" s="380"/>
      <c r="O1255" s="380"/>
      <c r="P1255" s="380"/>
      <c r="Q1255" s="380"/>
    </row>
    <row r="1256" spans="1:17" x14ac:dyDescent="0.2">
      <c r="A1256" s="334" t="s">
        <v>1728</v>
      </c>
      <c r="B1256" s="380"/>
      <c r="C1256" s="334" t="s">
        <v>310</v>
      </c>
      <c r="D1256" s="379">
        <v>300</v>
      </c>
      <c r="E1256" s="384"/>
      <c r="F1256" s="378"/>
      <c r="G1256" s="380"/>
      <c r="H1256" s="380"/>
      <c r="I1256" s="399"/>
      <c r="J1256" s="377">
        <v>300</v>
      </c>
      <c r="K1256" s="382"/>
      <c r="L1256" s="380"/>
      <c r="M1256" s="380"/>
      <c r="N1256" s="380"/>
      <c r="O1256" s="380"/>
      <c r="P1256" s="380"/>
      <c r="Q1256" s="380"/>
    </row>
    <row r="1257" spans="1:17" x14ac:dyDescent="0.2">
      <c r="A1257" s="334" t="s">
        <v>1729</v>
      </c>
      <c r="B1257" s="380"/>
      <c r="C1257" s="380" t="s">
        <v>1551</v>
      </c>
      <c r="D1257" s="379">
        <v>-3000</v>
      </c>
      <c r="E1257" s="384"/>
      <c r="F1257" s="378"/>
      <c r="G1257" s="380"/>
      <c r="H1257" s="380"/>
      <c r="I1257" s="399"/>
      <c r="J1257" s="377">
        <v>500</v>
      </c>
      <c r="K1257" s="382"/>
      <c r="L1257" s="380"/>
      <c r="M1257" s="380"/>
      <c r="N1257" s="380"/>
      <c r="O1257" s="380"/>
      <c r="P1257" s="380"/>
      <c r="Q1257" s="380"/>
    </row>
    <row r="1258" spans="1:17" x14ac:dyDescent="0.2">
      <c r="A1258" s="334" t="s">
        <v>1735</v>
      </c>
      <c r="B1258" s="380"/>
      <c r="C1258" s="380" t="s">
        <v>194</v>
      </c>
      <c r="D1258" s="379">
        <v>500</v>
      </c>
      <c r="E1258" s="384"/>
      <c r="F1258" s="378"/>
      <c r="G1258" s="380"/>
      <c r="H1258" s="380"/>
      <c r="I1258" s="399"/>
      <c r="J1258" s="377">
        <v>500</v>
      </c>
      <c r="K1258" s="382"/>
      <c r="L1258" s="380"/>
      <c r="M1258" s="380"/>
      <c r="N1258" s="380"/>
      <c r="O1258" s="380"/>
      <c r="P1258" s="380"/>
      <c r="Q1258" s="380"/>
    </row>
    <row r="1259" spans="1:17" x14ac:dyDescent="0.2">
      <c r="A1259" s="334" t="s">
        <v>1741</v>
      </c>
      <c r="B1259" s="380"/>
      <c r="C1259" s="334" t="s">
        <v>1748</v>
      </c>
      <c r="D1259" s="379">
        <v>500</v>
      </c>
      <c r="E1259" s="384"/>
      <c r="F1259" s="378"/>
      <c r="G1259" s="380"/>
      <c r="H1259" s="380"/>
      <c r="I1259" s="399"/>
      <c r="J1259" s="377">
        <v>500</v>
      </c>
      <c r="K1259" s="382"/>
      <c r="L1259" s="380"/>
      <c r="M1259" s="380"/>
      <c r="N1259" s="380"/>
      <c r="O1259" s="380"/>
      <c r="P1259" s="380"/>
      <c r="Q1259" s="380"/>
    </row>
    <row r="1260" spans="1:17" x14ac:dyDescent="0.2">
      <c r="A1260" s="334" t="s">
        <v>1572</v>
      </c>
      <c r="B1260" s="380"/>
      <c r="C1260" s="334" t="s">
        <v>3134</v>
      </c>
      <c r="D1260" s="379">
        <v>100</v>
      </c>
      <c r="E1260" s="384"/>
      <c r="F1260" s="378"/>
      <c r="G1260" s="380"/>
      <c r="H1260" s="380"/>
      <c r="I1260" s="399"/>
      <c r="J1260" s="377">
        <v>100</v>
      </c>
      <c r="K1260" s="382"/>
      <c r="L1260" s="380"/>
      <c r="M1260" s="380"/>
      <c r="N1260" s="380"/>
      <c r="O1260" s="380"/>
      <c r="P1260" s="380"/>
      <c r="Q1260" s="380"/>
    </row>
    <row r="1261" spans="1:17" x14ac:dyDescent="0.2">
      <c r="A1261" s="334" t="s">
        <v>1730</v>
      </c>
      <c r="B1261" s="380"/>
      <c r="C1261" s="334" t="s">
        <v>1985</v>
      </c>
      <c r="D1261" s="379">
        <v>2000</v>
      </c>
      <c r="E1261" s="384"/>
      <c r="F1261" s="378"/>
      <c r="G1261" s="380"/>
      <c r="H1261" s="380"/>
      <c r="I1261" s="399"/>
      <c r="J1261" s="377">
        <v>2000</v>
      </c>
      <c r="K1261" s="382"/>
      <c r="L1261" s="380"/>
      <c r="M1261" s="380"/>
      <c r="N1261" s="380"/>
      <c r="O1261" s="380"/>
      <c r="P1261" s="380"/>
      <c r="Q1261" s="380"/>
    </row>
    <row r="1262" spans="1:17" x14ac:dyDescent="0.2">
      <c r="A1262" s="334" t="s">
        <v>1566</v>
      </c>
      <c r="B1262" s="380"/>
      <c r="C1262" s="334" t="s">
        <v>366</v>
      </c>
      <c r="D1262" s="379"/>
      <c r="E1262" s="384"/>
      <c r="F1262" s="378"/>
      <c r="G1262" s="380"/>
      <c r="H1262" s="380"/>
      <c r="I1262" s="399"/>
      <c r="J1262" s="377"/>
      <c r="K1262" s="382"/>
      <c r="L1262" s="380"/>
      <c r="M1262" s="380"/>
      <c r="N1262" s="380"/>
      <c r="O1262" s="380"/>
      <c r="P1262" s="380"/>
      <c r="Q1262" s="380"/>
    </row>
    <row r="1263" spans="1:17" x14ac:dyDescent="0.2">
      <c r="A1263" s="334">
        <v>9000</v>
      </c>
      <c r="B1263" s="380"/>
      <c r="C1263" s="334" t="s">
        <v>3142</v>
      </c>
      <c r="D1263" s="379">
        <v>500</v>
      </c>
      <c r="E1263" s="384"/>
      <c r="F1263" s="378"/>
      <c r="G1263" s="380"/>
      <c r="H1263" s="380"/>
      <c r="I1263" s="399"/>
      <c r="J1263" s="377">
        <v>500</v>
      </c>
      <c r="K1263" s="382"/>
      <c r="L1263" s="380"/>
      <c r="M1263" s="380"/>
      <c r="N1263" s="380"/>
      <c r="O1263" s="380"/>
      <c r="P1263" s="380"/>
      <c r="Q1263" s="380"/>
    </row>
    <row r="1264" spans="1:17" x14ac:dyDescent="0.2">
      <c r="A1264" s="380"/>
      <c r="B1264" s="380"/>
      <c r="C1264" s="380"/>
      <c r="D1264" s="394"/>
      <c r="E1264" s="380"/>
      <c r="F1264" s="378"/>
      <c r="G1264" s="380"/>
      <c r="H1264" s="380"/>
      <c r="I1264" s="383"/>
      <c r="J1264" s="394"/>
      <c r="K1264" s="382"/>
      <c r="L1264" s="380"/>
      <c r="M1264" s="380"/>
      <c r="N1264" s="380"/>
      <c r="O1264" s="380"/>
      <c r="P1264" s="380"/>
      <c r="Q1264" s="380"/>
    </row>
    <row r="1265" spans="1:17" x14ac:dyDescent="0.2">
      <c r="A1265" s="380"/>
      <c r="B1265" s="380"/>
      <c r="C1265" s="380"/>
      <c r="D1265" s="334">
        <f>SUM(D1240:D1263)</f>
        <v>5200</v>
      </c>
      <c r="E1265" s="380"/>
      <c r="F1265" s="378"/>
      <c r="G1265" s="380"/>
      <c r="H1265" s="380"/>
      <c r="I1265" s="383"/>
      <c r="J1265" s="334">
        <f>SUM(J1240:J1263)</f>
        <v>8200</v>
      </c>
      <c r="K1265" s="382"/>
      <c r="L1265" s="380"/>
      <c r="M1265" s="380"/>
      <c r="N1265" s="380"/>
      <c r="O1265" s="380"/>
      <c r="P1265" s="380"/>
      <c r="Q1265" s="380"/>
    </row>
    <row r="1266" spans="1:17" ht="15.75" thickTop="1" x14ac:dyDescent="0.2">
      <c r="A1266" s="380"/>
      <c r="B1266" s="380"/>
      <c r="C1266" s="380"/>
      <c r="D1266" s="395">
        <f>D1265-D1243</f>
        <v>5200</v>
      </c>
      <c r="E1266" s="380"/>
      <c r="F1266" s="378"/>
      <c r="G1266" s="380"/>
      <c r="H1266" s="380"/>
      <c r="I1266" s="383"/>
      <c r="J1266" s="395">
        <f>J1265-J1243</f>
        <v>8200</v>
      </c>
      <c r="K1266" s="382"/>
      <c r="L1266" s="380"/>
      <c r="M1266" s="380"/>
      <c r="N1266" s="380"/>
      <c r="O1266" s="380"/>
      <c r="P1266" s="380"/>
      <c r="Q1266" s="380"/>
    </row>
    <row r="1267" spans="1:17" ht="15.75" x14ac:dyDescent="0.25">
      <c r="A1267" s="377"/>
      <c r="B1267" s="377"/>
      <c r="C1267" s="377"/>
      <c r="D1267" s="377"/>
      <c r="E1267" s="377"/>
      <c r="F1267" s="378"/>
      <c r="G1267" s="377"/>
      <c r="H1267" s="377"/>
      <c r="I1267" s="397"/>
      <c r="J1267" s="377"/>
      <c r="K1267" s="382"/>
      <c r="L1267" s="380"/>
      <c r="M1267" s="380"/>
      <c r="N1267" s="380"/>
      <c r="O1267" s="380"/>
      <c r="P1267" s="380"/>
      <c r="Q1267" s="380"/>
    </row>
    <row r="1268" spans="1:17" x14ac:dyDescent="0.2">
      <c r="A1268" s="380"/>
      <c r="B1268" s="380"/>
      <c r="C1268" s="380"/>
      <c r="D1268" s="380"/>
      <c r="E1268" s="380"/>
      <c r="F1268" s="378"/>
      <c r="G1268" s="380"/>
      <c r="H1268" s="380"/>
      <c r="I1268" s="383"/>
      <c r="J1268" s="380"/>
      <c r="K1268" s="382"/>
      <c r="L1268" s="380"/>
      <c r="M1268" s="380"/>
      <c r="N1268" s="380"/>
      <c r="O1268" s="380"/>
      <c r="P1268" s="380"/>
      <c r="Q1268" s="380"/>
    </row>
    <row r="1269" spans="1:17" x14ac:dyDescent="0.2">
      <c r="A1269" s="334" t="s">
        <v>1702</v>
      </c>
      <c r="B1269" s="380"/>
      <c r="C1269" s="380"/>
      <c r="D1269" s="380"/>
      <c r="E1269" s="380"/>
      <c r="F1269" s="378"/>
      <c r="G1269" s="380"/>
      <c r="H1269" s="380"/>
      <c r="I1269" s="383"/>
      <c r="J1269" s="380"/>
      <c r="K1269" s="382"/>
      <c r="L1269" s="380"/>
      <c r="M1269" s="380"/>
      <c r="N1269" s="380"/>
      <c r="O1269" s="380"/>
      <c r="P1269" s="380"/>
      <c r="Q1269" s="380"/>
    </row>
    <row r="1270" spans="1:17" x14ac:dyDescent="0.2">
      <c r="A1270" s="380"/>
      <c r="B1270" s="380"/>
      <c r="C1270" s="384" t="s">
        <v>2104</v>
      </c>
      <c r="D1270" s="380"/>
      <c r="E1270" s="380"/>
      <c r="F1270" s="378"/>
      <c r="G1270" s="380"/>
      <c r="H1270" s="380"/>
      <c r="I1270" s="383"/>
      <c r="J1270" s="380"/>
      <c r="K1270" s="382"/>
      <c r="L1270" s="380"/>
      <c r="M1270" s="380"/>
      <c r="N1270" s="380"/>
      <c r="O1270" s="380"/>
      <c r="P1270" s="380"/>
      <c r="Q1270" s="380"/>
    </row>
    <row r="1271" spans="1:17" x14ac:dyDescent="0.2">
      <c r="A1271" s="380"/>
      <c r="B1271" s="380"/>
      <c r="C1271" s="380"/>
      <c r="D1271" s="380"/>
      <c r="E1271" s="380"/>
      <c r="F1271" s="378"/>
      <c r="G1271" s="380"/>
      <c r="H1271" s="380"/>
      <c r="I1271" s="383"/>
      <c r="J1271" s="380"/>
      <c r="K1271" s="382"/>
      <c r="L1271" s="380"/>
      <c r="M1271" s="380"/>
      <c r="N1271" s="380"/>
      <c r="O1271" s="380"/>
      <c r="P1271" s="380"/>
      <c r="Q1271" s="380"/>
    </row>
    <row r="1272" spans="1:17" x14ac:dyDescent="0.2">
      <c r="A1272" s="334" t="s">
        <v>1723</v>
      </c>
      <c r="B1272" s="380"/>
      <c r="C1272" s="334" t="s">
        <v>1880</v>
      </c>
      <c r="D1272" s="334" t="s">
        <v>181</v>
      </c>
      <c r="E1272" s="380"/>
      <c r="F1272" s="378"/>
      <c r="G1272" s="380"/>
      <c r="H1272" s="380"/>
      <c r="I1272" s="383"/>
      <c r="J1272" s="334" t="s">
        <v>181</v>
      </c>
      <c r="K1272" s="382"/>
      <c r="L1272" s="380"/>
      <c r="M1272" s="380"/>
      <c r="N1272" s="380"/>
      <c r="O1272" s="380"/>
      <c r="P1272" s="380"/>
      <c r="Q1272" s="380"/>
    </row>
    <row r="1273" spans="1:17" x14ac:dyDescent="0.2">
      <c r="A1273" s="380"/>
      <c r="B1273" s="380"/>
      <c r="C1273" s="380"/>
      <c r="D1273" s="380"/>
      <c r="E1273" s="380"/>
      <c r="F1273" s="378"/>
      <c r="G1273" s="380"/>
      <c r="H1273" s="380"/>
      <c r="I1273" s="383"/>
      <c r="J1273" s="380"/>
      <c r="K1273" s="382"/>
      <c r="L1273" s="380"/>
      <c r="M1273" s="380"/>
      <c r="N1273" s="380"/>
      <c r="O1273" s="380"/>
      <c r="P1273" s="380"/>
      <c r="Q1273" s="380"/>
    </row>
    <row r="1274" spans="1:17" x14ac:dyDescent="0.2">
      <c r="A1274" s="334" t="s">
        <v>1733</v>
      </c>
      <c r="B1274" s="380"/>
      <c r="C1274" s="334" t="s">
        <v>27</v>
      </c>
      <c r="D1274" s="377"/>
      <c r="E1274" s="384"/>
      <c r="F1274" s="378"/>
      <c r="G1274" s="380"/>
      <c r="H1274" s="380"/>
      <c r="I1274" s="399"/>
      <c r="J1274" s="377"/>
      <c r="K1274" s="382"/>
      <c r="L1274" s="380"/>
      <c r="M1274" s="380"/>
      <c r="N1274" s="380"/>
      <c r="O1274" s="380"/>
      <c r="P1274" s="380"/>
      <c r="Q1274" s="380"/>
    </row>
    <row r="1275" spans="1:17" x14ac:dyDescent="0.2">
      <c r="A1275" s="334" t="s">
        <v>1569</v>
      </c>
      <c r="B1275" s="380"/>
      <c r="C1275" s="334" t="s">
        <v>1888</v>
      </c>
      <c r="D1275" s="377">
        <v>15000</v>
      </c>
      <c r="E1275" s="384"/>
      <c r="F1275" s="378"/>
      <c r="G1275" s="380"/>
      <c r="H1275" s="380"/>
      <c r="I1275" s="399"/>
      <c r="J1275" s="377"/>
      <c r="K1275" s="382"/>
      <c r="L1275" s="380"/>
      <c r="M1275" s="380"/>
      <c r="N1275" s="380"/>
      <c r="O1275" s="380"/>
      <c r="P1275" s="380"/>
      <c r="Q1275" s="380"/>
    </row>
    <row r="1276" spans="1:17" x14ac:dyDescent="0.2">
      <c r="A1276" s="334" t="s">
        <v>1724</v>
      </c>
      <c r="B1276" s="380"/>
      <c r="C1276" s="334" t="s">
        <v>1881</v>
      </c>
      <c r="D1276" s="377">
        <v>15000</v>
      </c>
      <c r="E1276" s="384"/>
      <c r="F1276" s="378"/>
      <c r="G1276" s="380"/>
      <c r="H1276" s="380"/>
      <c r="I1276" s="399"/>
      <c r="J1276" s="377">
        <v>20000</v>
      </c>
      <c r="K1276" s="382"/>
      <c r="L1276" s="380"/>
      <c r="M1276" s="380"/>
      <c r="N1276" s="380"/>
      <c r="O1276" s="380"/>
      <c r="P1276" s="380"/>
      <c r="Q1276" s="380"/>
    </row>
    <row r="1277" spans="1:17" x14ac:dyDescent="0.2">
      <c r="A1277" s="334" t="s">
        <v>1736</v>
      </c>
      <c r="B1277" s="380"/>
      <c r="C1277" s="334" t="s">
        <v>1747</v>
      </c>
      <c r="D1277" s="377"/>
      <c r="E1277" s="384"/>
      <c r="F1277" s="378"/>
      <c r="G1277" s="380"/>
      <c r="H1277" s="380"/>
      <c r="I1277" s="399"/>
      <c r="J1277" s="377">
        <v>1000</v>
      </c>
      <c r="K1277" s="382"/>
      <c r="L1277" s="380"/>
      <c r="M1277" s="380"/>
      <c r="N1277" s="380"/>
      <c r="O1277" s="380"/>
      <c r="P1277" s="380"/>
      <c r="Q1277" s="380"/>
    </row>
    <row r="1278" spans="1:17" x14ac:dyDescent="0.2">
      <c r="A1278" s="334" t="s">
        <v>1744</v>
      </c>
      <c r="B1278" s="380"/>
      <c r="C1278" s="334" t="s">
        <v>1254</v>
      </c>
      <c r="D1278" s="377"/>
      <c r="E1278" s="384"/>
      <c r="F1278" s="378"/>
      <c r="G1278" s="380"/>
      <c r="H1278" s="380"/>
      <c r="I1278" s="399"/>
      <c r="J1278" s="377"/>
      <c r="K1278" s="382"/>
      <c r="L1278" s="380"/>
      <c r="M1278" s="380"/>
      <c r="N1278" s="380"/>
      <c r="O1278" s="380"/>
      <c r="P1278" s="380"/>
      <c r="Q1278" s="380"/>
    </row>
    <row r="1279" spans="1:17" x14ac:dyDescent="0.2">
      <c r="A1279" s="334" t="s">
        <v>1725</v>
      </c>
      <c r="B1279" s="380"/>
      <c r="C1279" s="334" t="s">
        <v>1890</v>
      </c>
      <c r="D1279" s="377">
        <v>300</v>
      </c>
      <c r="E1279" s="384"/>
      <c r="F1279" s="378"/>
      <c r="G1279" s="380"/>
      <c r="H1279" s="380"/>
      <c r="I1279" s="399"/>
      <c r="J1279" s="377">
        <v>300</v>
      </c>
      <c r="K1279" s="382"/>
      <c r="L1279" s="380"/>
      <c r="M1279" s="380"/>
      <c r="N1279" s="380"/>
      <c r="O1279" s="380"/>
      <c r="P1279" s="380"/>
      <c r="Q1279" s="380"/>
    </row>
    <row r="1280" spans="1:17" x14ac:dyDescent="0.2">
      <c r="A1280" s="334" t="s">
        <v>1745</v>
      </c>
      <c r="B1280" s="380"/>
      <c r="C1280" s="334" t="s">
        <v>1887</v>
      </c>
      <c r="D1280" s="377">
        <v>450</v>
      </c>
      <c r="E1280" s="384"/>
      <c r="F1280" s="378"/>
      <c r="G1280" s="380"/>
      <c r="H1280" s="380"/>
      <c r="I1280" s="399"/>
      <c r="J1280" s="377">
        <v>450</v>
      </c>
      <c r="K1280" s="382"/>
      <c r="L1280" s="380"/>
      <c r="M1280" s="380"/>
      <c r="N1280" s="380"/>
      <c r="O1280" s="380"/>
      <c r="P1280" s="380"/>
      <c r="Q1280" s="380"/>
    </row>
    <row r="1281" spans="1:17" x14ac:dyDescent="0.2">
      <c r="A1281" s="334" t="s">
        <v>1565</v>
      </c>
      <c r="B1281" s="380"/>
      <c r="C1281" s="334" t="s">
        <v>1927</v>
      </c>
      <c r="D1281" s="377">
        <v>300</v>
      </c>
      <c r="E1281" s="384"/>
      <c r="F1281" s="378"/>
      <c r="G1281" s="380"/>
      <c r="H1281" s="380"/>
      <c r="I1281" s="399"/>
      <c r="J1281" s="377">
        <v>100</v>
      </c>
      <c r="K1281" s="382"/>
      <c r="L1281" s="380"/>
      <c r="M1281" s="380"/>
      <c r="N1281" s="380"/>
      <c r="O1281" s="380"/>
      <c r="P1281" s="380"/>
      <c r="Q1281" s="380"/>
    </row>
    <row r="1282" spans="1:17" x14ac:dyDescent="0.2">
      <c r="A1282" s="403" t="s">
        <v>1957</v>
      </c>
      <c r="B1282" s="380"/>
      <c r="C1282" s="334" t="s">
        <v>49</v>
      </c>
      <c r="D1282" s="377">
        <v>5000</v>
      </c>
      <c r="E1282" s="384"/>
      <c r="F1282" s="378"/>
      <c r="G1282" s="380"/>
      <c r="H1282" s="380"/>
      <c r="I1282" s="399"/>
      <c r="J1282" s="377"/>
      <c r="K1282" s="382"/>
      <c r="L1282" s="380"/>
      <c r="M1282" s="380"/>
      <c r="N1282" s="380"/>
      <c r="O1282" s="380"/>
      <c r="P1282" s="380"/>
      <c r="Q1282" s="380"/>
    </row>
    <row r="1283" spans="1:17" x14ac:dyDescent="0.2">
      <c r="A1283" s="334" t="s">
        <v>1734</v>
      </c>
      <c r="B1283" s="380"/>
      <c r="C1283" s="334" t="s">
        <v>1746</v>
      </c>
      <c r="D1283" s="377"/>
      <c r="E1283" s="384"/>
      <c r="F1283" s="378"/>
      <c r="G1283" s="380"/>
      <c r="H1283" s="380"/>
      <c r="I1283" s="399"/>
      <c r="J1283" s="377">
        <v>100</v>
      </c>
      <c r="K1283" s="382"/>
      <c r="L1283" s="380"/>
      <c r="M1283" s="380"/>
      <c r="N1283" s="380"/>
      <c r="O1283" s="380"/>
      <c r="P1283" s="380"/>
      <c r="Q1283" s="380"/>
    </row>
    <row r="1284" spans="1:17" x14ac:dyDescent="0.2">
      <c r="A1284" s="384" t="s">
        <v>1578</v>
      </c>
      <c r="B1284" s="380"/>
      <c r="C1284" s="334" t="s">
        <v>22</v>
      </c>
      <c r="D1284" s="377"/>
      <c r="E1284" s="384"/>
      <c r="F1284" s="378"/>
      <c r="G1284" s="380"/>
      <c r="H1284" s="380"/>
      <c r="I1284" s="399"/>
      <c r="J1284" s="377">
        <v>5000</v>
      </c>
      <c r="K1284" s="382"/>
      <c r="L1284" s="380"/>
      <c r="M1284" s="380"/>
      <c r="N1284" s="380"/>
      <c r="O1284" s="380"/>
      <c r="P1284" s="380"/>
      <c r="Q1284" s="380"/>
    </row>
    <row r="1285" spans="1:17" x14ac:dyDescent="0.2">
      <c r="A1285" s="334" t="s">
        <v>1583</v>
      </c>
      <c r="B1285" s="380"/>
      <c r="C1285" s="334" t="s">
        <v>41</v>
      </c>
      <c r="D1285" s="377"/>
      <c r="E1285" s="384"/>
      <c r="F1285" s="378"/>
      <c r="G1285" s="380"/>
      <c r="H1285" s="380"/>
      <c r="I1285" s="399"/>
      <c r="J1285" s="377"/>
      <c r="K1285" s="382"/>
      <c r="L1285" s="380"/>
      <c r="M1285" s="380"/>
      <c r="N1285" s="380"/>
      <c r="O1285" s="380"/>
      <c r="P1285" s="380"/>
      <c r="Q1285" s="380"/>
    </row>
    <row r="1286" spans="1:17" x14ac:dyDescent="0.2">
      <c r="A1286" s="334" t="s">
        <v>1738</v>
      </c>
      <c r="B1286" s="380"/>
      <c r="C1286" s="334" t="s">
        <v>1591</v>
      </c>
      <c r="D1286" s="377">
        <v>750</v>
      </c>
      <c r="E1286" s="384"/>
      <c r="F1286" s="378"/>
      <c r="G1286" s="380"/>
      <c r="H1286" s="380"/>
      <c r="I1286" s="399"/>
      <c r="J1286" s="377">
        <v>750</v>
      </c>
      <c r="K1286" s="382"/>
      <c r="L1286" s="380"/>
      <c r="M1286" s="380"/>
      <c r="N1286" s="380"/>
      <c r="O1286" s="380"/>
      <c r="P1286" s="380"/>
      <c r="Q1286" s="380"/>
    </row>
    <row r="1287" spans="1:17" x14ac:dyDescent="0.2">
      <c r="A1287" s="334" t="s">
        <v>1727</v>
      </c>
      <c r="B1287" s="380"/>
      <c r="C1287" s="334" t="s">
        <v>307</v>
      </c>
      <c r="D1287" s="377">
        <v>800</v>
      </c>
      <c r="E1287" s="384"/>
      <c r="F1287" s="378"/>
      <c r="G1287" s="380"/>
      <c r="H1287" s="380"/>
      <c r="I1287" s="399"/>
      <c r="J1287" s="377">
        <v>800</v>
      </c>
      <c r="K1287" s="382"/>
      <c r="L1287" s="380"/>
      <c r="M1287" s="380"/>
      <c r="N1287" s="380"/>
      <c r="O1287" s="380"/>
      <c r="P1287" s="380"/>
      <c r="Q1287" s="380"/>
    </row>
    <row r="1288" spans="1:17" x14ac:dyDescent="0.2">
      <c r="A1288" s="334" t="s">
        <v>1728</v>
      </c>
      <c r="B1288" s="380"/>
      <c r="C1288" s="334" t="s">
        <v>310</v>
      </c>
      <c r="D1288" s="377">
        <v>750</v>
      </c>
      <c r="E1288" s="384"/>
      <c r="F1288" s="378"/>
      <c r="G1288" s="380"/>
      <c r="H1288" s="380"/>
      <c r="I1288" s="399"/>
      <c r="J1288" s="377">
        <v>750</v>
      </c>
      <c r="K1288" s="382"/>
      <c r="L1288" s="380"/>
      <c r="M1288" s="380"/>
      <c r="N1288" s="380"/>
      <c r="O1288" s="380"/>
      <c r="P1288" s="380"/>
      <c r="Q1288" s="380"/>
    </row>
    <row r="1289" spans="1:17" x14ac:dyDescent="0.2">
      <c r="A1289" s="334" t="s">
        <v>1729</v>
      </c>
      <c r="B1289" s="380"/>
      <c r="C1289" s="380" t="s">
        <v>1551</v>
      </c>
      <c r="D1289" s="377">
        <v>-5202</v>
      </c>
      <c r="E1289" s="384"/>
      <c r="F1289" s="378"/>
      <c r="G1289" s="380"/>
      <c r="H1289" s="380"/>
      <c r="I1289" s="399"/>
      <c r="J1289" s="377">
        <v>1500</v>
      </c>
      <c r="K1289" s="382"/>
      <c r="L1289" s="380"/>
      <c r="M1289" s="380"/>
      <c r="N1289" s="380"/>
      <c r="O1289" s="380"/>
      <c r="P1289" s="380"/>
      <c r="Q1289" s="380"/>
    </row>
    <row r="1290" spans="1:17" x14ac:dyDescent="0.2">
      <c r="A1290" s="334" t="s">
        <v>1735</v>
      </c>
      <c r="B1290" s="380"/>
      <c r="C1290" s="380" t="s">
        <v>194</v>
      </c>
      <c r="D1290" s="377"/>
      <c r="E1290" s="384"/>
      <c r="F1290" s="378"/>
      <c r="G1290" s="380"/>
      <c r="H1290" s="380"/>
      <c r="I1290" s="399"/>
      <c r="J1290" s="377">
        <v>500</v>
      </c>
      <c r="K1290" s="382"/>
      <c r="L1290" s="380"/>
      <c r="M1290" s="380"/>
      <c r="N1290" s="380"/>
      <c r="O1290" s="380"/>
      <c r="P1290" s="380"/>
      <c r="Q1290" s="380"/>
    </row>
    <row r="1291" spans="1:17" x14ac:dyDescent="0.2">
      <c r="A1291" s="334" t="s">
        <v>1742</v>
      </c>
      <c r="B1291" s="380"/>
      <c r="C1291" s="334" t="s">
        <v>1553</v>
      </c>
      <c r="D1291" s="377">
        <v>1500</v>
      </c>
      <c r="E1291" s="384"/>
      <c r="F1291" s="378"/>
      <c r="G1291" s="380"/>
      <c r="H1291" s="380"/>
      <c r="I1291" s="399"/>
      <c r="J1291" s="377"/>
      <c r="K1291" s="382"/>
      <c r="L1291" s="380"/>
      <c r="M1291" s="380"/>
      <c r="N1291" s="380"/>
      <c r="O1291" s="380"/>
      <c r="P1291" s="380"/>
      <c r="Q1291" s="380"/>
    </row>
    <row r="1292" spans="1:17" x14ac:dyDescent="0.2">
      <c r="A1292" s="334" t="s">
        <v>1584</v>
      </c>
      <c r="B1292" s="380"/>
      <c r="C1292" s="334" t="s">
        <v>0</v>
      </c>
      <c r="D1292" s="377"/>
      <c r="E1292" s="384"/>
      <c r="F1292" s="378"/>
      <c r="G1292" s="380"/>
      <c r="H1292" s="380"/>
      <c r="I1292" s="399"/>
      <c r="J1292" s="377">
        <v>50</v>
      </c>
      <c r="K1292" s="382"/>
      <c r="L1292" s="380"/>
      <c r="M1292" s="380"/>
      <c r="N1292" s="380"/>
      <c r="O1292" s="380"/>
      <c r="P1292" s="380"/>
      <c r="Q1292" s="380"/>
    </row>
    <row r="1293" spans="1:17" x14ac:dyDescent="0.2">
      <c r="A1293" s="334" t="s">
        <v>1572</v>
      </c>
      <c r="B1293" s="380"/>
      <c r="C1293" s="334" t="s">
        <v>3134</v>
      </c>
      <c r="D1293" s="377">
        <v>75</v>
      </c>
      <c r="E1293" s="384"/>
      <c r="F1293" s="378"/>
      <c r="G1293" s="380"/>
      <c r="H1293" s="380"/>
      <c r="I1293" s="399"/>
      <c r="J1293" s="377">
        <v>75</v>
      </c>
      <c r="K1293" s="382"/>
      <c r="L1293" s="380"/>
      <c r="M1293" s="380"/>
      <c r="N1293" s="380"/>
      <c r="O1293" s="380"/>
      <c r="P1293" s="380"/>
      <c r="Q1293" s="380"/>
    </row>
    <row r="1294" spans="1:17" x14ac:dyDescent="0.2">
      <c r="A1294" s="334" t="s">
        <v>1730</v>
      </c>
      <c r="B1294" s="380"/>
      <c r="C1294" s="334" t="s">
        <v>1985</v>
      </c>
      <c r="D1294" s="377">
        <v>10000</v>
      </c>
      <c r="E1294" s="384"/>
      <c r="F1294" s="378"/>
      <c r="G1294" s="380"/>
      <c r="H1294" s="380"/>
      <c r="I1294" s="399"/>
      <c r="J1294" s="377">
        <v>10000</v>
      </c>
      <c r="K1294" s="382"/>
      <c r="L1294" s="380"/>
      <c r="M1294" s="380"/>
      <c r="N1294" s="380"/>
      <c r="O1294" s="380"/>
      <c r="P1294" s="380"/>
      <c r="Q1294" s="380"/>
    </row>
    <row r="1295" spans="1:17" x14ac:dyDescent="0.2">
      <c r="A1295" s="334" t="s">
        <v>1566</v>
      </c>
      <c r="B1295" s="380"/>
      <c r="C1295" s="334" t="s">
        <v>366</v>
      </c>
      <c r="D1295" s="377"/>
      <c r="E1295" s="384"/>
      <c r="F1295" s="378"/>
      <c r="G1295" s="380"/>
      <c r="H1295" s="380"/>
      <c r="I1295" s="399"/>
      <c r="J1295" s="377"/>
      <c r="K1295" s="382"/>
      <c r="L1295" s="380"/>
      <c r="M1295" s="380"/>
      <c r="N1295" s="380"/>
      <c r="O1295" s="380"/>
      <c r="P1295" s="380"/>
      <c r="Q1295" s="380"/>
    </row>
    <row r="1296" spans="1:17" x14ac:dyDescent="0.2">
      <c r="A1296" s="334" t="s">
        <v>1755</v>
      </c>
      <c r="B1296" s="380"/>
      <c r="C1296" s="380" t="s">
        <v>1986</v>
      </c>
      <c r="D1296" s="377"/>
      <c r="E1296" s="384"/>
      <c r="F1296" s="378"/>
      <c r="G1296" s="380"/>
      <c r="H1296" s="380"/>
      <c r="I1296" s="399"/>
      <c r="J1296" s="377"/>
      <c r="K1296" s="382"/>
      <c r="L1296" s="380"/>
      <c r="M1296" s="380"/>
      <c r="N1296" s="380"/>
      <c r="O1296" s="380"/>
      <c r="P1296" s="380"/>
      <c r="Q1296" s="380"/>
    </row>
    <row r="1297" spans="1:17" x14ac:dyDescent="0.2">
      <c r="A1297" s="384" t="s">
        <v>1962</v>
      </c>
      <c r="B1297" s="380"/>
      <c r="C1297" s="380" t="s">
        <v>572</v>
      </c>
      <c r="D1297" s="377">
        <v>2100</v>
      </c>
      <c r="E1297" s="384"/>
      <c r="F1297" s="378"/>
      <c r="G1297" s="380"/>
      <c r="H1297" s="380"/>
      <c r="I1297" s="399"/>
      <c r="J1297" s="377">
        <v>15000</v>
      </c>
      <c r="K1297" s="382"/>
      <c r="L1297" s="380"/>
      <c r="M1297" s="380"/>
      <c r="N1297" s="380"/>
      <c r="O1297" s="380"/>
      <c r="P1297" s="380"/>
      <c r="Q1297" s="380"/>
    </row>
    <row r="1298" spans="1:17" x14ac:dyDescent="0.2">
      <c r="A1298" s="380"/>
      <c r="B1298" s="380"/>
      <c r="C1298" s="380"/>
      <c r="D1298" s="410">
        <f>SUM(D1274:D1297)</f>
        <v>46823</v>
      </c>
      <c r="E1298" s="380"/>
      <c r="F1298" s="378"/>
      <c r="G1298" s="380"/>
      <c r="H1298" s="380"/>
      <c r="I1298" s="383"/>
      <c r="J1298" s="410">
        <f>SUM(J1274:J1297)</f>
        <v>56375</v>
      </c>
      <c r="K1298" s="382"/>
      <c r="L1298" s="380"/>
      <c r="M1298" s="380"/>
      <c r="N1298" s="380"/>
      <c r="O1298" s="380"/>
      <c r="P1298" s="380"/>
      <c r="Q1298" s="380"/>
    </row>
    <row r="1299" spans="1:17" ht="15.75" thickTop="1" x14ac:dyDescent="0.2">
      <c r="A1299" s="380"/>
      <c r="B1299" s="380"/>
      <c r="C1299" s="380"/>
      <c r="D1299" s="395">
        <f>D1298-D1274</f>
        <v>46823</v>
      </c>
      <c r="E1299" s="380"/>
      <c r="F1299" s="378"/>
      <c r="G1299" s="380"/>
      <c r="H1299" s="380"/>
      <c r="I1299" s="383"/>
      <c r="J1299" s="395">
        <f>J1298-J1274</f>
        <v>56375</v>
      </c>
      <c r="K1299" s="382"/>
      <c r="L1299" s="380"/>
      <c r="M1299" s="380"/>
      <c r="N1299" s="380"/>
      <c r="O1299" s="380"/>
      <c r="P1299" s="380"/>
      <c r="Q1299" s="380"/>
    </row>
    <row r="1300" spans="1:17" x14ac:dyDescent="0.2">
      <c r="A1300" s="377"/>
      <c r="B1300" s="377"/>
      <c r="C1300" s="377"/>
      <c r="D1300" s="377"/>
      <c r="E1300" s="377"/>
      <c r="F1300" s="378"/>
      <c r="G1300" s="377"/>
      <c r="H1300" s="377"/>
      <c r="I1300" s="387"/>
      <c r="J1300" s="377"/>
      <c r="K1300" s="382"/>
      <c r="L1300" s="380"/>
      <c r="M1300" s="380"/>
      <c r="N1300" s="380"/>
      <c r="O1300" s="380"/>
      <c r="P1300" s="380"/>
      <c r="Q1300" s="380"/>
    </row>
    <row r="1301" spans="1:17" ht="15.75" x14ac:dyDescent="0.25">
      <c r="A1301" s="380"/>
      <c r="B1301" s="380"/>
      <c r="C1301" s="380"/>
      <c r="D1301" s="380"/>
      <c r="E1301" s="380"/>
      <c r="F1301" s="378"/>
      <c r="G1301" s="380"/>
      <c r="H1301" s="380"/>
      <c r="I1301" s="409"/>
      <c r="J1301" s="380"/>
      <c r="K1301" s="382"/>
      <c r="L1301" s="380"/>
      <c r="M1301" s="380"/>
      <c r="N1301" s="380"/>
      <c r="O1301" s="380"/>
      <c r="P1301" s="380"/>
      <c r="Q1301" s="380"/>
    </row>
    <row r="1302" spans="1:17" x14ac:dyDescent="0.2">
      <c r="A1302" s="334" t="s">
        <v>140</v>
      </c>
      <c r="B1302" s="380"/>
      <c r="C1302" s="380"/>
      <c r="D1302" s="380"/>
      <c r="E1302" s="380"/>
      <c r="F1302" s="378"/>
      <c r="G1302" s="380"/>
      <c r="H1302" s="380"/>
      <c r="I1302" s="383"/>
      <c r="J1302" s="380"/>
      <c r="K1302" s="382"/>
      <c r="L1302" s="380"/>
      <c r="M1302" s="380"/>
      <c r="N1302" s="380"/>
      <c r="O1302" s="380"/>
      <c r="P1302" s="380"/>
      <c r="Q1302" s="380"/>
    </row>
    <row r="1303" spans="1:17" x14ac:dyDescent="0.2">
      <c r="A1303" s="380"/>
      <c r="B1303" s="380"/>
      <c r="C1303" s="384" t="s">
        <v>2105</v>
      </c>
      <c r="D1303" s="380"/>
      <c r="E1303" s="380"/>
      <c r="F1303" s="378"/>
      <c r="G1303" s="380"/>
      <c r="H1303" s="380"/>
      <c r="I1303" s="383"/>
      <c r="J1303" s="380"/>
      <c r="K1303" s="382"/>
      <c r="L1303" s="380"/>
      <c r="M1303" s="380"/>
      <c r="N1303" s="380"/>
      <c r="O1303" s="380"/>
      <c r="P1303" s="380"/>
      <c r="Q1303" s="380"/>
    </row>
    <row r="1304" spans="1:17" x14ac:dyDescent="0.2">
      <c r="A1304" s="380"/>
      <c r="B1304" s="380"/>
      <c r="C1304" s="380"/>
      <c r="D1304" s="380"/>
      <c r="E1304" s="380"/>
      <c r="F1304" s="378"/>
      <c r="G1304" s="380"/>
      <c r="H1304" s="380"/>
      <c r="I1304" s="383"/>
      <c r="J1304" s="380"/>
      <c r="K1304" s="382"/>
      <c r="L1304" s="380"/>
      <c r="M1304" s="380"/>
      <c r="N1304" s="380"/>
      <c r="O1304" s="380"/>
      <c r="P1304" s="380"/>
      <c r="Q1304" s="380"/>
    </row>
    <row r="1305" spans="1:17" x14ac:dyDescent="0.2">
      <c r="A1305" s="334" t="s">
        <v>1723</v>
      </c>
      <c r="B1305" s="380"/>
      <c r="C1305" s="334" t="s">
        <v>1880</v>
      </c>
      <c r="D1305" s="334" t="s">
        <v>181</v>
      </c>
      <c r="E1305" s="380"/>
      <c r="F1305" s="378"/>
      <c r="G1305" s="380"/>
      <c r="H1305" s="380"/>
      <c r="I1305" s="383"/>
      <c r="J1305" s="334" t="s">
        <v>181</v>
      </c>
      <c r="K1305" s="382"/>
      <c r="L1305" s="380"/>
      <c r="M1305" s="380"/>
      <c r="N1305" s="380"/>
      <c r="O1305" s="380"/>
      <c r="P1305" s="380"/>
      <c r="Q1305" s="380"/>
    </row>
    <row r="1306" spans="1:17" x14ac:dyDescent="0.2">
      <c r="A1306" s="380"/>
      <c r="B1306" s="380"/>
      <c r="C1306" s="380"/>
      <c r="D1306" s="380"/>
      <c r="E1306" s="380"/>
      <c r="F1306" s="378"/>
      <c r="G1306" s="380"/>
      <c r="H1306" s="380"/>
      <c r="I1306" s="383"/>
      <c r="J1306" s="380"/>
      <c r="K1306" s="382"/>
      <c r="L1306" s="380"/>
      <c r="M1306" s="380"/>
      <c r="N1306" s="380"/>
      <c r="O1306" s="380"/>
      <c r="P1306" s="380"/>
      <c r="Q1306" s="380"/>
    </row>
    <row r="1307" spans="1:17" x14ac:dyDescent="0.2">
      <c r="A1307" s="334" t="s">
        <v>1758</v>
      </c>
      <c r="B1307" s="380"/>
      <c r="C1307" s="334" t="s">
        <v>1987</v>
      </c>
      <c r="D1307" s="377"/>
      <c r="E1307" s="384"/>
      <c r="F1307" s="378"/>
      <c r="G1307" s="380"/>
      <c r="H1307" s="380"/>
      <c r="I1307" s="399"/>
      <c r="J1307" s="377"/>
      <c r="K1307" s="382"/>
      <c r="L1307" s="380"/>
      <c r="M1307" s="380"/>
      <c r="N1307" s="380"/>
      <c r="O1307" s="380"/>
      <c r="P1307" s="380"/>
      <c r="Q1307" s="380"/>
    </row>
    <row r="1308" spans="1:17" x14ac:dyDescent="0.2">
      <c r="A1308" s="334" t="s">
        <v>1743</v>
      </c>
      <c r="B1308" s="380"/>
      <c r="C1308" s="334" t="s">
        <v>1886</v>
      </c>
      <c r="D1308" s="377"/>
      <c r="E1308" s="384"/>
      <c r="F1308" s="378"/>
      <c r="G1308" s="380"/>
      <c r="H1308" s="380"/>
      <c r="I1308" s="399"/>
      <c r="J1308" s="377"/>
      <c r="K1308" s="382"/>
      <c r="L1308" s="380"/>
      <c r="M1308" s="380"/>
      <c r="N1308" s="380"/>
      <c r="O1308" s="380"/>
      <c r="P1308" s="380"/>
      <c r="Q1308" s="380"/>
    </row>
    <row r="1309" spans="1:17" x14ac:dyDescent="0.2">
      <c r="A1309" s="334" t="s">
        <v>1724</v>
      </c>
      <c r="B1309" s="380"/>
      <c r="C1309" s="334" t="s">
        <v>1881</v>
      </c>
      <c r="D1309" s="377">
        <v>200</v>
      </c>
      <c r="E1309" s="384"/>
      <c r="F1309" s="378"/>
      <c r="G1309" s="380"/>
      <c r="H1309" s="380"/>
      <c r="I1309" s="399"/>
      <c r="J1309" s="377">
        <v>200</v>
      </c>
      <c r="K1309" s="382"/>
      <c r="L1309" s="380"/>
      <c r="M1309" s="380"/>
      <c r="N1309" s="380"/>
      <c r="O1309" s="380"/>
      <c r="P1309" s="380"/>
      <c r="Q1309" s="380"/>
    </row>
    <row r="1310" spans="1:17" x14ac:dyDescent="0.2">
      <c r="A1310" s="334" t="s">
        <v>1736</v>
      </c>
      <c r="B1310" s="380"/>
      <c r="C1310" s="334" t="s">
        <v>1747</v>
      </c>
      <c r="D1310" s="377">
        <v>1000</v>
      </c>
      <c r="E1310" s="384"/>
      <c r="F1310" s="378"/>
      <c r="G1310" s="380"/>
      <c r="H1310" s="380"/>
      <c r="I1310" s="399"/>
      <c r="J1310" s="377">
        <v>1000</v>
      </c>
      <c r="K1310" s="382"/>
      <c r="L1310" s="380"/>
      <c r="M1310" s="380"/>
      <c r="N1310" s="380"/>
      <c r="O1310" s="380"/>
      <c r="P1310" s="380"/>
      <c r="Q1310" s="380"/>
    </row>
    <row r="1311" spans="1:17" x14ac:dyDescent="0.2">
      <c r="A1311" s="334" t="s">
        <v>1744</v>
      </c>
      <c r="B1311" s="380"/>
      <c r="C1311" s="334" t="s">
        <v>1254</v>
      </c>
      <c r="D1311" s="377">
        <v>500</v>
      </c>
      <c r="E1311" s="384"/>
      <c r="F1311" s="378"/>
      <c r="G1311" s="380"/>
      <c r="H1311" s="380"/>
      <c r="I1311" s="399"/>
      <c r="J1311" s="377">
        <v>500</v>
      </c>
      <c r="K1311" s="382"/>
      <c r="L1311" s="380"/>
      <c r="M1311" s="380"/>
      <c r="N1311" s="380"/>
      <c r="O1311" s="380"/>
      <c r="P1311" s="380"/>
      <c r="Q1311" s="380"/>
    </row>
    <row r="1312" spans="1:17" x14ac:dyDescent="0.2">
      <c r="A1312" s="334" t="s">
        <v>1725</v>
      </c>
      <c r="B1312" s="380"/>
      <c r="C1312" s="334" t="s">
        <v>1890</v>
      </c>
      <c r="D1312" s="377">
        <v>200</v>
      </c>
      <c r="E1312" s="384"/>
      <c r="F1312" s="378"/>
      <c r="G1312" s="380"/>
      <c r="H1312" s="380"/>
      <c r="I1312" s="399"/>
      <c r="J1312" s="377">
        <v>200</v>
      </c>
      <c r="K1312" s="382"/>
      <c r="L1312" s="380"/>
      <c r="M1312" s="380"/>
      <c r="N1312" s="380"/>
      <c r="O1312" s="380"/>
      <c r="P1312" s="380"/>
      <c r="Q1312" s="380"/>
    </row>
    <row r="1313" spans="1:17" x14ac:dyDescent="0.2">
      <c r="A1313" s="334" t="s">
        <v>1565</v>
      </c>
      <c r="B1313" s="380"/>
      <c r="C1313" s="334" t="s">
        <v>1927</v>
      </c>
      <c r="D1313" s="377"/>
      <c r="E1313" s="384"/>
      <c r="F1313" s="378"/>
      <c r="G1313" s="380"/>
      <c r="H1313" s="380"/>
      <c r="I1313" s="399"/>
      <c r="J1313" s="377"/>
      <c r="K1313" s="382"/>
      <c r="L1313" s="380"/>
      <c r="M1313" s="380"/>
      <c r="N1313" s="380"/>
      <c r="O1313" s="380"/>
      <c r="P1313" s="380"/>
      <c r="Q1313" s="380"/>
    </row>
    <row r="1314" spans="1:17" x14ac:dyDescent="0.2">
      <c r="A1314" s="334" t="s">
        <v>1737</v>
      </c>
      <c r="B1314" s="380"/>
      <c r="C1314" s="334" t="s">
        <v>1984</v>
      </c>
      <c r="D1314" s="377">
        <v>300</v>
      </c>
      <c r="E1314" s="384"/>
      <c r="F1314" s="378"/>
      <c r="G1314" s="380"/>
      <c r="H1314" s="380"/>
      <c r="I1314" s="399"/>
      <c r="J1314" s="377">
        <v>300</v>
      </c>
      <c r="K1314" s="382"/>
      <c r="L1314" s="380"/>
      <c r="M1314" s="380"/>
      <c r="N1314" s="380"/>
      <c r="O1314" s="380"/>
      <c r="P1314" s="380"/>
      <c r="Q1314" s="380"/>
    </row>
    <row r="1315" spans="1:17" x14ac:dyDescent="0.2">
      <c r="A1315" s="334" t="s">
        <v>1726</v>
      </c>
      <c r="B1315" s="380"/>
      <c r="C1315" s="334" t="s">
        <v>1117</v>
      </c>
      <c r="D1315" s="377"/>
      <c r="E1315" s="384"/>
      <c r="F1315" s="378"/>
      <c r="G1315" s="380"/>
      <c r="H1315" s="380"/>
      <c r="I1315" s="399"/>
      <c r="J1315" s="377"/>
      <c r="K1315" s="382"/>
      <c r="L1315" s="380"/>
      <c r="M1315" s="380"/>
      <c r="N1315" s="380"/>
      <c r="O1315" s="380"/>
      <c r="P1315" s="380"/>
      <c r="Q1315" s="380"/>
    </row>
    <row r="1316" spans="1:17" x14ac:dyDescent="0.2">
      <c r="A1316" s="334" t="s">
        <v>1578</v>
      </c>
      <c r="B1316" s="380"/>
      <c r="C1316" s="334" t="s">
        <v>22</v>
      </c>
      <c r="D1316" s="377"/>
      <c r="E1316" s="384"/>
      <c r="F1316" s="378"/>
      <c r="G1316" s="380"/>
      <c r="H1316" s="380"/>
      <c r="I1316" s="399"/>
      <c r="J1316" s="377"/>
      <c r="K1316" s="382"/>
      <c r="L1316" s="380"/>
      <c r="M1316" s="380"/>
      <c r="N1316" s="380"/>
      <c r="O1316" s="380"/>
      <c r="P1316" s="380"/>
      <c r="Q1316" s="380"/>
    </row>
    <row r="1317" spans="1:17" x14ac:dyDescent="0.2">
      <c r="A1317" s="334" t="s">
        <v>1738</v>
      </c>
      <c r="B1317" s="380"/>
      <c r="C1317" s="334" t="s">
        <v>1591</v>
      </c>
      <c r="D1317" s="377">
        <v>400</v>
      </c>
      <c r="E1317" s="384"/>
      <c r="F1317" s="378"/>
      <c r="G1317" s="380"/>
      <c r="H1317" s="380"/>
      <c r="I1317" s="399"/>
      <c r="J1317" s="377">
        <v>400</v>
      </c>
      <c r="K1317" s="382"/>
      <c r="L1317" s="380"/>
      <c r="M1317" s="380"/>
      <c r="N1317" s="380"/>
      <c r="O1317" s="380"/>
      <c r="P1317" s="380"/>
      <c r="Q1317" s="380"/>
    </row>
    <row r="1318" spans="1:17" x14ac:dyDescent="0.2">
      <c r="A1318" s="334" t="s">
        <v>1727</v>
      </c>
      <c r="B1318" s="380"/>
      <c r="C1318" s="334" t="s">
        <v>307</v>
      </c>
      <c r="D1318" s="377">
        <v>550</v>
      </c>
      <c r="E1318" s="384"/>
      <c r="F1318" s="378"/>
      <c r="G1318" s="380"/>
      <c r="H1318" s="380"/>
      <c r="I1318" s="399"/>
      <c r="J1318" s="377">
        <v>550</v>
      </c>
      <c r="K1318" s="382"/>
      <c r="L1318" s="380"/>
      <c r="M1318" s="380"/>
      <c r="N1318" s="380"/>
      <c r="O1318" s="380"/>
      <c r="P1318" s="380"/>
      <c r="Q1318" s="380"/>
    </row>
    <row r="1319" spans="1:17" x14ac:dyDescent="0.2">
      <c r="A1319" s="334" t="s">
        <v>1728</v>
      </c>
      <c r="B1319" s="380"/>
      <c r="C1319" s="334" t="s">
        <v>310</v>
      </c>
      <c r="D1319" s="377">
        <v>100</v>
      </c>
      <c r="E1319" s="384"/>
      <c r="F1319" s="378"/>
      <c r="G1319" s="380"/>
      <c r="H1319" s="380"/>
      <c r="I1319" s="399"/>
      <c r="J1319" s="377">
        <v>100</v>
      </c>
      <c r="K1319" s="382"/>
      <c r="L1319" s="380"/>
      <c r="M1319" s="380"/>
      <c r="N1319" s="380"/>
      <c r="O1319" s="380"/>
      <c r="P1319" s="380"/>
      <c r="Q1319" s="380"/>
    </row>
    <row r="1320" spans="1:17" x14ac:dyDescent="0.2">
      <c r="A1320" s="334" t="s">
        <v>1729</v>
      </c>
      <c r="B1320" s="380"/>
      <c r="C1320" s="380" t="s">
        <v>1551</v>
      </c>
      <c r="D1320" s="377">
        <v>-12000</v>
      </c>
      <c r="E1320" s="384"/>
      <c r="F1320" s="378"/>
      <c r="G1320" s="380"/>
      <c r="H1320" s="380"/>
      <c r="I1320" s="399"/>
      <c r="J1320" s="377">
        <v>50</v>
      </c>
      <c r="K1320" s="382"/>
      <c r="L1320" s="380"/>
      <c r="M1320" s="380"/>
      <c r="N1320" s="380"/>
      <c r="O1320" s="380"/>
      <c r="P1320" s="380"/>
      <c r="Q1320" s="380"/>
    </row>
    <row r="1321" spans="1:17" x14ac:dyDescent="0.2">
      <c r="A1321" s="334" t="s">
        <v>1735</v>
      </c>
      <c r="B1321" s="380"/>
      <c r="C1321" s="380" t="s">
        <v>194</v>
      </c>
      <c r="D1321" s="377"/>
      <c r="E1321" s="384"/>
      <c r="F1321" s="378"/>
      <c r="G1321" s="380"/>
      <c r="H1321" s="380"/>
      <c r="I1321" s="399"/>
      <c r="J1321" s="377">
        <v>100</v>
      </c>
      <c r="K1321" s="382"/>
      <c r="L1321" s="380"/>
      <c r="M1321" s="380"/>
      <c r="N1321" s="380"/>
      <c r="O1321" s="380"/>
      <c r="P1321" s="380"/>
      <c r="Q1321" s="380"/>
    </row>
    <row r="1322" spans="1:17" x14ac:dyDescent="0.2">
      <c r="A1322" s="384" t="s">
        <v>1741</v>
      </c>
      <c r="B1322" s="380"/>
      <c r="C1322" s="334" t="s">
        <v>1748</v>
      </c>
      <c r="D1322" s="377"/>
      <c r="E1322" s="384"/>
      <c r="F1322" s="378"/>
      <c r="G1322" s="380"/>
      <c r="H1322" s="380"/>
      <c r="I1322" s="399"/>
      <c r="J1322" s="377"/>
      <c r="K1322" s="382"/>
      <c r="L1322" s="380"/>
      <c r="M1322" s="380"/>
      <c r="N1322" s="380"/>
      <c r="O1322" s="380"/>
      <c r="P1322" s="380"/>
      <c r="Q1322" s="380"/>
    </row>
    <row r="1323" spans="1:17" x14ac:dyDescent="0.2">
      <c r="A1323" s="334" t="s">
        <v>1742</v>
      </c>
      <c r="B1323" s="380"/>
      <c r="C1323" s="334" t="s">
        <v>1553</v>
      </c>
      <c r="D1323" s="377"/>
      <c r="E1323" s="384"/>
      <c r="F1323" s="378"/>
      <c r="G1323" s="380"/>
      <c r="H1323" s="380"/>
      <c r="I1323" s="399"/>
      <c r="J1323" s="377"/>
      <c r="K1323" s="382"/>
      <c r="L1323" s="380"/>
      <c r="M1323" s="380"/>
      <c r="N1323" s="380"/>
      <c r="O1323" s="380"/>
      <c r="P1323" s="380"/>
      <c r="Q1323" s="380"/>
    </row>
    <row r="1324" spans="1:17" x14ac:dyDescent="0.2">
      <c r="A1324" s="334" t="s">
        <v>1584</v>
      </c>
      <c r="B1324" s="380"/>
      <c r="C1324" s="334" t="s">
        <v>0</v>
      </c>
      <c r="D1324" s="377"/>
      <c r="E1324" s="384"/>
      <c r="F1324" s="378"/>
      <c r="G1324" s="380"/>
      <c r="H1324" s="380"/>
      <c r="I1324" s="399"/>
      <c r="J1324" s="377"/>
      <c r="K1324" s="382"/>
      <c r="L1324" s="380"/>
      <c r="M1324" s="380"/>
      <c r="N1324" s="380"/>
      <c r="O1324" s="380"/>
      <c r="P1324" s="380"/>
      <c r="Q1324" s="380"/>
    </row>
    <row r="1325" spans="1:17" x14ac:dyDescent="0.2">
      <c r="A1325" s="334" t="s">
        <v>1580</v>
      </c>
      <c r="B1325" s="380"/>
      <c r="C1325" s="334" t="s">
        <v>1936</v>
      </c>
      <c r="D1325" s="377"/>
      <c r="E1325" s="384"/>
      <c r="F1325" s="378"/>
      <c r="G1325" s="380"/>
      <c r="H1325" s="380"/>
      <c r="I1325" s="399"/>
      <c r="J1325" s="377"/>
      <c r="K1325" s="382"/>
      <c r="L1325" s="380"/>
      <c r="M1325" s="380"/>
      <c r="N1325" s="380"/>
      <c r="O1325" s="380"/>
      <c r="P1325" s="380"/>
      <c r="Q1325" s="380"/>
    </row>
    <row r="1326" spans="1:17" x14ac:dyDescent="0.2">
      <c r="A1326" s="334" t="s">
        <v>1572</v>
      </c>
      <c r="B1326" s="380"/>
      <c r="C1326" s="334" t="s">
        <v>3134</v>
      </c>
      <c r="D1326" s="377"/>
      <c r="E1326" s="384"/>
      <c r="F1326" s="378"/>
      <c r="G1326" s="380"/>
      <c r="H1326" s="380"/>
      <c r="I1326" s="399"/>
      <c r="J1326" s="377"/>
      <c r="K1326" s="382"/>
      <c r="L1326" s="380"/>
      <c r="M1326" s="380"/>
      <c r="N1326" s="380"/>
      <c r="O1326" s="380"/>
      <c r="P1326" s="380"/>
      <c r="Q1326" s="380"/>
    </row>
    <row r="1327" spans="1:17" x14ac:dyDescent="0.2">
      <c r="A1327" s="334" t="s">
        <v>1730</v>
      </c>
      <c r="B1327" s="380"/>
      <c r="C1327" s="334" t="s">
        <v>1985</v>
      </c>
      <c r="D1327" s="377">
        <v>5500</v>
      </c>
      <c r="E1327" s="384"/>
      <c r="F1327" s="378"/>
      <c r="G1327" s="380"/>
      <c r="H1327" s="380"/>
      <c r="I1327" s="399"/>
      <c r="J1327" s="377">
        <v>5500</v>
      </c>
      <c r="K1327" s="382"/>
      <c r="L1327" s="380"/>
      <c r="M1327" s="380"/>
      <c r="N1327" s="380"/>
      <c r="O1327" s="380"/>
      <c r="P1327" s="380"/>
      <c r="Q1327" s="380"/>
    </row>
    <row r="1328" spans="1:17" x14ac:dyDescent="0.2">
      <c r="A1328" s="334" t="s">
        <v>1903</v>
      </c>
      <c r="B1328" s="380"/>
      <c r="C1328" s="334" t="s">
        <v>35</v>
      </c>
      <c r="D1328" s="379">
        <v>25000</v>
      </c>
      <c r="E1328" s="384"/>
      <c r="F1328" s="378"/>
      <c r="G1328" s="380"/>
      <c r="H1328" s="380"/>
      <c r="I1328" s="399"/>
      <c r="J1328" s="377"/>
      <c r="K1328" s="382"/>
      <c r="L1328" s="380"/>
      <c r="M1328" s="380"/>
      <c r="N1328" s="380"/>
      <c r="O1328" s="380"/>
      <c r="P1328" s="380"/>
      <c r="Q1328" s="380"/>
    </row>
    <row r="1329" spans="1:17" x14ac:dyDescent="0.2">
      <c r="A1329" s="384" t="s">
        <v>1962</v>
      </c>
      <c r="B1329" s="380"/>
      <c r="C1329" s="380" t="s">
        <v>572</v>
      </c>
      <c r="D1329" s="377"/>
      <c r="E1329" s="384"/>
      <c r="F1329" s="378"/>
      <c r="G1329" s="380"/>
      <c r="H1329" s="380"/>
      <c r="I1329" s="399"/>
      <c r="J1329" s="377"/>
      <c r="K1329" s="382"/>
      <c r="L1329" s="380"/>
      <c r="M1329" s="380"/>
      <c r="N1329" s="380"/>
      <c r="O1329" s="380"/>
      <c r="P1329" s="380"/>
      <c r="Q1329" s="380"/>
    </row>
    <row r="1330" spans="1:17" x14ac:dyDescent="0.2">
      <c r="A1330" s="380"/>
      <c r="B1330" s="380"/>
      <c r="C1330" s="380"/>
      <c r="D1330" s="394"/>
      <c r="E1330" s="380"/>
      <c r="F1330" s="378"/>
      <c r="G1330" s="380"/>
      <c r="H1330" s="380"/>
      <c r="I1330" s="383"/>
      <c r="J1330" s="394"/>
      <c r="K1330" s="382"/>
      <c r="L1330" s="380"/>
      <c r="M1330" s="380"/>
      <c r="N1330" s="380"/>
      <c r="O1330" s="380"/>
      <c r="P1330" s="380"/>
      <c r="Q1330" s="380"/>
    </row>
    <row r="1331" spans="1:17" x14ac:dyDescent="0.2">
      <c r="A1331" s="380"/>
      <c r="B1331" s="380"/>
      <c r="C1331" s="380"/>
      <c r="D1331" s="334">
        <f>SUM(D1307:D1329)</f>
        <v>21750</v>
      </c>
      <c r="E1331" s="380"/>
      <c r="F1331" s="378"/>
      <c r="G1331" s="380"/>
      <c r="H1331" s="380"/>
      <c r="I1331" s="383"/>
      <c r="J1331" s="334">
        <f>SUM(J1307:J1329)</f>
        <v>8900</v>
      </c>
      <c r="K1331" s="382"/>
      <c r="L1331" s="380"/>
      <c r="M1331" s="380"/>
      <c r="N1331" s="380"/>
      <c r="O1331" s="380"/>
      <c r="P1331" s="380"/>
      <c r="Q1331" s="380"/>
    </row>
    <row r="1332" spans="1:17" ht="15.75" thickTop="1" x14ac:dyDescent="0.2">
      <c r="A1332" s="380"/>
      <c r="B1332" s="380"/>
      <c r="C1332" s="380"/>
      <c r="D1332" s="395">
        <f>D1331-D1307</f>
        <v>21750</v>
      </c>
      <c r="E1332" s="380"/>
      <c r="F1332" s="378"/>
      <c r="G1332" s="380"/>
      <c r="H1332" s="380"/>
      <c r="I1332" s="383"/>
      <c r="J1332" s="395">
        <f>J1331-J1308</f>
        <v>8900</v>
      </c>
      <c r="K1332" s="382"/>
      <c r="L1332" s="380"/>
      <c r="M1332" s="380"/>
      <c r="N1332" s="380"/>
      <c r="O1332" s="380"/>
      <c r="P1332" s="380"/>
      <c r="Q1332" s="380"/>
    </row>
    <row r="1333" spans="1:17" ht="15.75" x14ac:dyDescent="0.25">
      <c r="A1333" s="377"/>
      <c r="B1333" s="377"/>
      <c r="C1333" s="377"/>
      <c r="D1333" s="377"/>
      <c r="E1333" s="377"/>
      <c r="F1333" s="378"/>
      <c r="G1333" s="377"/>
      <c r="H1333" s="377"/>
      <c r="I1333" s="397"/>
      <c r="J1333" s="377"/>
      <c r="K1333" s="382"/>
      <c r="L1333" s="380"/>
      <c r="M1333" s="380"/>
      <c r="N1333" s="380"/>
      <c r="O1333" s="380"/>
      <c r="P1333" s="380"/>
      <c r="Q1333" s="380"/>
    </row>
    <row r="1334" spans="1:17" x14ac:dyDescent="0.2">
      <c r="A1334" s="380"/>
      <c r="B1334" s="380"/>
      <c r="C1334" s="380"/>
      <c r="D1334" s="380"/>
      <c r="E1334" s="380"/>
      <c r="F1334" s="378"/>
      <c r="G1334" s="380"/>
      <c r="H1334" s="380"/>
      <c r="I1334" s="383"/>
      <c r="J1334" s="380"/>
      <c r="K1334" s="382"/>
      <c r="L1334" s="380"/>
      <c r="M1334" s="380"/>
      <c r="N1334" s="380"/>
      <c r="O1334" s="380"/>
      <c r="P1334" s="380"/>
      <c r="Q1334" s="380"/>
    </row>
    <row r="1335" spans="1:17" x14ac:dyDescent="0.2">
      <c r="A1335" s="334" t="s">
        <v>1761</v>
      </c>
      <c r="B1335" s="380"/>
      <c r="C1335" s="380"/>
      <c r="D1335" s="380"/>
      <c r="E1335" s="380"/>
      <c r="F1335" s="378"/>
      <c r="G1335" s="380"/>
      <c r="H1335" s="380"/>
      <c r="I1335" s="383"/>
      <c r="J1335" s="380"/>
      <c r="K1335" s="382"/>
      <c r="L1335" s="380"/>
      <c r="M1335" s="380"/>
      <c r="N1335" s="380"/>
      <c r="O1335" s="380"/>
      <c r="P1335" s="380"/>
      <c r="Q1335" s="380"/>
    </row>
    <row r="1336" spans="1:17" x14ac:dyDescent="0.2">
      <c r="A1336" s="380"/>
      <c r="B1336" s="380"/>
      <c r="C1336" s="384" t="s">
        <v>2106</v>
      </c>
      <c r="D1336" s="380"/>
      <c r="E1336" s="380"/>
      <c r="F1336" s="378"/>
      <c r="G1336" s="380"/>
      <c r="H1336" s="380"/>
      <c r="I1336" s="383"/>
      <c r="J1336" s="380"/>
      <c r="K1336" s="382"/>
      <c r="L1336" s="380"/>
      <c r="M1336" s="380"/>
      <c r="N1336" s="380"/>
      <c r="O1336" s="380"/>
      <c r="P1336" s="380"/>
      <c r="Q1336" s="380"/>
    </row>
    <row r="1337" spans="1:17" x14ac:dyDescent="0.2">
      <c r="A1337" s="380"/>
      <c r="B1337" s="380"/>
      <c r="C1337" s="380"/>
      <c r="D1337" s="380"/>
      <c r="E1337" s="380"/>
      <c r="F1337" s="378"/>
      <c r="G1337" s="380"/>
      <c r="H1337" s="380"/>
      <c r="I1337" s="383"/>
      <c r="J1337" s="380"/>
      <c r="K1337" s="382"/>
      <c r="L1337" s="380"/>
      <c r="M1337" s="380"/>
      <c r="N1337" s="380"/>
      <c r="O1337" s="380"/>
      <c r="P1337" s="380"/>
      <c r="Q1337" s="380"/>
    </row>
    <row r="1338" spans="1:17" x14ac:dyDescent="0.2">
      <c r="A1338" s="334" t="s">
        <v>1723</v>
      </c>
      <c r="B1338" s="380"/>
      <c r="C1338" s="334" t="s">
        <v>1880</v>
      </c>
      <c r="D1338" s="334" t="s">
        <v>181</v>
      </c>
      <c r="E1338" s="380"/>
      <c r="F1338" s="378"/>
      <c r="G1338" s="380"/>
      <c r="H1338" s="380"/>
      <c r="I1338" s="383"/>
      <c r="J1338" s="334" t="s">
        <v>181</v>
      </c>
      <c r="K1338" s="382"/>
      <c r="L1338" s="380"/>
      <c r="M1338" s="380"/>
      <c r="N1338" s="380"/>
      <c r="O1338" s="380"/>
      <c r="P1338" s="380"/>
      <c r="Q1338" s="380"/>
    </row>
    <row r="1339" spans="1:17" x14ac:dyDescent="0.2">
      <c r="A1339" s="334"/>
      <c r="B1339" s="380"/>
      <c r="C1339" s="334"/>
      <c r="D1339" s="334"/>
      <c r="E1339" s="380"/>
      <c r="F1339" s="378"/>
      <c r="G1339" s="380"/>
      <c r="H1339" s="380"/>
      <c r="I1339" s="383"/>
      <c r="J1339" s="334"/>
      <c r="K1339" s="382"/>
      <c r="L1339" s="380"/>
      <c r="M1339" s="380"/>
      <c r="N1339" s="380"/>
      <c r="O1339" s="380"/>
      <c r="P1339" s="380"/>
      <c r="Q1339" s="380"/>
    </row>
    <row r="1340" spans="1:17" x14ac:dyDescent="0.2">
      <c r="A1340" s="334" t="s">
        <v>1729</v>
      </c>
      <c r="B1340" s="380"/>
      <c r="C1340" s="380" t="s">
        <v>1551</v>
      </c>
      <c r="D1340" s="380">
        <v>-10000</v>
      </c>
      <c r="E1340" s="380"/>
      <c r="F1340" s="378"/>
      <c r="G1340" s="380"/>
      <c r="H1340" s="380"/>
      <c r="I1340" s="383"/>
      <c r="J1340" s="380"/>
      <c r="K1340" s="382"/>
      <c r="L1340" s="380"/>
      <c r="M1340" s="380"/>
      <c r="N1340" s="380"/>
      <c r="O1340" s="380"/>
      <c r="P1340" s="380"/>
      <c r="Q1340" s="380"/>
    </row>
    <row r="1341" spans="1:17" x14ac:dyDescent="0.2">
      <c r="A1341" s="334" t="s">
        <v>1565</v>
      </c>
      <c r="B1341" s="380"/>
      <c r="C1341" s="334" t="s">
        <v>1927</v>
      </c>
      <c r="D1341" s="377">
        <v>35000</v>
      </c>
      <c r="E1341" s="384"/>
      <c r="F1341" s="378"/>
      <c r="G1341" s="380"/>
      <c r="H1341" s="380"/>
      <c r="I1341" s="399"/>
      <c r="J1341" s="377">
        <v>17500</v>
      </c>
      <c r="K1341" s="382"/>
      <c r="L1341" s="380"/>
      <c r="M1341" s="380"/>
      <c r="N1341" s="380"/>
      <c r="O1341" s="380"/>
      <c r="P1341" s="380"/>
      <c r="Q1341" s="380"/>
    </row>
    <row r="1342" spans="1:17" x14ac:dyDescent="0.2">
      <c r="A1342" s="380"/>
      <c r="B1342" s="380"/>
      <c r="C1342" s="380"/>
      <c r="D1342" s="394" t="s">
        <v>342</v>
      </c>
      <c r="E1342" s="380"/>
      <c r="F1342" s="378"/>
      <c r="G1342" s="380"/>
      <c r="H1342" s="380"/>
      <c r="I1342" s="383"/>
      <c r="J1342" s="394" t="s">
        <v>342</v>
      </c>
      <c r="K1342" s="382"/>
      <c r="L1342" s="380"/>
      <c r="M1342" s="380"/>
      <c r="N1342" s="380"/>
      <c r="O1342" s="380"/>
      <c r="P1342" s="380"/>
      <c r="Q1342" s="380"/>
    </row>
    <row r="1343" spans="1:17" x14ac:dyDescent="0.2">
      <c r="A1343" s="380"/>
      <c r="B1343" s="380"/>
      <c r="C1343" s="380"/>
      <c r="D1343" s="334">
        <f>SUM(D1340:D1342)</f>
        <v>25000</v>
      </c>
      <c r="E1343" s="380"/>
      <c r="F1343" s="378"/>
      <c r="G1343" s="380"/>
      <c r="H1343" s="380"/>
      <c r="I1343" s="383"/>
      <c r="J1343" s="334">
        <f>SUM(J1341:J1341)</f>
        <v>17500</v>
      </c>
      <c r="K1343" s="382"/>
      <c r="L1343" s="380"/>
      <c r="M1343" s="380"/>
      <c r="N1343" s="380"/>
      <c r="O1343" s="380"/>
      <c r="P1343" s="380"/>
      <c r="Q1343" s="380"/>
    </row>
    <row r="1344" spans="1:17" ht="15.75" thickTop="1" x14ac:dyDescent="0.2">
      <c r="A1344" s="380"/>
      <c r="B1344" s="380"/>
      <c r="C1344" s="380"/>
      <c r="D1344" s="395"/>
      <c r="E1344" s="380"/>
      <c r="F1344" s="378"/>
      <c r="G1344" s="380"/>
      <c r="H1344" s="380"/>
      <c r="I1344" s="383"/>
      <c r="J1344" s="395"/>
      <c r="K1344" s="382"/>
      <c r="L1344" s="380"/>
      <c r="M1344" s="380"/>
      <c r="N1344" s="380"/>
      <c r="O1344" s="380"/>
      <c r="P1344" s="380"/>
      <c r="Q1344" s="380"/>
    </row>
    <row r="1345" spans="1:17" ht="15.75" x14ac:dyDescent="0.25">
      <c r="A1345" s="377"/>
      <c r="B1345" s="377"/>
      <c r="C1345" s="377"/>
      <c r="D1345" s="377"/>
      <c r="E1345" s="377"/>
      <c r="F1345" s="378"/>
      <c r="G1345" s="377"/>
      <c r="H1345" s="377"/>
      <c r="I1345" s="397"/>
      <c r="J1345" s="377"/>
      <c r="K1345" s="382"/>
      <c r="L1345" s="380"/>
      <c r="M1345" s="380"/>
      <c r="N1345" s="380"/>
      <c r="O1345" s="380"/>
      <c r="P1345" s="380"/>
      <c r="Q1345" s="380"/>
    </row>
    <row r="1346" spans="1:17" x14ac:dyDescent="0.2">
      <c r="A1346" s="380"/>
      <c r="B1346" s="380"/>
      <c r="C1346" s="380"/>
      <c r="D1346" s="380"/>
      <c r="E1346" s="380"/>
      <c r="F1346" s="378"/>
      <c r="G1346" s="380"/>
      <c r="H1346" s="380"/>
      <c r="I1346" s="383"/>
      <c r="J1346" s="380"/>
      <c r="K1346" s="382"/>
      <c r="L1346" s="380"/>
      <c r="M1346" s="380"/>
      <c r="N1346" s="380"/>
      <c r="O1346" s="380"/>
      <c r="P1346" s="380"/>
      <c r="Q1346" s="380"/>
    </row>
    <row r="1347" spans="1:17" x14ac:dyDescent="0.2">
      <c r="A1347" s="334" t="s">
        <v>1762</v>
      </c>
      <c r="B1347" s="380"/>
      <c r="C1347" s="380"/>
      <c r="D1347" s="380"/>
      <c r="E1347" s="380"/>
      <c r="F1347" s="378"/>
      <c r="G1347" s="380"/>
      <c r="H1347" s="380"/>
      <c r="I1347" s="383"/>
      <c r="J1347" s="380"/>
      <c r="K1347" s="382"/>
      <c r="L1347" s="380"/>
      <c r="M1347" s="380"/>
      <c r="N1347" s="380"/>
      <c r="O1347" s="380"/>
      <c r="P1347" s="380"/>
      <c r="Q1347" s="380"/>
    </row>
    <row r="1348" spans="1:17" x14ac:dyDescent="0.2">
      <c r="A1348" s="380"/>
      <c r="B1348" s="380"/>
      <c r="C1348" s="384" t="s">
        <v>2107</v>
      </c>
      <c r="D1348" s="380"/>
      <c r="E1348" s="380"/>
      <c r="F1348" s="378"/>
      <c r="G1348" s="380"/>
      <c r="H1348" s="380"/>
      <c r="I1348" s="383"/>
      <c r="J1348" s="380"/>
      <c r="K1348" s="382"/>
      <c r="L1348" s="380"/>
      <c r="M1348" s="380"/>
      <c r="N1348" s="380"/>
      <c r="O1348" s="380"/>
      <c r="P1348" s="380"/>
      <c r="Q1348" s="380"/>
    </row>
    <row r="1349" spans="1:17" x14ac:dyDescent="0.2">
      <c r="A1349" s="380"/>
      <c r="B1349" s="380"/>
      <c r="C1349" s="380"/>
      <c r="D1349" s="380"/>
      <c r="E1349" s="380"/>
      <c r="F1349" s="378"/>
      <c r="G1349" s="380"/>
      <c r="H1349" s="380"/>
      <c r="I1349" s="383"/>
      <c r="J1349" s="380"/>
      <c r="K1349" s="382"/>
      <c r="L1349" s="380"/>
      <c r="M1349" s="380"/>
      <c r="N1349" s="380"/>
      <c r="O1349" s="380"/>
      <c r="P1349" s="380"/>
      <c r="Q1349" s="380"/>
    </row>
    <row r="1350" spans="1:17" x14ac:dyDescent="0.2">
      <c r="A1350" s="334" t="s">
        <v>1723</v>
      </c>
      <c r="B1350" s="380"/>
      <c r="C1350" s="334" t="s">
        <v>1880</v>
      </c>
      <c r="D1350" s="334" t="s">
        <v>181</v>
      </c>
      <c r="E1350" s="380"/>
      <c r="F1350" s="378"/>
      <c r="G1350" s="380"/>
      <c r="H1350" s="380"/>
      <c r="I1350" s="383"/>
      <c r="J1350" s="334" t="s">
        <v>181</v>
      </c>
      <c r="K1350" s="382"/>
      <c r="L1350" s="380"/>
      <c r="M1350" s="380"/>
      <c r="N1350" s="380"/>
      <c r="O1350" s="380"/>
      <c r="P1350" s="380"/>
      <c r="Q1350" s="380"/>
    </row>
    <row r="1351" spans="1:17" x14ac:dyDescent="0.2">
      <c r="A1351" s="334"/>
      <c r="B1351" s="380"/>
      <c r="C1351" s="334"/>
      <c r="D1351" s="334"/>
      <c r="E1351" s="380"/>
      <c r="F1351" s="378"/>
      <c r="G1351" s="380"/>
      <c r="H1351" s="380"/>
      <c r="I1351" s="383"/>
      <c r="J1351" s="334"/>
      <c r="K1351" s="382"/>
      <c r="L1351" s="380"/>
      <c r="M1351" s="380"/>
      <c r="N1351" s="380"/>
      <c r="O1351" s="380"/>
      <c r="P1351" s="380"/>
      <c r="Q1351" s="380"/>
    </row>
    <row r="1352" spans="1:17" x14ac:dyDescent="0.2">
      <c r="A1352" s="334" t="s">
        <v>1729</v>
      </c>
      <c r="B1352" s="380"/>
      <c r="C1352" s="380" t="s">
        <v>1551</v>
      </c>
      <c r="D1352" s="380">
        <v>-100</v>
      </c>
      <c r="E1352" s="380"/>
      <c r="F1352" s="378"/>
      <c r="G1352" s="380"/>
      <c r="H1352" s="380"/>
      <c r="I1352" s="383"/>
      <c r="J1352" s="380"/>
      <c r="K1352" s="382"/>
      <c r="L1352" s="380"/>
      <c r="M1352" s="380"/>
      <c r="N1352" s="380"/>
      <c r="O1352" s="380"/>
      <c r="P1352" s="380"/>
      <c r="Q1352" s="380"/>
    </row>
    <row r="1353" spans="1:17" x14ac:dyDescent="0.2">
      <c r="A1353" s="334" t="s">
        <v>1763</v>
      </c>
      <c r="B1353" s="380"/>
      <c r="C1353" s="334" t="s">
        <v>1882</v>
      </c>
      <c r="D1353" s="334">
        <v>17000</v>
      </c>
      <c r="E1353" s="384"/>
      <c r="F1353" s="378"/>
      <c r="G1353" s="380"/>
      <c r="H1353" s="380"/>
      <c r="I1353" s="385"/>
      <c r="J1353" s="334">
        <v>16800</v>
      </c>
      <c r="K1353" s="382"/>
      <c r="L1353" s="380"/>
      <c r="M1353" s="380"/>
      <c r="N1353" s="380"/>
      <c r="O1353" s="380"/>
      <c r="P1353" s="380"/>
      <c r="Q1353" s="380"/>
    </row>
    <row r="1354" spans="1:17" x14ac:dyDescent="0.2">
      <c r="A1354" s="380"/>
      <c r="B1354" s="380"/>
      <c r="C1354" s="380"/>
      <c r="D1354" s="394"/>
      <c r="E1354" s="380"/>
      <c r="F1354" s="378"/>
      <c r="G1354" s="380"/>
      <c r="H1354" s="380"/>
      <c r="I1354" s="383"/>
      <c r="J1354" s="394"/>
      <c r="K1354" s="382"/>
      <c r="L1354" s="380"/>
      <c r="M1354" s="380"/>
      <c r="N1354" s="380"/>
      <c r="O1354" s="380"/>
      <c r="P1354" s="380"/>
      <c r="Q1354" s="380"/>
    </row>
    <row r="1355" spans="1:17" ht="15.75" x14ac:dyDescent="0.25">
      <c r="A1355" s="380"/>
      <c r="B1355" s="380"/>
      <c r="C1355" s="380"/>
      <c r="D1355" s="334">
        <f>SUM(D1352:D1354)</f>
        <v>16900</v>
      </c>
      <c r="E1355" s="380"/>
      <c r="F1355" s="378"/>
      <c r="G1355" s="380"/>
      <c r="H1355" s="380"/>
      <c r="I1355" s="409"/>
      <c r="J1355" s="334">
        <f>SUM(J1353:J1353)</f>
        <v>16800</v>
      </c>
      <c r="K1355" s="382"/>
      <c r="L1355" s="380"/>
      <c r="M1355" s="380"/>
      <c r="N1355" s="380"/>
      <c r="O1355" s="380"/>
      <c r="P1355" s="380"/>
      <c r="Q1355" s="380"/>
    </row>
    <row r="1356" spans="1:17" ht="15.75" thickTop="1" x14ac:dyDescent="0.2">
      <c r="A1356" s="380"/>
      <c r="B1356" s="380"/>
      <c r="C1356" s="380"/>
      <c r="D1356" s="395"/>
      <c r="E1356" s="380"/>
      <c r="F1356" s="378"/>
      <c r="G1356" s="380"/>
      <c r="H1356" s="380"/>
      <c r="I1356" s="383"/>
      <c r="J1356" s="395"/>
      <c r="K1356" s="382"/>
      <c r="L1356" s="380"/>
      <c r="M1356" s="380"/>
      <c r="N1356" s="380"/>
      <c r="O1356" s="380"/>
      <c r="P1356" s="380"/>
      <c r="Q1356" s="380"/>
    </row>
    <row r="1357" spans="1:17" ht="15.75" x14ac:dyDescent="0.25">
      <c r="A1357" s="377"/>
      <c r="B1357" s="377"/>
      <c r="C1357" s="377"/>
      <c r="D1357" s="377"/>
      <c r="E1357" s="377"/>
      <c r="F1357" s="378"/>
      <c r="G1357" s="377"/>
      <c r="H1357" s="377"/>
      <c r="I1357" s="397"/>
      <c r="J1357" s="377"/>
      <c r="K1357" s="382"/>
      <c r="L1357" s="380"/>
      <c r="M1357" s="380"/>
      <c r="N1357" s="380"/>
      <c r="O1357" s="380"/>
      <c r="P1357" s="380"/>
      <c r="Q1357" s="380"/>
    </row>
    <row r="1358" spans="1:17" x14ac:dyDescent="0.2">
      <c r="A1358" s="380"/>
      <c r="B1358" s="380"/>
      <c r="C1358" s="380"/>
      <c r="D1358" s="380"/>
      <c r="E1358" s="380"/>
      <c r="F1358" s="378"/>
      <c r="G1358" s="380"/>
      <c r="H1358" s="380"/>
      <c r="I1358" s="383"/>
      <c r="J1358" s="380"/>
      <c r="K1358" s="382"/>
      <c r="L1358" s="380"/>
      <c r="M1358" s="380"/>
      <c r="N1358" s="380"/>
      <c r="O1358" s="380"/>
      <c r="P1358" s="380"/>
      <c r="Q1358" s="380"/>
    </row>
    <row r="1359" spans="1:17" x14ac:dyDescent="0.2">
      <c r="A1359" s="334" t="s">
        <v>1764</v>
      </c>
      <c r="B1359" s="380"/>
      <c r="C1359" s="380"/>
      <c r="D1359" s="380"/>
      <c r="E1359" s="380"/>
      <c r="F1359" s="378"/>
      <c r="G1359" s="380"/>
      <c r="H1359" s="380"/>
      <c r="I1359" s="383"/>
      <c r="J1359" s="380"/>
      <c r="K1359" s="382"/>
      <c r="L1359" s="380"/>
      <c r="M1359" s="380"/>
      <c r="N1359" s="380"/>
      <c r="O1359" s="380"/>
      <c r="P1359" s="380"/>
      <c r="Q1359" s="380"/>
    </row>
    <row r="1360" spans="1:17" x14ac:dyDescent="0.2">
      <c r="A1360" s="380"/>
      <c r="B1360" s="380"/>
      <c r="C1360" s="384" t="s">
        <v>2108</v>
      </c>
      <c r="D1360" s="380"/>
      <c r="E1360" s="380"/>
      <c r="F1360" s="378"/>
      <c r="G1360" s="380"/>
      <c r="H1360" s="380"/>
      <c r="I1360" s="383"/>
      <c r="J1360" s="380"/>
      <c r="K1360" s="382"/>
      <c r="L1360" s="380"/>
      <c r="M1360" s="380"/>
      <c r="N1360" s="380"/>
      <c r="O1360" s="380"/>
      <c r="P1360" s="380"/>
      <c r="Q1360" s="380"/>
    </row>
    <row r="1361" spans="1:17" x14ac:dyDescent="0.2">
      <c r="A1361" s="380"/>
      <c r="B1361" s="380"/>
      <c r="C1361" s="380"/>
      <c r="D1361" s="380"/>
      <c r="E1361" s="380"/>
      <c r="F1361" s="378"/>
      <c r="G1361" s="380"/>
      <c r="H1361" s="380"/>
      <c r="I1361" s="383"/>
      <c r="J1361" s="380"/>
      <c r="K1361" s="382"/>
      <c r="L1361" s="380"/>
      <c r="M1361" s="380"/>
      <c r="N1361" s="380"/>
      <c r="O1361" s="380"/>
      <c r="P1361" s="380"/>
      <c r="Q1361" s="380"/>
    </row>
    <row r="1362" spans="1:17" x14ac:dyDescent="0.2">
      <c r="A1362" s="334" t="s">
        <v>1723</v>
      </c>
      <c r="B1362" s="380"/>
      <c r="C1362" s="334" t="s">
        <v>1880</v>
      </c>
      <c r="D1362" s="334" t="s">
        <v>181</v>
      </c>
      <c r="E1362" s="380"/>
      <c r="F1362" s="378"/>
      <c r="G1362" s="380"/>
      <c r="H1362" s="380"/>
      <c r="I1362" s="383"/>
      <c r="J1362" s="334" t="s">
        <v>181</v>
      </c>
      <c r="K1362" s="382"/>
      <c r="L1362" s="380"/>
      <c r="M1362" s="380"/>
      <c r="N1362" s="380"/>
      <c r="O1362" s="380"/>
      <c r="P1362" s="380"/>
      <c r="Q1362" s="380"/>
    </row>
    <row r="1363" spans="1:17" x14ac:dyDescent="0.2">
      <c r="A1363" s="380"/>
      <c r="B1363" s="380"/>
      <c r="C1363" s="380"/>
      <c r="D1363" s="380"/>
      <c r="E1363" s="380"/>
      <c r="F1363" s="378"/>
      <c r="G1363" s="380"/>
      <c r="H1363" s="380"/>
      <c r="I1363" s="383"/>
      <c r="J1363" s="380"/>
      <c r="K1363" s="382"/>
      <c r="L1363" s="380"/>
      <c r="M1363" s="380"/>
      <c r="N1363" s="380"/>
      <c r="O1363" s="380"/>
      <c r="P1363" s="380"/>
      <c r="Q1363" s="380"/>
    </row>
    <row r="1364" spans="1:17" x14ac:dyDescent="0.2">
      <c r="A1364" s="334" t="s">
        <v>1729</v>
      </c>
      <c r="B1364" s="380"/>
      <c r="C1364" s="380" t="s">
        <v>1551</v>
      </c>
      <c r="D1364" s="377">
        <v>-1950</v>
      </c>
      <c r="E1364" s="384"/>
      <c r="F1364" s="378"/>
      <c r="G1364" s="380"/>
      <c r="H1364" s="380"/>
      <c r="I1364" s="382"/>
      <c r="J1364" s="377">
        <v>0</v>
      </c>
      <c r="K1364" s="382"/>
      <c r="L1364" s="380"/>
      <c r="M1364" s="380"/>
      <c r="N1364" s="380"/>
      <c r="O1364" s="380"/>
      <c r="P1364" s="380"/>
      <c r="Q1364" s="380"/>
    </row>
    <row r="1365" spans="1:17" x14ac:dyDescent="0.2">
      <c r="A1365" s="334" t="s">
        <v>1752</v>
      </c>
      <c r="B1365" s="380"/>
      <c r="C1365" s="334" t="s">
        <v>367</v>
      </c>
      <c r="D1365" s="377">
        <v>10500</v>
      </c>
      <c r="E1365" s="384"/>
      <c r="F1365" s="378"/>
      <c r="G1365" s="380"/>
      <c r="H1365" s="380"/>
      <c r="I1365" s="399"/>
      <c r="J1365" s="377">
        <v>10500</v>
      </c>
      <c r="K1365" s="382"/>
      <c r="L1365" s="380"/>
      <c r="M1365" s="380"/>
      <c r="N1365" s="380"/>
      <c r="O1365" s="380"/>
      <c r="P1365" s="380"/>
      <c r="Q1365" s="380"/>
    </row>
    <row r="1366" spans="1:17" x14ac:dyDescent="0.2">
      <c r="A1366" s="380"/>
      <c r="B1366" s="380"/>
      <c r="C1366" s="380"/>
      <c r="D1366" s="394"/>
      <c r="E1366" s="380"/>
      <c r="F1366" s="378"/>
      <c r="G1366" s="380"/>
      <c r="H1366" s="380"/>
      <c r="I1366" s="383"/>
      <c r="J1366" s="394"/>
      <c r="K1366" s="382"/>
      <c r="L1366" s="380"/>
      <c r="M1366" s="380"/>
      <c r="N1366" s="380"/>
      <c r="O1366" s="380"/>
      <c r="P1366" s="380"/>
      <c r="Q1366" s="380"/>
    </row>
    <row r="1367" spans="1:17" x14ac:dyDescent="0.2">
      <c r="A1367" s="380"/>
      <c r="B1367" s="380"/>
      <c r="C1367" s="380"/>
      <c r="D1367" s="334">
        <f>SUM(D1364:D1366)</f>
        <v>8550</v>
      </c>
      <c r="E1367" s="380"/>
      <c r="F1367" s="378"/>
      <c r="G1367" s="380"/>
      <c r="H1367" s="380"/>
      <c r="I1367" s="383"/>
      <c r="J1367" s="334">
        <f>SUM(J1364:J1366)</f>
        <v>10500</v>
      </c>
      <c r="K1367" s="382"/>
      <c r="L1367" s="380"/>
      <c r="M1367" s="380"/>
      <c r="N1367" s="380"/>
      <c r="O1367" s="380"/>
      <c r="P1367" s="380"/>
      <c r="Q1367" s="380"/>
    </row>
    <row r="1368" spans="1:17" ht="15.75" thickTop="1" x14ac:dyDescent="0.2">
      <c r="A1368" s="380"/>
      <c r="B1368" s="380"/>
      <c r="C1368" s="380"/>
      <c r="D1368" s="395"/>
      <c r="E1368" s="380"/>
      <c r="F1368" s="378"/>
      <c r="G1368" s="380"/>
      <c r="H1368" s="380"/>
      <c r="I1368" s="383"/>
      <c r="J1368" s="395"/>
      <c r="K1368" s="382"/>
      <c r="L1368" s="380"/>
      <c r="M1368" s="380"/>
      <c r="N1368" s="380"/>
      <c r="O1368" s="380"/>
      <c r="P1368" s="380"/>
      <c r="Q1368" s="380"/>
    </row>
    <row r="1369" spans="1:17" ht="15.75" x14ac:dyDescent="0.25">
      <c r="A1369" s="377"/>
      <c r="B1369" s="377"/>
      <c r="C1369" s="377"/>
      <c r="D1369" s="377"/>
      <c r="E1369" s="377"/>
      <c r="F1369" s="378"/>
      <c r="G1369" s="377"/>
      <c r="H1369" s="377"/>
      <c r="I1369" s="397"/>
      <c r="J1369" s="377"/>
      <c r="K1369" s="382"/>
      <c r="L1369" s="380"/>
      <c r="M1369" s="380"/>
      <c r="N1369" s="380"/>
      <c r="O1369" s="380"/>
      <c r="P1369" s="380"/>
      <c r="Q1369" s="380"/>
    </row>
    <row r="1370" spans="1:17" x14ac:dyDescent="0.2">
      <c r="A1370" s="380"/>
      <c r="B1370" s="380"/>
      <c r="C1370" s="380"/>
      <c r="D1370" s="380"/>
      <c r="E1370" s="380"/>
      <c r="F1370" s="378"/>
      <c r="G1370" s="380"/>
      <c r="H1370" s="380"/>
      <c r="I1370" s="383"/>
      <c r="J1370" s="380"/>
      <c r="K1370" s="382"/>
      <c r="L1370" s="380"/>
      <c r="M1370" s="380"/>
      <c r="N1370" s="380"/>
      <c r="O1370" s="380"/>
      <c r="P1370" s="380"/>
      <c r="Q1370" s="380"/>
    </row>
    <row r="1371" spans="1:17" x14ac:dyDescent="0.2">
      <c r="A1371" s="334" t="s">
        <v>1765</v>
      </c>
      <c r="B1371" s="380"/>
      <c r="C1371" s="380"/>
      <c r="D1371" s="380"/>
      <c r="E1371" s="380"/>
      <c r="F1371" s="378"/>
      <c r="G1371" s="380"/>
      <c r="H1371" s="380"/>
      <c r="I1371" s="383"/>
      <c r="J1371" s="380"/>
      <c r="K1371" s="382"/>
      <c r="L1371" s="380"/>
      <c r="M1371" s="380"/>
      <c r="N1371" s="380"/>
      <c r="O1371" s="380"/>
      <c r="P1371" s="380"/>
      <c r="Q1371" s="380"/>
    </row>
    <row r="1372" spans="1:17" x14ac:dyDescent="0.2">
      <c r="A1372" s="380"/>
      <c r="B1372" s="380"/>
      <c r="C1372" s="384" t="s">
        <v>2109</v>
      </c>
      <c r="D1372" s="380"/>
      <c r="E1372" s="380"/>
      <c r="F1372" s="378"/>
      <c r="G1372" s="380"/>
      <c r="H1372" s="380"/>
      <c r="I1372" s="383"/>
      <c r="J1372" s="380"/>
      <c r="K1372" s="382"/>
      <c r="L1372" s="380"/>
      <c r="M1372" s="380"/>
      <c r="N1372" s="380"/>
      <c r="O1372" s="380"/>
      <c r="P1372" s="380"/>
      <c r="Q1372" s="380"/>
    </row>
    <row r="1373" spans="1:17" x14ac:dyDescent="0.2">
      <c r="A1373" s="380"/>
      <c r="B1373" s="380"/>
      <c r="C1373" s="380"/>
      <c r="D1373" s="380"/>
      <c r="E1373" s="380"/>
      <c r="F1373" s="378"/>
      <c r="G1373" s="380"/>
      <c r="H1373" s="380"/>
      <c r="I1373" s="383"/>
      <c r="J1373" s="380"/>
      <c r="K1373" s="382"/>
      <c r="L1373" s="380"/>
      <c r="M1373" s="380"/>
      <c r="N1373" s="380"/>
      <c r="O1373" s="380"/>
      <c r="P1373" s="380"/>
      <c r="Q1373" s="380"/>
    </row>
    <row r="1374" spans="1:17" x14ac:dyDescent="0.2">
      <c r="A1374" s="334" t="s">
        <v>1723</v>
      </c>
      <c r="B1374" s="380"/>
      <c r="C1374" s="334" t="s">
        <v>1880</v>
      </c>
      <c r="D1374" s="334" t="s">
        <v>181</v>
      </c>
      <c r="E1374" s="380"/>
      <c r="F1374" s="378"/>
      <c r="G1374" s="380"/>
      <c r="H1374" s="380"/>
      <c r="I1374" s="383"/>
      <c r="J1374" s="334" t="s">
        <v>181</v>
      </c>
      <c r="K1374" s="382"/>
      <c r="L1374" s="380"/>
      <c r="M1374" s="380"/>
      <c r="N1374" s="380"/>
      <c r="O1374" s="380"/>
      <c r="P1374" s="380"/>
      <c r="Q1374" s="380"/>
    </row>
    <row r="1375" spans="1:17" x14ac:dyDescent="0.2">
      <c r="A1375" s="380"/>
      <c r="B1375" s="380"/>
      <c r="C1375" s="380"/>
      <c r="D1375" s="380"/>
      <c r="E1375" s="380"/>
      <c r="F1375" s="378"/>
      <c r="G1375" s="380"/>
      <c r="H1375" s="380"/>
      <c r="I1375" s="383"/>
      <c r="J1375" s="380"/>
      <c r="K1375" s="382"/>
      <c r="L1375" s="380"/>
      <c r="M1375" s="380"/>
      <c r="N1375" s="380"/>
      <c r="O1375" s="380"/>
      <c r="P1375" s="380"/>
      <c r="Q1375" s="380"/>
    </row>
    <row r="1376" spans="1:17" x14ac:dyDescent="0.2">
      <c r="A1376" s="334" t="s">
        <v>1569</v>
      </c>
      <c r="B1376" s="380"/>
      <c r="C1376" s="334" t="s">
        <v>1888</v>
      </c>
      <c r="D1376" s="377"/>
      <c r="E1376" s="384"/>
      <c r="F1376" s="378"/>
      <c r="G1376" s="380"/>
      <c r="H1376" s="380"/>
      <c r="I1376" s="399"/>
      <c r="J1376" s="377"/>
      <c r="K1376" s="382"/>
      <c r="L1376" s="380"/>
      <c r="M1376" s="380"/>
      <c r="N1376" s="380"/>
      <c r="O1376" s="380"/>
      <c r="P1376" s="380"/>
      <c r="Q1376" s="380"/>
    </row>
    <row r="1377" spans="1:17" x14ac:dyDescent="0.2">
      <c r="A1377" s="334" t="s">
        <v>1724</v>
      </c>
      <c r="B1377" s="380"/>
      <c r="C1377" s="334" t="s">
        <v>1881</v>
      </c>
      <c r="D1377" s="427">
        <v>3050</v>
      </c>
      <c r="E1377" s="384"/>
      <c r="F1377" s="378"/>
      <c r="G1377" s="380"/>
      <c r="H1377" s="380"/>
      <c r="I1377" s="399"/>
      <c r="J1377" s="377">
        <v>3050</v>
      </c>
      <c r="K1377" s="382"/>
      <c r="L1377" s="380"/>
      <c r="M1377" s="380"/>
      <c r="N1377" s="380"/>
      <c r="O1377" s="380"/>
      <c r="P1377" s="380"/>
      <c r="Q1377" s="380"/>
    </row>
    <row r="1378" spans="1:17" x14ac:dyDescent="0.2">
      <c r="A1378" s="334" t="s">
        <v>1726</v>
      </c>
      <c r="B1378" s="380"/>
      <c r="C1378" s="334" t="s">
        <v>1117</v>
      </c>
      <c r="D1378" s="427">
        <v>11000</v>
      </c>
      <c r="E1378" s="384"/>
      <c r="F1378" s="378"/>
      <c r="G1378" s="380"/>
      <c r="H1378" s="380"/>
      <c r="I1378" s="399"/>
      <c r="J1378" s="377">
        <v>11000</v>
      </c>
      <c r="K1378" s="382"/>
      <c r="L1378" s="380"/>
      <c r="M1378" s="380"/>
      <c r="N1378" s="380"/>
      <c r="O1378" s="380"/>
      <c r="P1378" s="380"/>
      <c r="Q1378" s="380"/>
    </row>
    <row r="1379" spans="1:17" x14ac:dyDescent="0.2">
      <c r="A1379" s="334" t="s">
        <v>1766</v>
      </c>
      <c r="B1379" s="380"/>
      <c r="C1379" s="334" t="s">
        <v>1883</v>
      </c>
      <c r="D1379" s="427">
        <v>350</v>
      </c>
      <c r="E1379" s="384"/>
      <c r="F1379" s="378"/>
      <c r="G1379" s="380"/>
      <c r="H1379" s="380"/>
      <c r="I1379" s="399"/>
      <c r="J1379" s="377">
        <v>350</v>
      </c>
      <c r="K1379" s="382"/>
      <c r="L1379" s="380"/>
      <c r="M1379" s="380"/>
      <c r="N1379" s="380"/>
      <c r="O1379" s="380"/>
      <c r="P1379" s="380"/>
      <c r="Q1379" s="380"/>
    </row>
    <row r="1380" spans="1:17" x14ac:dyDescent="0.2">
      <c r="A1380" s="334" t="s">
        <v>1752</v>
      </c>
      <c r="B1380" s="380"/>
      <c r="C1380" s="334" t="s">
        <v>367</v>
      </c>
      <c r="D1380" s="427">
        <v>9500</v>
      </c>
      <c r="E1380" s="384"/>
      <c r="F1380" s="378"/>
      <c r="G1380" s="380"/>
      <c r="H1380" s="380"/>
      <c r="I1380" s="399"/>
      <c r="J1380" s="377">
        <v>9500</v>
      </c>
      <c r="K1380" s="382"/>
      <c r="L1380" s="380"/>
      <c r="M1380" s="380"/>
      <c r="N1380" s="380"/>
      <c r="O1380" s="380"/>
      <c r="P1380" s="380"/>
      <c r="Q1380" s="380"/>
    </row>
    <row r="1381" spans="1:17" x14ac:dyDescent="0.2">
      <c r="A1381" s="384" t="s">
        <v>1577</v>
      </c>
      <c r="B1381" s="380"/>
      <c r="C1381" s="334" t="s">
        <v>1815</v>
      </c>
      <c r="D1381" s="427"/>
      <c r="E1381" s="384"/>
      <c r="F1381" s="378"/>
      <c r="G1381" s="380"/>
      <c r="H1381" s="380"/>
      <c r="I1381" s="399"/>
      <c r="J1381" s="377"/>
      <c r="K1381" s="382"/>
      <c r="L1381" s="380"/>
      <c r="M1381" s="380"/>
      <c r="N1381" s="380"/>
      <c r="O1381" s="380"/>
      <c r="P1381" s="380"/>
      <c r="Q1381" s="380"/>
    </row>
    <row r="1382" spans="1:17" x14ac:dyDescent="0.2">
      <c r="A1382" s="403" t="s">
        <v>1753</v>
      </c>
      <c r="B1382" s="380"/>
      <c r="C1382" s="334" t="s">
        <v>1816</v>
      </c>
      <c r="D1382" s="427">
        <v>1500</v>
      </c>
      <c r="E1382" s="384"/>
      <c r="F1382" s="378"/>
      <c r="G1382" s="380"/>
      <c r="H1382" s="380"/>
      <c r="I1382" s="399"/>
      <c r="J1382" s="377">
        <v>1500</v>
      </c>
      <c r="K1382" s="382"/>
      <c r="L1382" s="380"/>
      <c r="M1382" s="380"/>
      <c r="N1382" s="380"/>
      <c r="O1382" s="380"/>
      <c r="P1382" s="380"/>
      <c r="Q1382" s="380"/>
    </row>
    <row r="1383" spans="1:17" x14ac:dyDescent="0.2">
      <c r="A1383" s="334" t="s">
        <v>1738</v>
      </c>
      <c r="B1383" s="380"/>
      <c r="C1383" s="334" t="s">
        <v>1591</v>
      </c>
      <c r="D1383" s="427"/>
      <c r="E1383" s="384"/>
      <c r="F1383" s="378"/>
      <c r="G1383" s="380"/>
      <c r="H1383" s="380"/>
      <c r="I1383" s="399"/>
      <c r="J1383" s="377"/>
      <c r="K1383" s="382"/>
      <c r="L1383" s="380"/>
      <c r="M1383" s="380"/>
      <c r="N1383" s="380"/>
      <c r="O1383" s="380"/>
      <c r="P1383" s="380"/>
      <c r="Q1383" s="380"/>
    </row>
    <row r="1384" spans="1:17" x14ac:dyDescent="0.2">
      <c r="A1384" s="334" t="s">
        <v>1727</v>
      </c>
      <c r="B1384" s="380"/>
      <c r="C1384" s="334" t="s">
        <v>307</v>
      </c>
      <c r="D1384" s="427"/>
      <c r="E1384" s="384"/>
      <c r="F1384" s="378"/>
      <c r="G1384" s="380"/>
      <c r="H1384" s="380"/>
      <c r="I1384" s="399"/>
      <c r="J1384" s="377"/>
      <c r="K1384" s="382"/>
      <c r="L1384" s="380"/>
      <c r="M1384" s="380"/>
      <c r="N1384" s="380"/>
      <c r="O1384" s="380"/>
      <c r="P1384" s="380"/>
      <c r="Q1384" s="380"/>
    </row>
    <row r="1385" spans="1:17" x14ac:dyDescent="0.2">
      <c r="A1385" s="334" t="s">
        <v>1728</v>
      </c>
      <c r="B1385" s="380"/>
      <c r="C1385" s="334" t="s">
        <v>310</v>
      </c>
      <c r="D1385" s="427">
        <v>3250</v>
      </c>
      <c r="E1385" s="384"/>
      <c r="F1385" s="378"/>
      <c r="G1385" s="380"/>
      <c r="H1385" s="380"/>
      <c r="I1385" s="399"/>
      <c r="J1385" s="377">
        <v>3250</v>
      </c>
      <c r="K1385" s="382"/>
      <c r="L1385" s="380"/>
      <c r="M1385" s="380"/>
      <c r="N1385" s="380"/>
      <c r="O1385" s="380"/>
      <c r="P1385" s="380"/>
      <c r="Q1385" s="380"/>
    </row>
    <row r="1386" spans="1:17" x14ac:dyDescent="0.2">
      <c r="A1386" s="334" t="s">
        <v>1729</v>
      </c>
      <c r="B1386" s="380"/>
      <c r="C1386" s="380" t="s">
        <v>1551</v>
      </c>
      <c r="D1386" s="427">
        <v>1500</v>
      </c>
      <c r="E1386" s="384"/>
      <c r="F1386" s="378"/>
      <c r="G1386" s="380"/>
      <c r="H1386" s="380"/>
      <c r="I1386" s="399"/>
      <c r="J1386" s="377">
        <v>1500</v>
      </c>
      <c r="K1386" s="382"/>
      <c r="L1386" s="380"/>
      <c r="M1386" s="380"/>
      <c r="N1386" s="380"/>
      <c r="O1386" s="380"/>
      <c r="P1386" s="380"/>
      <c r="Q1386" s="380"/>
    </row>
    <row r="1387" spans="1:17" x14ac:dyDescent="0.2">
      <c r="A1387" s="334" t="s">
        <v>1729</v>
      </c>
      <c r="B1387" s="380"/>
      <c r="C1387" s="380" t="s">
        <v>1551</v>
      </c>
      <c r="D1387" s="377">
        <v>-15000</v>
      </c>
      <c r="E1387" s="384"/>
      <c r="F1387" s="378"/>
      <c r="G1387" s="380"/>
      <c r="H1387" s="380"/>
      <c r="I1387" s="399"/>
      <c r="J1387" s="377"/>
      <c r="K1387" s="382"/>
      <c r="L1387" s="380"/>
      <c r="M1387" s="380"/>
      <c r="N1387" s="380"/>
      <c r="O1387" s="380"/>
      <c r="P1387" s="380"/>
      <c r="Q1387" s="380"/>
    </row>
    <row r="1388" spans="1:17" x14ac:dyDescent="0.2">
      <c r="A1388" s="334" t="s">
        <v>1741</v>
      </c>
      <c r="B1388" s="380"/>
      <c r="C1388" s="334" t="s">
        <v>1748</v>
      </c>
      <c r="D1388" s="377"/>
      <c r="E1388" s="384"/>
      <c r="F1388" s="378"/>
      <c r="G1388" s="380"/>
      <c r="H1388" s="380"/>
      <c r="I1388" s="399"/>
      <c r="J1388" s="377"/>
      <c r="K1388" s="382"/>
      <c r="L1388" s="380"/>
      <c r="M1388" s="380"/>
      <c r="N1388" s="380"/>
      <c r="O1388" s="380"/>
      <c r="P1388" s="380"/>
      <c r="Q1388" s="380"/>
    </row>
    <row r="1389" spans="1:17" x14ac:dyDescent="0.2">
      <c r="A1389" s="334" t="s">
        <v>1567</v>
      </c>
      <c r="B1389" s="380"/>
      <c r="C1389" s="334" t="s">
        <v>3142</v>
      </c>
      <c r="D1389" s="377"/>
      <c r="E1389" s="384"/>
      <c r="F1389" s="378"/>
      <c r="G1389" s="380"/>
      <c r="H1389" s="380"/>
      <c r="I1389" s="399"/>
      <c r="J1389" s="377"/>
      <c r="K1389" s="382"/>
      <c r="L1389" s="380"/>
      <c r="M1389" s="380"/>
      <c r="N1389" s="380"/>
      <c r="O1389" s="380"/>
      <c r="P1389" s="380"/>
      <c r="Q1389" s="380"/>
    </row>
    <row r="1390" spans="1:17" x14ac:dyDescent="0.2">
      <c r="A1390" s="380"/>
      <c r="B1390" s="380"/>
      <c r="C1390" s="380"/>
      <c r="D1390" s="410" t="s">
        <v>342</v>
      </c>
      <c r="E1390" s="380"/>
      <c r="F1390" s="378"/>
      <c r="G1390" s="380"/>
      <c r="H1390" s="380"/>
      <c r="I1390" s="383"/>
      <c r="J1390" s="410" t="s">
        <v>342</v>
      </c>
      <c r="K1390" s="382"/>
      <c r="L1390" s="380"/>
      <c r="M1390" s="380"/>
      <c r="N1390" s="380"/>
      <c r="O1390" s="380"/>
      <c r="P1390" s="380"/>
      <c r="Q1390" s="380"/>
    </row>
    <row r="1391" spans="1:17" x14ac:dyDescent="0.2">
      <c r="A1391" s="380"/>
      <c r="B1391" s="380"/>
      <c r="C1391" s="380"/>
      <c r="D1391" s="334">
        <f>SUM(D1376:D1389)</f>
        <v>15150</v>
      </c>
      <c r="E1391" s="380"/>
      <c r="F1391" s="378"/>
      <c r="G1391" s="380"/>
      <c r="H1391" s="380"/>
      <c r="I1391" s="383"/>
      <c r="J1391" s="334">
        <f>SUM(J1376:J1389)</f>
        <v>30150</v>
      </c>
      <c r="K1391" s="382"/>
      <c r="L1391" s="380"/>
      <c r="M1391" s="380"/>
      <c r="N1391" s="380"/>
      <c r="O1391" s="380"/>
      <c r="P1391" s="380"/>
      <c r="Q1391" s="380"/>
    </row>
    <row r="1392" spans="1:17" ht="15.75" thickTop="1" x14ac:dyDescent="0.2">
      <c r="A1392" s="380"/>
      <c r="B1392" s="380"/>
      <c r="C1392" s="380"/>
      <c r="D1392" s="395"/>
      <c r="E1392" s="380"/>
      <c r="F1392" s="378"/>
      <c r="G1392" s="380"/>
      <c r="H1392" s="380"/>
      <c r="I1392" s="383"/>
      <c r="J1392" s="395"/>
      <c r="K1392" s="382"/>
      <c r="L1392" s="380"/>
      <c r="M1392" s="380"/>
      <c r="N1392" s="380"/>
      <c r="O1392" s="380"/>
      <c r="P1392" s="380"/>
      <c r="Q1392" s="380"/>
    </row>
    <row r="1393" spans="1:17" ht="15.75" x14ac:dyDescent="0.25">
      <c r="A1393" s="377"/>
      <c r="B1393" s="377"/>
      <c r="C1393" s="377"/>
      <c r="D1393" s="377"/>
      <c r="E1393" s="377"/>
      <c r="F1393" s="378"/>
      <c r="G1393" s="377"/>
      <c r="H1393" s="377"/>
      <c r="I1393" s="397"/>
      <c r="J1393" s="377"/>
      <c r="K1393" s="382"/>
      <c r="L1393" s="380"/>
      <c r="M1393" s="380"/>
      <c r="N1393" s="380"/>
      <c r="O1393" s="380"/>
      <c r="P1393" s="380"/>
      <c r="Q1393" s="380"/>
    </row>
    <row r="1394" spans="1:17" x14ac:dyDescent="0.2">
      <c r="A1394" s="380"/>
      <c r="B1394" s="380"/>
      <c r="C1394" s="380"/>
      <c r="D1394" s="380"/>
      <c r="E1394" s="380"/>
      <c r="F1394" s="378"/>
      <c r="G1394" s="380"/>
      <c r="H1394" s="380"/>
      <c r="I1394" s="383"/>
      <c r="J1394" s="380"/>
      <c r="K1394" s="382"/>
      <c r="L1394" s="380"/>
      <c r="M1394" s="380"/>
      <c r="N1394" s="380"/>
      <c r="O1394" s="380"/>
      <c r="P1394" s="380"/>
      <c r="Q1394" s="380"/>
    </row>
    <row r="1395" spans="1:17" x14ac:dyDescent="0.2">
      <c r="A1395" s="334" t="s">
        <v>1255</v>
      </c>
      <c r="B1395" s="380"/>
      <c r="C1395" s="380"/>
      <c r="D1395" s="380"/>
      <c r="E1395" s="380"/>
      <c r="F1395" s="378"/>
      <c r="G1395" s="380"/>
      <c r="H1395" s="380"/>
      <c r="I1395" s="383"/>
      <c r="J1395" s="380"/>
      <c r="K1395" s="382"/>
      <c r="L1395" s="380"/>
      <c r="M1395" s="380"/>
      <c r="N1395" s="380"/>
      <c r="O1395" s="380"/>
      <c r="P1395" s="380"/>
      <c r="Q1395" s="380"/>
    </row>
    <row r="1396" spans="1:17" x14ac:dyDescent="0.2">
      <c r="A1396" s="380"/>
      <c r="B1396" s="380"/>
      <c r="C1396" s="384" t="s">
        <v>2110</v>
      </c>
      <c r="D1396" s="428"/>
      <c r="E1396" s="380"/>
      <c r="F1396" s="378"/>
      <c r="G1396" s="380"/>
      <c r="H1396" s="380"/>
      <c r="I1396" s="383"/>
      <c r="J1396" s="428"/>
      <c r="K1396" s="382"/>
      <c r="L1396" s="380"/>
      <c r="M1396" s="380"/>
      <c r="N1396" s="380"/>
      <c r="O1396" s="380"/>
      <c r="P1396" s="380"/>
      <c r="Q1396" s="380"/>
    </row>
    <row r="1397" spans="1:17" x14ac:dyDescent="0.2">
      <c r="A1397" s="380"/>
      <c r="B1397" s="380"/>
      <c r="C1397" s="380"/>
      <c r="D1397" s="380"/>
      <c r="E1397" s="380"/>
      <c r="F1397" s="378"/>
      <c r="G1397" s="380"/>
      <c r="H1397" s="380"/>
      <c r="I1397" s="383"/>
      <c r="J1397" s="380"/>
      <c r="K1397" s="382"/>
      <c r="L1397" s="380"/>
      <c r="M1397" s="380"/>
      <c r="N1397" s="380"/>
      <c r="O1397" s="380"/>
      <c r="P1397" s="380"/>
      <c r="Q1397" s="380"/>
    </row>
    <row r="1398" spans="1:17" x14ac:dyDescent="0.2">
      <c r="A1398" s="334" t="s">
        <v>1723</v>
      </c>
      <c r="B1398" s="380"/>
      <c r="C1398" s="428" t="s">
        <v>1880</v>
      </c>
      <c r="D1398" s="334" t="s">
        <v>181</v>
      </c>
      <c r="E1398" s="380"/>
      <c r="F1398" s="378"/>
      <c r="G1398" s="380"/>
      <c r="H1398" s="380"/>
      <c r="I1398" s="383"/>
      <c r="J1398" s="334" t="s">
        <v>181</v>
      </c>
      <c r="K1398" s="382"/>
      <c r="L1398" s="380"/>
      <c r="M1398" s="380"/>
      <c r="N1398" s="380"/>
      <c r="O1398" s="380"/>
      <c r="P1398" s="380"/>
      <c r="Q1398" s="380"/>
    </row>
    <row r="1399" spans="1:17" x14ac:dyDescent="0.2">
      <c r="A1399" s="380"/>
      <c r="B1399" s="380"/>
      <c r="C1399" s="380"/>
      <c r="D1399" s="380"/>
      <c r="E1399" s="380"/>
      <c r="F1399" s="378"/>
      <c r="G1399" s="380"/>
      <c r="H1399" s="380"/>
      <c r="I1399" s="383"/>
      <c r="J1399" s="380"/>
      <c r="K1399" s="382"/>
      <c r="L1399" s="380"/>
      <c r="M1399" s="380"/>
      <c r="N1399" s="380"/>
      <c r="O1399" s="380"/>
      <c r="P1399" s="380"/>
      <c r="Q1399" s="380"/>
    </row>
    <row r="1400" spans="1:17" x14ac:dyDescent="0.2">
      <c r="A1400" s="334" t="s">
        <v>1724</v>
      </c>
      <c r="B1400" s="380"/>
      <c r="C1400" s="334" t="s">
        <v>1881</v>
      </c>
      <c r="D1400" s="377">
        <v>7500</v>
      </c>
      <c r="E1400" s="384"/>
      <c r="F1400" s="378"/>
      <c r="G1400" s="380"/>
      <c r="H1400" s="380"/>
      <c r="I1400" s="399"/>
      <c r="J1400" s="377">
        <v>5000</v>
      </c>
      <c r="K1400" s="382"/>
      <c r="L1400" s="380"/>
      <c r="M1400" s="380"/>
      <c r="N1400" s="380"/>
      <c r="O1400" s="380"/>
      <c r="P1400" s="380"/>
      <c r="Q1400" s="380"/>
    </row>
    <row r="1401" spans="1:17" x14ac:dyDescent="0.2">
      <c r="A1401" s="334" t="s">
        <v>1725</v>
      </c>
      <c r="B1401" s="380"/>
      <c r="C1401" s="334" t="s">
        <v>1890</v>
      </c>
      <c r="D1401" s="377"/>
      <c r="E1401" s="380"/>
      <c r="F1401" s="378"/>
      <c r="G1401" s="380"/>
      <c r="H1401" s="380"/>
      <c r="I1401" s="399"/>
      <c r="J1401" s="377"/>
      <c r="K1401" s="382"/>
      <c r="L1401" s="380"/>
      <c r="M1401" s="380"/>
      <c r="N1401" s="380"/>
      <c r="O1401" s="380"/>
      <c r="P1401" s="380"/>
      <c r="Q1401" s="380"/>
    </row>
    <row r="1402" spans="1:17" x14ac:dyDescent="0.2">
      <c r="A1402" s="384" t="s">
        <v>1565</v>
      </c>
      <c r="B1402" s="380"/>
      <c r="C1402" s="334" t="s">
        <v>1927</v>
      </c>
      <c r="D1402" s="377"/>
      <c r="E1402" s="380"/>
      <c r="F1402" s="378"/>
      <c r="G1402" s="380"/>
      <c r="H1402" s="380"/>
      <c r="I1402" s="399"/>
      <c r="J1402" s="377"/>
      <c r="K1402" s="382"/>
      <c r="L1402" s="380"/>
      <c r="M1402" s="380"/>
      <c r="N1402" s="380"/>
      <c r="O1402" s="380"/>
      <c r="P1402" s="380"/>
      <c r="Q1402" s="380"/>
    </row>
    <row r="1403" spans="1:17" x14ac:dyDescent="0.2">
      <c r="A1403" s="334" t="s">
        <v>1737</v>
      </c>
      <c r="B1403" s="380"/>
      <c r="C1403" s="334" t="s">
        <v>1984</v>
      </c>
      <c r="D1403" s="377"/>
      <c r="E1403" s="380"/>
      <c r="F1403" s="378"/>
      <c r="G1403" s="380"/>
      <c r="H1403" s="380"/>
      <c r="I1403" s="399"/>
      <c r="J1403" s="377"/>
      <c r="K1403" s="382"/>
      <c r="L1403" s="380"/>
      <c r="M1403" s="380"/>
      <c r="N1403" s="380"/>
      <c r="O1403" s="380"/>
      <c r="P1403" s="380"/>
      <c r="Q1403" s="380"/>
    </row>
    <row r="1404" spans="1:17" x14ac:dyDescent="0.2">
      <c r="A1404" s="334" t="s">
        <v>1726</v>
      </c>
      <c r="B1404" s="380"/>
      <c r="C1404" s="334" t="s">
        <v>1117</v>
      </c>
      <c r="D1404" s="377"/>
      <c r="E1404" s="380"/>
      <c r="F1404" s="378"/>
      <c r="G1404" s="380"/>
      <c r="H1404" s="380"/>
      <c r="I1404" s="399"/>
      <c r="J1404" s="377"/>
      <c r="K1404" s="382"/>
      <c r="L1404" s="380"/>
      <c r="M1404" s="380"/>
      <c r="N1404" s="380"/>
      <c r="O1404" s="380"/>
      <c r="P1404" s="380"/>
      <c r="Q1404" s="380"/>
    </row>
    <row r="1405" spans="1:17" x14ac:dyDescent="0.2">
      <c r="A1405" s="334" t="s">
        <v>1738</v>
      </c>
      <c r="B1405" s="380"/>
      <c r="C1405" s="334" t="s">
        <v>1591</v>
      </c>
      <c r="D1405" s="377"/>
      <c r="E1405" s="380"/>
      <c r="F1405" s="378"/>
      <c r="G1405" s="380"/>
      <c r="H1405" s="380"/>
      <c r="I1405" s="399"/>
      <c r="J1405" s="377"/>
      <c r="K1405" s="382"/>
      <c r="L1405" s="380"/>
      <c r="M1405" s="380"/>
      <c r="N1405" s="380"/>
      <c r="O1405" s="380"/>
      <c r="P1405" s="380"/>
      <c r="Q1405" s="380"/>
    </row>
    <row r="1406" spans="1:17" x14ac:dyDescent="0.2">
      <c r="A1406" s="334" t="s">
        <v>1728</v>
      </c>
      <c r="B1406" s="380"/>
      <c r="C1406" s="334" t="s">
        <v>310</v>
      </c>
      <c r="D1406" s="377"/>
      <c r="E1406" s="380"/>
      <c r="F1406" s="378"/>
      <c r="G1406" s="380"/>
      <c r="H1406" s="380"/>
      <c r="I1406" s="399"/>
      <c r="J1406" s="377"/>
      <c r="K1406" s="382"/>
      <c r="L1406" s="380"/>
      <c r="M1406" s="380"/>
      <c r="N1406" s="380"/>
      <c r="O1406" s="380"/>
      <c r="P1406" s="380"/>
      <c r="Q1406" s="380"/>
    </row>
    <row r="1407" spans="1:17" x14ac:dyDescent="0.2">
      <c r="A1407" s="334" t="s">
        <v>1729</v>
      </c>
      <c r="B1407" s="380"/>
      <c r="C1407" s="380" t="s">
        <v>1551</v>
      </c>
      <c r="D1407" s="377">
        <f>-1500-3000</f>
        <v>-4500</v>
      </c>
      <c r="E1407" s="380"/>
      <c r="F1407" s="378"/>
      <c r="G1407" s="380"/>
      <c r="H1407" s="380"/>
      <c r="I1407" s="399"/>
      <c r="J1407" s="377"/>
      <c r="K1407" s="382"/>
      <c r="L1407" s="380"/>
      <c r="M1407" s="380"/>
      <c r="N1407" s="380"/>
      <c r="O1407" s="380"/>
      <c r="P1407" s="380"/>
      <c r="Q1407" s="380"/>
    </row>
    <row r="1408" spans="1:17" x14ac:dyDescent="0.2">
      <c r="A1408" s="334" t="s">
        <v>1735</v>
      </c>
      <c r="B1408" s="380"/>
      <c r="C1408" s="380" t="s">
        <v>194</v>
      </c>
      <c r="D1408" s="377"/>
      <c r="E1408" s="380"/>
      <c r="F1408" s="378"/>
      <c r="G1408" s="380"/>
      <c r="H1408" s="380"/>
      <c r="I1408" s="399"/>
      <c r="J1408" s="377"/>
      <c r="K1408" s="382"/>
      <c r="L1408" s="380"/>
      <c r="M1408" s="380"/>
      <c r="N1408" s="380"/>
      <c r="O1408" s="380"/>
      <c r="P1408" s="380"/>
      <c r="Q1408" s="380"/>
    </row>
    <row r="1409" spans="1:17" x14ac:dyDescent="0.2">
      <c r="A1409" s="384" t="s">
        <v>1741</v>
      </c>
      <c r="B1409" s="380"/>
      <c r="C1409" s="334" t="s">
        <v>1748</v>
      </c>
      <c r="D1409" s="377"/>
      <c r="E1409" s="380"/>
      <c r="F1409" s="378"/>
      <c r="G1409" s="380"/>
      <c r="H1409" s="380"/>
      <c r="I1409" s="399"/>
      <c r="J1409" s="377"/>
      <c r="K1409" s="382"/>
      <c r="L1409" s="380"/>
      <c r="M1409" s="380"/>
      <c r="N1409" s="380"/>
      <c r="O1409" s="380"/>
      <c r="P1409" s="380"/>
      <c r="Q1409" s="380"/>
    </row>
    <row r="1410" spans="1:17" x14ac:dyDescent="0.2">
      <c r="A1410" s="334" t="s">
        <v>1572</v>
      </c>
      <c r="B1410" s="380"/>
      <c r="C1410" s="334" t="s">
        <v>3134</v>
      </c>
      <c r="D1410" s="377"/>
      <c r="E1410" s="380"/>
      <c r="F1410" s="378"/>
      <c r="G1410" s="380"/>
      <c r="H1410" s="380"/>
      <c r="I1410" s="399"/>
      <c r="J1410" s="377"/>
      <c r="K1410" s="382"/>
      <c r="L1410" s="380"/>
      <c r="M1410" s="380"/>
      <c r="N1410" s="380"/>
      <c r="O1410" s="380"/>
      <c r="P1410" s="380"/>
      <c r="Q1410" s="380"/>
    </row>
    <row r="1411" spans="1:17" x14ac:dyDescent="0.2">
      <c r="A1411" s="334" t="s">
        <v>1730</v>
      </c>
      <c r="B1411" s="380"/>
      <c r="C1411" s="334" t="s">
        <v>1985</v>
      </c>
      <c r="D1411" s="377"/>
      <c r="E1411" s="380"/>
      <c r="F1411" s="378"/>
      <c r="G1411" s="380"/>
      <c r="H1411" s="380"/>
      <c r="I1411" s="399"/>
      <c r="J1411" s="377"/>
      <c r="K1411" s="382"/>
      <c r="L1411" s="380"/>
      <c r="M1411" s="380"/>
      <c r="N1411" s="380"/>
      <c r="O1411" s="380"/>
      <c r="P1411" s="380"/>
      <c r="Q1411" s="380"/>
    </row>
    <row r="1412" spans="1:17" x14ac:dyDescent="0.2">
      <c r="A1412" s="334" t="s">
        <v>1567</v>
      </c>
      <c r="B1412" s="380"/>
      <c r="C1412" s="334" t="s">
        <v>3142</v>
      </c>
      <c r="D1412" s="377"/>
      <c r="E1412" s="380"/>
      <c r="F1412" s="378"/>
      <c r="G1412" s="380"/>
      <c r="H1412" s="380"/>
      <c r="I1412" s="399"/>
      <c r="J1412" s="377"/>
      <c r="K1412" s="382"/>
      <c r="L1412" s="380"/>
      <c r="M1412" s="380"/>
      <c r="N1412" s="380"/>
      <c r="O1412" s="380"/>
      <c r="P1412" s="380"/>
      <c r="Q1412" s="380"/>
    </row>
    <row r="1413" spans="1:17" x14ac:dyDescent="0.2">
      <c r="A1413" s="380"/>
      <c r="B1413" s="380"/>
      <c r="C1413" s="380"/>
      <c r="D1413" s="410" t="s">
        <v>342</v>
      </c>
      <c r="E1413" s="380"/>
      <c r="F1413" s="378"/>
      <c r="G1413" s="380"/>
      <c r="H1413" s="380"/>
      <c r="I1413" s="383"/>
      <c r="J1413" s="410" t="s">
        <v>342</v>
      </c>
      <c r="K1413" s="382"/>
      <c r="L1413" s="380"/>
      <c r="M1413" s="380"/>
      <c r="N1413" s="380"/>
      <c r="O1413" s="380"/>
      <c r="P1413" s="380"/>
      <c r="Q1413" s="380"/>
    </row>
    <row r="1414" spans="1:17" x14ac:dyDescent="0.2">
      <c r="A1414" s="380"/>
      <c r="B1414" s="380"/>
      <c r="C1414" s="380"/>
      <c r="D1414" s="334">
        <f>SUM(D1400:D1413)</f>
        <v>3000</v>
      </c>
      <c r="E1414" s="380"/>
      <c r="F1414" s="378"/>
      <c r="G1414" s="380"/>
      <c r="H1414" s="380"/>
      <c r="I1414" s="383"/>
      <c r="J1414" s="334">
        <f>SUM(J1400:J1413)</f>
        <v>5000</v>
      </c>
      <c r="K1414" s="382"/>
      <c r="L1414" s="380"/>
      <c r="M1414" s="380"/>
      <c r="N1414" s="380"/>
      <c r="O1414" s="380"/>
      <c r="P1414" s="380"/>
      <c r="Q1414" s="380"/>
    </row>
    <row r="1415" spans="1:17" ht="15.75" thickTop="1" x14ac:dyDescent="0.2">
      <c r="A1415" s="380"/>
      <c r="B1415" s="380"/>
      <c r="C1415" s="380"/>
      <c r="D1415" s="395"/>
      <c r="E1415" s="380"/>
      <c r="F1415" s="378"/>
      <c r="G1415" s="380"/>
      <c r="H1415" s="380"/>
      <c r="I1415" s="383"/>
      <c r="J1415" s="395"/>
      <c r="K1415" s="382"/>
      <c r="L1415" s="380"/>
      <c r="M1415" s="380"/>
      <c r="N1415" s="380"/>
      <c r="O1415" s="380"/>
      <c r="P1415" s="380"/>
      <c r="Q1415" s="380"/>
    </row>
    <row r="1416" spans="1:17" ht="15.75" x14ac:dyDescent="0.25">
      <c r="A1416" s="377"/>
      <c r="B1416" s="377"/>
      <c r="C1416" s="377"/>
      <c r="D1416" s="377"/>
      <c r="E1416" s="377"/>
      <c r="F1416" s="378"/>
      <c r="G1416" s="377"/>
      <c r="H1416" s="377"/>
      <c r="I1416" s="397"/>
      <c r="J1416" s="377"/>
      <c r="K1416" s="382"/>
      <c r="L1416" s="380"/>
      <c r="M1416" s="380"/>
      <c r="N1416" s="380"/>
      <c r="O1416" s="380"/>
      <c r="P1416" s="380"/>
      <c r="Q1416" s="380"/>
    </row>
    <row r="1417" spans="1:17" x14ac:dyDescent="0.2">
      <c r="A1417" s="334" t="s">
        <v>1767</v>
      </c>
      <c r="B1417" s="380"/>
      <c r="C1417" s="380"/>
      <c r="D1417" s="380"/>
      <c r="E1417" s="380"/>
      <c r="F1417" s="378"/>
      <c r="G1417" s="380"/>
      <c r="H1417" s="380"/>
      <c r="I1417" s="383"/>
      <c r="J1417" s="380"/>
      <c r="K1417" s="382"/>
      <c r="L1417" s="380"/>
      <c r="M1417" s="380"/>
      <c r="N1417" s="380"/>
      <c r="O1417" s="380"/>
      <c r="P1417" s="380"/>
      <c r="Q1417" s="380"/>
    </row>
    <row r="1418" spans="1:17" x14ac:dyDescent="0.2">
      <c r="A1418" s="380"/>
      <c r="B1418" s="380"/>
      <c r="C1418" s="384" t="s">
        <v>2111</v>
      </c>
      <c r="D1418" s="380"/>
      <c r="E1418" s="380"/>
      <c r="F1418" s="378"/>
      <c r="G1418" s="380"/>
      <c r="H1418" s="380"/>
      <c r="I1418" s="383"/>
      <c r="J1418" s="380"/>
      <c r="K1418" s="382"/>
      <c r="L1418" s="380"/>
      <c r="M1418" s="380"/>
      <c r="N1418" s="380"/>
      <c r="O1418" s="380"/>
      <c r="P1418" s="380"/>
      <c r="Q1418" s="380"/>
    </row>
    <row r="1419" spans="1:17" x14ac:dyDescent="0.2">
      <c r="A1419" s="380"/>
      <c r="B1419" s="380"/>
      <c r="C1419" s="380"/>
      <c r="D1419" s="380"/>
      <c r="E1419" s="380"/>
      <c r="F1419" s="378"/>
      <c r="G1419" s="380"/>
      <c r="H1419" s="380"/>
      <c r="I1419" s="383"/>
      <c r="J1419" s="380"/>
      <c r="K1419" s="382"/>
      <c r="L1419" s="380"/>
      <c r="M1419" s="380"/>
      <c r="N1419" s="380"/>
      <c r="O1419" s="380"/>
      <c r="P1419" s="380"/>
      <c r="Q1419" s="380"/>
    </row>
    <row r="1420" spans="1:17" x14ac:dyDescent="0.2">
      <c r="A1420" s="334" t="s">
        <v>1723</v>
      </c>
      <c r="B1420" s="380"/>
      <c r="C1420" s="334" t="s">
        <v>1880</v>
      </c>
      <c r="D1420" s="334" t="s">
        <v>181</v>
      </c>
      <c r="E1420" s="380"/>
      <c r="F1420" s="378"/>
      <c r="G1420" s="380"/>
      <c r="H1420" s="380"/>
      <c r="I1420" s="383"/>
      <c r="J1420" s="334" t="s">
        <v>181</v>
      </c>
      <c r="K1420" s="382"/>
      <c r="L1420" s="380"/>
      <c r="M1420" s="380"/>
      <c r="N1420" s="380"/>
      <c r="O1420" s="380"/>
      <c r="P1420" s="380"/>
      <c r="Q1420" s="380"/>
    </row>
    <row r="1421" spans="1:17" x14ac:dyDescent="0.2">
      <c r="A1421" s="380"/>
      <c r="B1421" s="380"/>
      <c r="C1421" s="380"/>
      <c r="D1421" s="380"/>
      <c r="E1421" s="380"/>
      <c r="F1421" s="378"/>
      <c r="G1421" s="380"/>
      <c r="H1421" s="380"/>
      <c r="I1421" s="383"/>
      <c r="J1421" s="380"/>
      <c r="K1421" s="382"/>
      <c r="L1421" s="380"/>
      <c r="M1421" s="380"/>
      <c r="N1421" s="380"/>
      <c r="O1421" s="380"/>
      <c r="P1421" s="380"/>
      <c r="Q1421" s="380"/>
    </row>
    <row r="1422" spans="1:17" x14ac:dyDescent="0.2">
      <c r="A1422" s="334" t="s">
        <v>1724</v>
      </c>
      <c r="B1422" s="380"/>
      <c r="C1422" s="334" t="s">
        <v>1881</v>
      </c>
      <c r="D1422" s="377">
        <v>500</v>
      </c>
      <c r="E1422" s="384"/>
      <c r="F1422" s="378"/>
      <c r="G1422" s="380"/>
      <c r="H1422" s="380"/>
      <c r="I1422" s="399"/>
      <c r="J1422" s="377">
        <v>500</v>
      </c>
      <c r="K1422" s="382"/>
      <c r="L1422" s="380"/>
      <c r="M1422" s="380"/>
      <c r="N1422" s="380"/>
      <c r="O1422" s="380"/>
      <c r="P1422" s="380"/>
      <c r="Q1422" s="380"/>
    </row>
    <row r="1423" spans="1:17" x14ac:dyDescent="0.2">
      <c r="A1423" s="334" t="s">
        <v>1725</v>
      </c>
      <c r="B1423" s="380"/>
      <c r="C1423" s="334" t="s">
        <v>1890</v>
      </c>
      <c r="D1423" s="377"/>
      <c r="E1423" s="380"/>
      <c r="F1423" s="378"/>
      <c r="G1423" s="380"/>
      <c r="H1423" s="380"/>
      <c r="I1423" s="399"/>
      <c r="J1423" s="377"/>
      <c r="K1423" s="382"/>
      <c r="L1423" s="380"/>
      <c r="M1423" s="380"/>
      <c r="N1423" s="380"/>
      <c r="O1423" s="380"/>
      <c r="P1423" s="380"/>
      <c r="Q1423" s="380"/>
    </row>
    <row r="1424" spans="1:17" x14ac:dyDescent="0.2">
      <c r="A1424" s="334" t="s">
        <v>1729</v>
      </c>
      <c r="B1424" s="380"/>
      <c r="C1424" s="380" t="s">
        <v>1551</v>
      </c>
      <c r="D1424" s="377">
        <v>-500</v>
      </c>
      <c r="E1424" s="380"/>
      <c r="F1424" s="378"/>
      <c r="G1424" s="380"/>
      <c r="H1424" s="380"/>
      <c r="I1424" s="399"/>
      <c r="J1424" s="377"/>
      <c r="K1424" s="382"/>
      <c r="L1424" s="380"/>
      <c r="M1424" s="380"/>
      <c r="N1424" s="380"/>
      <c r="O1424" s="380"/>
      <c r="P1424" s="380"/>
      <c r="Q1424" s="380"/>
    </row>
    <row r="1425" spans="1:17" x14ac:dyDescent="0.2">
      <c r="A1425" s="334" t="s">
        <v>1728</v>
      </c>
      <c r="B1425" s="380"/>
      <c r="C1425" s="334" t="s">
        <v>310</v>
      </c>
      <c r="D1425" s="377"/>
      <c r="E1425" s="380"/>
      <c r="F1425" s="378"/>
      <c r="G1425" s="380"/>
      <c r="H1425" s="380"/>
      <c r="I1425" s="399"/>
      <c r="J1425" s="377"/>
      <c r="K1425" s="382"/>
      <c r="L1425" s="380"/>
      <c r="M1425" s="380"/>
      <c r="N1425" s="380"/>
      <c r="O1425" s="380"/>
      <c r="P1425" s="380"/>
      <c r="Q1425" s="380"/>
    </row>
    <row r="1426" spans="1:17" x14ac:dyDescent="0.2">
      <c r="A1426" s="334" t="s">
        <v>1572</v>
      </c>
      <c r="B1426" s="380"/>
      <c r="C1426" s="334" t="s">
        <v>3134</v>
      </c>
      <c r="D1426" s="377"/>
      <c r="E1426" s="380"/>
      <c r="F1426" s="378"/>
      <c r="G1426" s="380"/>
      <c r="H1426" s="380"/>
      <c r="I1426" s="399"/>
      <c r="J1426" s="377"/>
      <c r="K1426" s="382"/>
      <c r="L1426" s="380"/>
      <c r="M1426" s="380"/>
      <c r="N1426" s="380"/>
      <c r="O1426" s="380"/>
      <c r="P1426" s="380"/>
      <c r="Q1426" s="380"/>
    </row>
    <row r="1427" spans="1:17" x14ac:dyDescent="0.2">
      <c r="A1427" s="334" t="s">
        <v>1567</v>
      </c>
      <c r="B1427" s="380"/>
      <c r="C1427" s="334" t="s">
        <v>3142</v>
      </c>
      <c r="D1427" s="334"/>
      <c r="E1427" s="380"/>
      <c r="F1427" s="378"/>
      <c r="G1427" s="380"/>
      <c r="H1427" s="380"/>
      <c r="I1427" s="399"/>
      <c r="J1427" s="334"/>
      <c r="K1427" s="382"/>
      <c r="L1427" s="380"/>
      <c r="M1427" s="380"/>
      <c r="N1427" s="380"/>
      <c r="O1427" s="380"/>
      <c r="P1427" s="380"/>
      <c r="Q1427" s="380"/>
    </row>
    <row r="1428" spans="1:17" x14ac:dyDescent="0.2">
      <c r="A1428" s="380"/>
      <c r="B1428" s="380"/>
      <c r="C1428" s="380"/>
      <c r="D1428" s="410" t="s">
        <v>342</v>
      </c>
      <c r="E1428" s="380"/>
      <c r="F1428" s="378"/>
      <c r="G1428" s="380"/>
      <c r="H1428" s="380"/>
      <c r="I1428" s="383"/>
      <c r="J1428" s="410" t="s">
        <v>342</v>
      </c>
      <c r="K1428" s="382"/>
      <c r="L1428" s="380"/>
      <c r="M1428" s="380"/>
      <c r="N1428" s="380"/>
      <c r="O1428" s="380"/>
      <c r="P1428" s="380"/>
      <c r="Q1428" s="380"/>
    </row>
    <row r="1429" spans="1:17" x14ac:dyDescent="0.2">
      <c r="A1429" s="380"/>
      <c r="B1429" s="380"/>
      <c r="C1429" s="380"/>
      <c r="D1429" s="334">
        <f>SUM(D1422:D1428)</f>
        <v>0</v>
      </c>
      <c r="E1429" s="380"/>
      <c r="F1429" s="378"/>
      <c r="G1429" s="380"/>
      <c r="H1429" s="380"/>
      <c r="I1429" s="383"/>
      <c r="J1429" s="334">
        <f>SUM(J1422:J1428)</f>
        <v>500</v>
      </c>
      <c r="K1429" s="382"/>
      <c r="L1429" s="380"/>
      <c r="M1429" s="380"/>
      <c r="N1429" s="380"/>
      <c r="O1429" s="380"/>
      <c r="P1429" s="380"/>
      <c r="Q1429" s="380"/>
    </row>
    <row r="1430" spans="1:17" ht="15.75" thickTop="1" x14ac:dyDescent="0.2">
      <c r="A1430" s="380"/>
      <c r="B1430" s="380"/>
      <c r="C1430" s="380"/>
      <c r="D1430" s="395"/>
      <c r="E1430" s="380"/>
      <c r="F1430" s="378"/>
      <c r="G1430" s="380"/>
      <c r="H1430" s="380"/>
      <c r="I1430" s="383"/>
      <c r="J1430" s="395"/>
      <c r="K1430" s="382"/>
      <c r="L1430" s="380"/>
      <c r="M1430" s="380"/>
      <c r="N1430" s="380"/>
      <c r="O1430" s="380"/>
      <c r="P1430" s="380"/>
      <c r="Q1430" s="380"/>
    </row>
    <row r="1431" spans="1:17" ht="15.75" x14ac:dyDescent="0.25">
      <c r="A1431" s="377"/>
      <c r="B1431" s="377"/>
      <c r="C1431" s="377"/>
      <c r="D1431" s="377"/>
      <c r="E1431" s="377"/>
      <c r="F1431" s="378"/>
      <c r="G1431" s="377"/>
      <c r="H1431" s="377"/>
      <c r="I1431" s="397"/>
      <c r="J1431" s="377"/>
      <c r="K1431" s="382"/>
      <c r="L1431" s="380"/>
      <c r="M1431" s="380"/>
      <c r="N1431" s="380"/>
      <c r="O1431" s="380"/>
      <c r="P1431" s="380"/>
      <c r="Q1431" s="380"/>
    </row>
    <row r="1432" spans="1:17" x14ac:dyDescent="0.2">
      <c r="A1432" s="380"/>
      <c r="B1432" s="380"/>
      <c r="C1432" s="380"/>
      <c r="D1432" s="380"/>
      <c r="E1432" s="380"/>
      <c r="F1432" s="378"/>
      <c r="G1432" s="380"/>
      <c r="H1432" s="380"/>
      <c r="I1432" s="383"/>
      <c r="J1432" s="380"/>
      <c r="K1432" s="382"/>
      <c r="L1432" s="380"/>
      <c r="M1432" s="380"/>
      <c r="N1432" s="380"/>
      <c r="O1432" s="380"/>
      <c r="P1432" s="380"/>
      <c r="Q1432" s="380"/>
    </row>
    <row r="1433" spans="1:17" x14ac:dyDescent="0.2">
      <c r="A1433" s="334" t="s">
        <v>1768</v>
      </c>
      <c r="B1433" s="380"/>
      <c r="C1433" s="380"/>
      <c r="D1433" s="380"/>
      <c r="E1433" s="380"/>
      <c r="F1433" s="378"/>
      <c r="G1433" s="380"/>
      <c r="H1433" s="380"/>
      <c r="I1433" s="383"/>
      <c r="J1433" s="380"/>
      <c r="K1433" s="382"/>
      <c r="L1433" s="380"/>
      <c r="M1433" s="380"/>
      <c r="N1433" s="380"/>
      <c r="O1433" s="380"/>
      <c r="P1433" s="380"/>
      <c r="Q1433" s="380"/>
    </row>
    <row r="1434" spans="1:17" x14ac:dyDescent="0.2">
      <c r="A1434" s="380"/>
      <c r="B1434" s="380"/>
      <c r="C1434" s="384" t="s">
        <v>2112</v>
      </c>
      <c r="D1434" s="380"/>
      <c r="E1434" s="380"/>
      <c r="F1434" s="378"/>
      <c r="G1434" s="380"/>
      <c r="H1434" s="380"/>
      <c r="I1434" s="383"/>
      <c r="J1434" s="380"/>
      <c r="K1434" s="382"/>
      <c r="L1434" s="380"/>
      <c r="M1434" s="380"/>
      <c r="N1434" s="380"/>
      <c r="O1434" s="380"/>
      <c r="P1434" s="380"/>
      <c r="Q1434" s="380"/>
    </row>
    <row r="1435" spans="1:17" x14ac:dyDescent="0.2">
      <c r="A1435" s="380"/>
      <c r="B1435" s="380"/>
      <c r="C1435" s="380"/>
      <c r="D1435" s="380"/>
      <c r="E1435" s="380"/>
      <c r="F1435" s="378"/>
      <c r="G1435" s="380"/>
      <c r="H1435" s="380"/>
      <c r="I1435" s="383"/>
      <c r="J1435" s="380"/>
      <c r="K1435" s="382"/>
      <c r="L1435" s="380"/>
      <c r="M1435" s="380"/>
      <c r="N1435" s="380"/>
      <c r="O1435" s="380"/>
      <c r="P1435" s="380"/>
      <c r="Q1435" s="380"/>
    </row>
    <row r="1436" spans="1:17" x14ac:dyDescent="0.2">
      <c r="A1436" s="334" t="s">
        <v>1723</v>
      </c>
      <c r="B1436" s="380"/>
      <c r="C1436" s="334" t="s">
        <v>1880</v>
      </c>
      <c r="D1436" s="334" t="s">
        <v>181</v>
      </c>
      <c r="E1436" s="380"/>
      <c r="F1436" s="378"/>
      <c r="G1436" s="380"/>
      <c r="H1436" s="380"/>
      <c r="I1436" s="383"/>
      <c r="J1436" s="334" t="s">
        <v>181</v>
      </c>
      <c r="K1436" s="382"/>
      <c r="L1436" s="380"/>
      <c r="M1436" s="380"/>
      <c r="N1436" s="380"/>
      <c r="O1436" s="380"/>
      <c r="P1436" s="380"/>
      <c r="Q1436" s="380"/>
    </row>
    <row r="1437" spans="1:17" x14ac:dyDescent="0.2">
      <c r="A1437" s="380"/>
      <c r="B1437" s="380"/>
      <c r="C1437" s="380"/>
      <c r="D1437" s="380"/>
      <c r="E1437" s="380"/>
      <c r="F1437" s="378"/>
      <c r="G1437" s="380"/>
      <c r="H1437" s="380"/>
      <c r="I1437" s="383"/>
      <c r="J1437" s="380"/>
      <c r="K1437" s="382"/>
      <c r="L1437" s="380"/>
      <c r="M1437" s="380"/>
      <c r="N1437" s="380"/>
      <c r="O1437" s="380"/>
      <c r="P1437" s="380"/>
      <c r="Q1437" s="380"/>
    </row>
    <row r="1438" spans="1:17" x14ac:dyDescent="0.2">
      <c r="A1438" s="334" t="s">
        <v>1569</v>
      </c>
      <c r="B1438" s="380"/>
      <c r="C1438" s="334" t="s">
        <v>1888</v>
      </c>
      <c r="D1438" s="377">
        <v>19000</v>
      </c>
      <c r="E1438" s="384"/>
      <c r="F1438" s="378"/>
      <c r="G1438" s="380"/>
      <c r="H1438" s="380"/>
      <c r="I1438" s="382"/>
      <c r="J1438" s="377"/>
      <c r="K1438" s="382"/>
      <c r="L1438" s="380"/>
      <c r="M1438" s="380"/>
      <c r="N1438" s="380"/>
      <c r="O1438" s="380"/>
      <c r="P1438" s="380"/>
      <c r="Q1438" s="380"/>
    </row>
    <row r="1439" spans="1:17" x14ac:dyDescent="0.2">
      <c r="A1439" s="334" t="s">
        <v>1729</v>
      </c>
      <c r="B1439" s="380"/>
      <c r="C1439" s="380" t="s">
        <v>1551</v>
      </c>
      <c r="D1439" s="377">
        <f>-3800-10000</f>
        <v>-13800</v>
      </c>
      <c r="E1439" s="384"/>
      <c r="F1439" s="378"/>
      <c r="G1439" s="380"/>
      <c r="H1439" s="380"/>
      <c r="I1439" s="399"/>
      <c r="J1439" s="377">
        <v>19000</v>
      </c>
      <c r="K1439" s="382"/>
      <c r="L1439" s="380"/>
      <c r="M1439" s="380"/>
      <c r="N1439" s="380"/>
      <c r="O1439" s="380"/>
      <c r="P1439" s="380"/>
      <c r="Q1439" s="380"/>
    </row>
    <row r="1440" spans="1:17" x14ac:dyDescent="0.2">
      <c r="A1440" s="380"/>
      <c r="B1440" s="380"/>
      <c r="C1440" s="380"/>
      <c r="D1440" s="410" t="s">
        <v>342</v>
      </c>
      <c r="E1440" s="380"/>
      <c r="F1440" s="378"/>
      <c r="G1440" s="380"/>
      <c r="H1440" s="380"/>
      <c r="I1440" s="383"/>
      <c r="J1440" s="410" t="s">
        <v>342</v>
      </c>
      <c r="K1440" s="382"/>
      <c r="L1440" s="380"/>
      <c r="M1440" s="380"/>
      <c r="N1440" s="380"/>
      <c r="O1440" s="380"/>
      <c r="P1440" s="380"/>
      <c r="Q1440" s="380"/>
    </row>
    <row r="1441" spans="1:17" x14ac:dyDescent="0.2">
      <c r="A1441" s="380"/>
      <c r="B1441" s="380"/>
      <c r="C1441" s="380"/>
      <c r="D1441" s="334">
        <f>SUM(D1438:D1440)</f>
        <v>5200</v>
      </c>
      <c r="E1441" s="380"/>
      <c r="F1441" s="378"/>
      <c r="G1441" s="380"/>
      <c r="H1441" s="380"/>
      <c r="I1441" s="383"/>
      <c r="J1441" s="334">
        <f>SUM(J1438:J1440)</f>
        <v>19000</v>
      </c>
      <c r="K1441" s="382"/>
      <c r="L1441" s="380"/>
      <c r="M1441" s="380"/>
      <c r="N1441" s="380"/>
      <c r="O1441" s="380"/>
      <c r="P1441" s="380"/>
      <c r="Q1441" s="380"/>
    </row>
    <row r="1442" spans="1:17" ht="15.75" thickTop="1" x14ac:dyDescent="0.2">
      <c r="A1442" s="380"/>
      <c r="B1442" s="380"/>
      <c r="C1442" s="380"/>
      <c r="D1442" s="395"/>
      <c r="E1442" s="380"/>
      <c r="F1442" s="378"/>
      <c r="G1442" s="380"/>
      <c r="H1442" s="380"/>
      <c r="I1442" s="383"/>
      <c r="J1442" s="395"/>
      <c r="K1442" s="382"/>
      <c r="L1442" s="380"/>
      <c r="M1442" s="380"/>
      <c r="N1442" s="380"/>
      <c r="O1442" s="380"/>
      <c r="P1442" s="380"/>
      <c r="Q1442" s="380"/>
    </row>
    <row r="1443" spans="1:17" ht="15.75" x14ac:dyDescent="0.25">
      <c r="A1443" s="377"/>
      <c r="B1443" s="377"/>
      <c r="C1443" s="377"/>
      <c r="D1443" s="377"/>
      <c r="E1443" s="377"/>
      <c r="F1443" s="378"/>
      <c r="G1443" s="377"/>
      <c r="H1443" s="377"/>
      <c r="I1443" s="397"/>
      <c r="J1443" s="377"/>
      <c r="K1443" s="382"/>
      <c r="L1443" s="380"/>
      <c r="M1443" s="380"/>
      <c r="N1443" s="380"/>
      <c r="O1443" s="380"/>
      <c r="P1443" s="380"/>
      <c r="Q1443" s="380"/>
    </row>
    <row r="1444" spans="1:17" x14ac:dyDescent="0.2">
      <c r="A1444" s="334" t="s">
        <v>1769</v>
      </c>
      <c r="B1444" s="380"/>
      <c r="C1444" s="380"/>
      <c r="D1444" s="380"/>
      <c r="E1444" s="380"/>
      <c r="F1444" s="378"/>
      <c r="G1444" s="380"/>
      <c r="H1444" s="380"/>
      <c r="I1444" s="383"/>
      <c r="J1444" s="380"/>
      <c r="K1444" s="382"/>
      <c r="L1444" s="380"/>
      <c r="M1444" s="380"/>
      <c r="N1444" s="380"/>
      <c r="O1444" s="380"/>
      <c r="P1444" s="380"/>
      <c r="Q1444" s="380"/>
    </row>
    <row r="1445" spans="1:17" x14ac:dyDescent="0.2">
      <c r="A1445" s="380"/>
      <c r="B1445" s="380"/>
      <c r="C1445" s="384" t="s">
        <v>2113</v>
      </c>
      <c r="D1445" s="380"/>
      <c r="E1445" s="380"/>
      <c r="F1445" s="378"/>
      <c r="G1445" s="380"/>
      <c r="H1445" s="380"/>
      <c r="I1445" s="383"/>
      <c r="J1445" s="380"/>
      <c r="K1445" s="382"/>
      <c r="L1445" s="380"/>
      <c r="M1445" s="380"/>
      <c r="N1445" s="380"/>
      <c r="O1445" s="380"/>
      <c r="P1445" s="380"/>
      <c r="Q1445" s="380"/>
    </row>
    <row r="1446" spans="1:17" x14ac:dyDescent="0.2">
      <c r="A1446" s="380"/>
      <c r="B1446" s="380"/>
      <c r="C1446" s="380"/>
      <c r="D1446" s="380"/>
      <c r="E1446" s="380"/>
      <c r="F1446" s="378"/>
      <c r="G1446" s="380"/>
      <c r="H1446" s="380"/>
      <c r="I1446" s="383"/>
      <c r="J1446" s="380"/>
      <c r="K1446" s="382"/>
      <c r="L1446" s="380"/>
      <c r="M1446" s="380"/>
      <c r="N1446" s="380"/>
      <c r="O1446" s="380"/>
      <c r="P1446" s="380"/>
      <c r="Q1446" s="380"/>
    </row>
    <row r="1447" spans="1:17" x14ac:dyDescent="0.2">
      <c r="A1447" s="334" t="s">
        <v>1723</v>
      </c>
      <c r="B1447" s="380"/>
      <c r="C1447" s="334" t="s">
        <v>1880</v>
      </c>
      <c r="D1447" s="334" t="s">
        <v>181</v>
      </c>
      <c r="E1447" s="380"/>
      <c r="F1447" s="378"/>
      <c r="G1447" s="380"/>
      <c r="H1447" s="380"/>
      <c r="I1447" s="383"/>
      <c r="J1447" s="334" t="s">
        <v>181</v>
      </c>
      <c r="K1447" s="382"/>
      <c r="L1447" s="380"/>
      <c r="M1447" s="380"/>
      <c r="N1447" s="380"/>
      <c r="O1447" s="380"/>
      <c r="P1447" s="380"/>
      <c r="Q1447" s="380"/>
    </row>
    <row r="1448" spans="1:17" x14ac:dyDescent="0.2">
      <c r="A1448" s="380"/>
      <c r="B1448" s="380"/>
      <c r="C1448" s="380"/>
      <c r="D1448" s="380"/>
      <c r="E1448" s="380"/>
      <c r="F1448" s="378"/>
      <c r="G1448" s="380"/>
      <c r="H1448" s="380"/>
      <c r="I1448" s="383"/>
      <c r="J1448" s="380"/>
      <c r="K1448" s="382"/>
      <c r="L1448" s="380"/>
      <c r="M1448" s="380"/>
      <c r="N1448" s="380"/>
      <c r="O1448" s="380"/>
      <c r="P1448" s="380"/>
      <c r="Q1448" s="380"/>
    </row>
    <row r="1449" spans="1:17" x14ac:dyDescent="0.2">
      <c r="A1449" s="334" t="s">
        <v>1733</v>
      </c>
      <c r="B1449" s="380"/>
      <c r="C1449" s="334" t="s">
        <v>27</v>
      </c>
      <c r="D1449" s="377"/>
      <c r="E1449" s="380"/>
      <c r="F1449" s="378"/>
      <c r="G1449" s="380"/>
      <c r="H1449" s="380"/>
      <c r="I1449" s="399"/>
      <c r="J1449" s="377"/>
      <c r="K1449" s="382"/>
      <c r="L1449" s="380"/>
      <c r="M1449" s="380"/>
      <c r="N1449" s="380"/>
      <c r="O1449" s="380"/>
      <c r="P1449" s="380"/>
      <c r="Q1449" s="380"/>
    </row>
    <row r="1450" spans="1:17" x14ac:dyDescent="0.2">
      <c r="A1450" s="334" t="s">
        <v>1724</v>
      </c>
      <c r="B1450" s="380"/>
      <c r="C1450" s="334" t="s">
        <v>1881</v>
      </c>
      <c r="D1450" s="427">
        <v>1200</v>
      </c>
      <c r="E1450" s="384"/>
      <c r="F1450" s="378"/>
      <c r="G1450" s="380"/>
      <c r="H1450" s="380"/>
      <c r="I1450" s="399"/>
      <c r="J1450" s="377">
        <v>1200</v>
      </c>
      <c r="K1450" s="382"/>
      <c r="L1450" s="380"/>
      <c r="M1450" s="380"/>
      <c r="N1450" s="380"/>
      <c r="O1450" s="380"/>
      <c r="P1450" s="380"/>
      <c r="Q1450" s="380"/>
    </row>
    <row r="1451" spans="1:17" x14ac:dyDescent="0.2">
      <c r="A1451" s="334" t="s">
        <v>1576</v>
      </c>
      <c r="B1451" s="380"/>
      <c r="C1451" s="334" t="s">
        <v>1590</v>
      </c>
      <c r="D1451" s="427">
        <v>34000</v>
      </c>
      <c r="E1451" s="384"/>
      <c r="F1451" s="378"/>
      <c r="G1451" s="380"/>
      <c r="H1451" s="380"/>
      <c r="I1451" s="399"/>
      <c r="J1451" s="377">
        <v>34000</v>
      </c>
      <c r="K1451" s="382"/>
      <c r="L1451" s="380"/>
      <c r="M1451" s="380"/>
      <c r="N1451" s="380"/>
      <c r="O1451" s="380"/>
      <c r="P1451" s="380"/>
      <c r="Q1451" s="380"/>
    </row>
    <row r="1452" spans="1:17" x14ac:dyDescent="0.2">
      <c r="A1452" s="334" t="s">
        <v>1583</v>
      </c>
      <c r="B1452" s="380"/>
      <c r="C1452" s="334" t="s">
        <v>41</v>
      </c>
      <c r="D1452" s="427">
        <v>20</v>
      </c>
      <c r="E1452" s="384"/>
      <c r="F1452" s="378"/>
      <c r="G1452" s="380"/>
      <c r="H1452" s="380"/>
      <c r="I1452" s="399"/>
      <c r="J1452" s="377">
        <v>20</v>
      </c>
      <c r="K1452" s="382"/>
      <c r="L1452" s="380"/>
      <c r="M1452" s="380"/>
      <c r="N1452" s="380"/>
      <c r="O1452" s="380"/>
      <c r="P1452" s="380"/>
      <c r="Q1452" s="380"/>
    </row>
    <row r="1453" spans="1:17" x14ac:dyDescent="0.2">
      <c r="A1453" s="334" t="s">
        <v>1738</v>
      </c>
      <c r="B1453" s="380"/>
      <c r="C1453" s="334" t="s">
        <v>1591</v>
      </c>
      <c r="D1453" s="377"/>
      <c r="E1453" s="384"/>
      <c r="F1453" s="378"/>
      <c r="G1453" s="380"/>
      <c r="H1453" s="380"/>
      <c r="I1453" s="399"/>
      <c r="J1453" s="377"/>
      <c r="K1453" s="382"/>
      <c r="L1453" s="380"/>
      <c r="M1453" s="380"/>
      <c r="N1453" s="380"/>
      <c r="O1453" s="380"/>
      <c r="P1453" s="380"/>
      <c r="Q1453" s="380"/>
    </row>
    <row r="1454" spans="1:17" x14ac:dyDescent="0.2">
      <c r="A1454" s="334" t="s">
        <v>1729</v>
      </c>
      <c r="B1454" s="380"/>
      <c r="C1454" s="380" t="s">
        <v>1551</v>
      </c>
      <c r="D1454" s="377">
        <v>-30000</v>
      </c>
      <c r="E1454" s="384"/>
      <c r="F1454" s="378"/>
      <c r="G1454" s="380"/>
      <c r="H1454" s="380"/>
      <c r="I1454" s="399"/>
      <c r="J1454" s="377"/>
      <c r="K1454" s="382"/>
      <c r="L1454" s="380"/>
      <c r="M1454" s="380"/>
      <c r="N1454" s="380"/>
      <c r="O1454" s="380"/>
      <c r="P1454" s="380"/>
      <c r="Q1454" s="380"/>
    </row>
    <row r="1455" spans="1:17" x14ac:dyDescent="0.2">
      <c r="A1455" s="334" t="s">
        <v>1898</v>
      </c>
      <c r="B1455" s="380"/>
      <c r="C1455" s="334" t="s">
        <v>1</v>
      </c>
      <c r="D1455" s="377"/>
      <c r="E1455" s="384"/>
      <c r="F1455" s="378"/>
      <c r="G1455" s="380"/>
      <c r="H1455" s="380"/>
      <c r="I1455" s="399"/>
      <c r="J1455" s="377">
        <v>-32000</v>
      </c>
      <c r="K1455" s="382"/>
      <c r="L1455" s="380"/>
      <c r="M1455" s="380"/>
      <c r="N1455" s="380"/>
      <c r="O1455" s="380"/>
      <c r="P1455" s="380"/>
      <c r="Q1455" s="380"/>
    </row>
    <row r="1456" spans="1:17" x14ac:dyDescent="0.2">
      <c r="A1456" s="380"/>
      <c r="B1456" s="380"/>
      <c r="C1456" s="380"/>
      <c r="D1456" s="410" t="s">
        <v>342</v>
      </c>
      <c r="E1456" s="380"/>
      <c r="F1456" s="378"/>
      <c r="G1456" s="380"/>
      <c r="H1456" s="380"/>
      <c r="I1456" s="383"/>
      <c r="J1456" s="410" t="s">
        <v>342</v>
      </c>
      <c r="K1456" s="382"/>
      <c r="L1456" s="380"/>
      <c r="M1456" s="380"/>
      <c r="N1456" s="380"/>
      <c r="O1456" s="380"/>
      <c r="P1456" s="380"/>
      <c r="Q1456" s="380"/>
    </row>
    <row r="1457" spans="1:17" x14ac:dyDescent="0.2">
      <c r="A1457" s="334" t="s">
        <v>342</v>
      </c>
      <c r="B1457" s="380"/>
      <c r="C1457" s="380"/>
      <c r="D1457" s="334">
        <f>SUM(D1449:D1456)</f>
        <v>5220</v>
      </c>
      <c r="E1457" s="380"/>
      <c r="F1457" s="378"/>
      <c r="G1457" s="380"/>
      <c r="H1457" s="380"/>
      <c r="I1457" s="383"/>
      <c r="J1457" s="334">
        <f>SUM(J1449:J1456)</f>
        <v>3220</v>
      </c>
      <c r="K1457" s="382"/>
      <c r="L1457" s="380"/>
      <c r="M1457" s="380"/>
      <c r="N1457" s="380"/>
      <c r="O1457" s="380"/>
      <c r="P1457" s="380"/>
      <c r="Q1457" s="380"/>
    </row>
    <row r="1458" spans="1:17" ht="15.75" thickTop="1" x14ac:dyDescent="0.2">
      <c r="A1458" s="380"/>
      <c r="B1458" s="380"/>
      <c r="C1458" s="334" t="s">
        <v>342</v>
      </c>
      <c r="D1458" s="400">
        <f>D1457-D1449</f>
        <v>5220</v>
      </c>
      <c r="E1458" s="380"/>
      <c r="F1458" s="378"/>
      <c r="G1458" s="380"/>
      <c r="H1458" s="380"/>
      <c r="I1458" s="383"/>
      <c r="J1458" s="400">
        <f>J1457-J1449</f>
        <v>3220</v>
      </c>
      <c r="K1458" s="382"/>
      <c r="L1458" s="380"/>
      <c r="M1458" s="380"/>
      <c r="N1458" s="380"/>
      <c r="O1458" s="380"/>
      <c r="P1458" s="380"/>
      <c r="Q1458" s="380"/>
    </row>
    <row r="1459" spans="1:17" ht="15.75" x14ac:dyDescent="0.25">
      <c r="A1459" s="377"/>
      <c r="B1459" s="377"/>
      <c r="C1459" s="377"/>
      <c r="D1459" s="377"/>
      <c r="E1459" s="377"/>
      <c r="F1459" s="378"/>
      <c r="G1459" s="377"/>
      <c r="H1459" s="377"/>
      <c r="I1459" s="397"/>
      <c r="J1459" s="377"/>
      <c r="K1459" s="382"/>
      <c r="L1459" s="380"/>
      <c r="M1459" s="380"/>
      <c r="N1459" s="380"/>
      <c r="O1459" s="380"/>
      <c r="P1459" s="380"/>
      <c r="Q1459" s="380"/>
    </row>
    <row r="1460" spans="1:17" x14ac:dyDescent="0.2">
      <c r="A1460" s="380"/>
      <c r="B1460" s="380"/>
      <c r="C1460" s="380"/>
      <c r="D1460" s="380"/>
      <c r="E1460" s="380"/>
      <c r="F1460" s="378"/>
      <c r="G1460" s="380"/>
      <c r="H1460" s="380"/>
      <c r="I1460" s="383"/>
      <c r="J1460" s="380"/>
      <c r="K1460" s="382"/>
      <c r="L1460" s="380"/>
      <c r="M1460" s="380"/>
      <c r="N1460" s="380"/>
      <c r="O1460" s="380"/>
      <c r="P1460" s="380"/>
      <c r="Q1460" s="380"/>
    </row>
    <row r="1461" spans="1:17" x14ac:dyDescent="0.2">
      <c r="A1461" s="334" t="s">
        <v>1899</v>
      </c>
      <c r="B1461" s="380"/>
      <c r="C1461" s="380"/>
      <c r="D1461" s="334" t="s">
        <v>342</v>
      </c>
      <c r="E1461" s="380"/>
      <c r="F1461" s="378"/>
      <c r="G1461" s="380"/>
      <c r="H1461" s="380"/>
      <c r="I1461" s="383"/>
      <c r="J1461" s="334" t="s">
        <v>342</v>
      </c>
      <c r="K1461" s="382"/>
      <c r="L1461" s="380"/>
      <c r="M1461" s="380"/>
      <c r="N1461" s="380"/>
      <c r="O1461" s="380"/>
      <c r="P1461" s="380"/>
      <c r="Q1461" s="380"/>
    </row>
    <row r="1462" spans="1:17" x14ac:dyDescent="0.2">
      <c r="A1462" s="334" t="s">
        <v>342</v>
      </c>
      <c r="B1462" s="380"/>
      <c r="C1462" s="384" t="s">
        <v>2114</v>
      </c>
      <c r="D1462" s="380"/>
      <c r="E1462" s="380"/>
      <c r="F1462" s="378"/>
      <c r="G1462" s="380"/>
      <c r="H1462" s="380"/>
      <c r="I1462" s="383"/>
      <c r="J1462" s="380"/>
      <c r="K1462" s="382"/>
      <c r="L1462" s="380"/>
      <c r="M1462" s="380"/>
      <c r="N1462" s="380"/>
      <c r="O1462" s="380"/>
      <c r="P1462" s="380"/>
      <c r="Q1462" s="380"/>
    </row>
    <row r="1463" spans="1:17" x14ac:dyDescent="0.2">
      <c r="A1463" s="334" t="s">
        <v>342</v>
      </c>
      <c r="B1463" s="380"/>
      <c r="C1463" s="334" t="s">
        <v>342</v>
      </c>
      <c r="D1463" s="334" t="s">
        <v>342</v>
      </c>
      <c r="E1463" s="380"/>
      <c r="F1463" s="378"/>
      <c r="G1463" s="380"/>
      <c r="H1463" s="380"/>
      <c r="I1463" s="383"/>
      <c r="J1463" s="334" t="s">
        <v>342</v>
      </c>
      <c r="K1463" s="382"/>
      <c r="L1463" s="380"/>
      <c r="M1463" s="380"/>
      <c r="N1463" s="380"/>
      <c r="O1463" s="380"/>
      <c r="P1463" s="380"/>
      <c r="Q1463" s="380"/>
    </row>
    <row r="1464" spans="1:17" x14ac:dyDescent="0.2">
      <c r="A1464" s="334" t="s">
        <v>1723</v>
      </c>
      <c r="B1464" s="380"/>
      <c r="C1464" s="334" t="s">
        <v>1880</v>
      </c>
      <c r="D1464" s="334" t="s">
        <v>181</v>
      </c>
      <c r="E1464" s="380"/>
      <c r="F1464" s="378"/>
      <c r="G1464" s="380"/>
      <c r="H1464" s="380"/>
      <c r="I1464" s="383"/>
      <c r="J1464" s="334" t="s">
        <v>181</v>
      </c>
      <c r="K1464" s="382"/>
      <c r="L1464" s="380"/>
      <c r="M1464" s="380"/>
      <c r="N1464" s="380"/>
      <c r="O1464" s="380"/>
      <c r="P1464" s="380"/>
      <c r="Q1464" s="380"/>
    </row>
    <row r="1465" spans="1:17" x14ac:dyDescent="0.2">
      <c r="A1465" s="334" t="s">
        <v>342</v>
      </c>
      <c r="B1465" s="380"/>
      <c r="C1465" s="334" t="s">
        <v>342</v>
      </c>
      <c r="D1465" s="334" t="s">
        <v>342</v>
      </c>
      <c r="E1465" s="380"/>
      <c r="F1465" s="378"/>
      <c r="G1465" s="380"/>
      <c r="H1465" s="380"/>
      <c r="I1465" s="383"/>
      <c r="J1465" s="334" t="s">
        <v>342</v>
      </c>
      <c r="K1465" s="382"/>
      <c r="L1465" s="380"/>
      <c r="M1465" s="380"/>
      <c r="N1465" s="380"/>
      <c r="O1465" s="380"/>
      <c r="P1465" s="380"/>
      <c r="Q1465" s="380"/>
    </row>
    <row r="1466" spans="1:17" x14ac:dyDescent="0.2">
      <c r="A1466" s="334" t="s">
        <v>1724</v>
      </c>
      <c r="B1466" s="380"/>
      <c r="C1466" s="334" t="s">
        <v>1881</v>
      </c>
      <c r="D1466" s="377">
        <v>4000</v>
      </c>
      <c r="E1466" s="384"/>
      <c r="F1466" s="378"/>
      <c r="G1466" s="380"/>
      <c r="H1466" s="380"/>
      <c r="I1466" s="399"/>
      <c r="J1466" s="377">
        <v>1500</v>
      </c>
      <c r="K1466" s="382"/>
      <c r="L1466" s="380"/>
      <c r="M1466" s="380"/>
      <c r="N1466" s="380"/>
      <c r="O1466" s="380"/>
      <c r="P1466" s="380"/>
      <c r="Q1466" s="380"/>
    </row>
    <row r="1467" spans="1:17" x14ac:dyDescent="0.2">
      <c r="A1467" s="334" t="s">
        <v>1726</v>
      </c>
      <c r="B1467" s="380"/>
      <c r="C1467" s="334" t="s">
        <v>1117</v>
      </c>
      <c r="D1467" s="377">
        <v>3500</v>
      </c>
      <c r="E1467" s="384"/>
      <c r="F1467" s="378"/>
      <c r="G1467" s="380"/>
      <c r="H1467" s="380"/>
      <c r="I1467" s="399"/>
      <c r="J1467" s="377">
        <v>3500</v>
      </c>
      <c r="K1467" s="382"/>
      <c r="L1467" s="380"/>
      <c r="M1467" s="380"/>
      <c r="N1467" s="380"/>
      <c r="O1467" s="380"/>
      <c r="P1467" s="380"/>
      <c r="Q1467" s="380"/>
    </row>
    <row r="1468" spans="1:17" x14ac:dyDescent="0.2">
      <c r="A1468" s="384" t="s">
        <v>1828</v>
      </c>
      <c r="B1468" s="380"/>
      <c r="C1468" s="334" t="s">
        <v>2712</v>
      </c>
      <c r="D1468" s="377">
        <v>6000</v>
      </c>
      <c r="E1468" s="384"/>
      <c r="F1468" s="378"/>
      <c r="G1468" s="380"/>
      <c r="H1468" s="380"/>
      <c r="I1468" s="399"/>
      <c r="J1468" s="377">
        <v>6000</v>
      </c>
      <c r="K1468" s="382"/>
      <c r="L1468" s="380"/>
      <c r="M1468" s="380"/>
      <c r="N1468" s="380"/>
      <c r="O1468" s="380"/>
      <c r="P1468" s="380"/>
      <c r="Q1468" s="380"/>
    </row>
    <row r="1469" spans="1:17" x14ac:dyDescent="0.2">
      <c r="A1469" s="334" t="s">
        <v>1728</v>
      </c>
      <c r="B1469" s="380"/>
      <c r="C1469" s="334" t="s">
        <v>310</v>
      </c>
      <c r="D1469" s="377">
        <v>7500</v>
      </c>
      <c r="E1469" s="384"/>
      <c r="F1469" s="378"/>
      <c r="G1469" s="380"/>
      <c r="H1469" s="380"/>
      <c r="I1469" s="399"/>
      <c r="J1469" s="377">
        <v>7500</v>
      </c>
      <c r="K1469" s="382"/>
      <c r="L1469" s="380"/>
      <c r="M1469" s="380"/>
      <c r="N1469" s="380"/>
      <c r="O1469" s="380"/>
      <c r="P1469" s="380"/>
      <c r="Q1469" s="380"/>
    </row>
    <row r="1470" spans="1:17" x14ac:dyDescent="0.2">
      <c r="A1470" s="384" t="s">
        <v>1754</v>
      </c>
      <c r="B1470" s="380"/>
      <c r="C1470" s="334" t="s">
        <v>1929</v>
      </c>
      <c r="D1470" s="377">
        <v>1500</v>
      </c>
      <c r="E1470" s="384"/>
      <c r="F1470" s="378"/>
      <c r="G1470" s="380"/>
      <c r="H1470" s="380"/>
      <c r="I1470" s="399"/>
      <c r="J1470" s="377">
        <v>1500</v>
      </c>
      <c r="K1470" s="382"/>
      <c r="L1470" s="380"/>
      <c r="M1470" s="380"/>
      <c r="N1470" s="380"/>
      <c r="O1470" s="380"/>
      <c r="P1470" s="380"/>
      <c r="Q1470" s="380"/>
    </row>
    <row r="1471" spans="1:17" x14ac:dyDescent="0.2">
      <c r="A1471" s="334" t="s">
        <v>1729</v>
      </c>
      <c r="B1471" s="380"/>
      <c r="C1471" s="380" t="s">
        <v>1551</v>
      </c>
      <c r="D1471" s="377">
        <v>250</v>
      </c>
      <c r="E1471" s="384"/>
      <c r="F1471" s="378"/>
      <c r="G1471" s="380"/>
      <c r="H1471" s="380"/>
      <c r="I1471" s="399"/>
      <c r="J1471" s="377">
        <v>250</v>
      </c>
      <c r="K1471" s="382"/>
      <c r="L1471" s="380"/>
      <c r="M1471" s="380"/>
      <c r="N1471" s="380"/>
      <c r="O1471" s="380"/>
      <c r="P1471" s="380"/>
      <c r="Q1471" s="380"/>
    </row>
    <row r="1472" spans="1:17" x14ac:dyDescent="0.2">
      <c r="A1472" s="334" t="s">
        <v>1730</v>
      </c>
      <c r="B1472" s="380"/>
      <c r="C1472" s="334" t="s">
        <v>1985</v>
      </c>
      <c r="D1472" s="334">
        <v>4000</v>
      </c>
      <c r="E1472" s="384"/>
      <c r="F1472" s="378"/>
      <c r="G1472" s="380"/>
      <c r="H1472" s="380"/>
      <c r="I1472" s="385"/>
      <c r="J1472" s="334"/>
      <c r="K1472" s="382"/>
      <c r="L1472" s="380"/>
      <c r="M1472" s="380"/>
      <c r="N1472" s="380"/>
      <c r="O1472" s="380"/>
      <c r="P1472" s="380"/>
      <c r="Q1472" s="380"/>
    </row>
    <row r="1473" spans="1:17" x14ac:dyDescent="0.2">
      <c r="A1473" s="334" t="s">
        <v>1729</v>
      </c>
      <c r="B1473" s="380"/>
      <c r="C1473" s="380" t="s">
        <v>1551</v>
      </c>
      <c r="D1473" s="334">
        <v>-5350</v>
      </c>
      <c r="E1473" s="384"/>
      <c r="F1473" s="378"/>
      <c r="G1473" s="380"/>
      <c r="H1473" s="380"/>
      <c r="I1473" s="385"/>
      <c r="J1473" s="334"/>
      <c r="K1473" s="382"/>
      <c r="L1473" s="380"/>
      <c r="M1473" s="380"/>
      <c r="N1473" s="380"/>
      <c r="O1473" s="380"/>
      <c r="P1473" s="380"/>
      <c r="Q1473" s="380"/>
    </row>
    <row r="1474" spans="1:17" x14ac:dyDescent="0.2">
      <c r="A1474" s="380"/>
      <c r="B1474" s="380"/>
      <c r="C1474" s="380"/>
      <c r="D1474" s="410" t="s">
        <v>342</v>
      </c>
      <c r="E1474" s="380"/>
      <c r="F1474" s="378"/>
      <c r="G1474" s="380"/>
      <c r="H1474" s="380"/>
      <c r="I1474" s="383"/>
      <c r="J1474" s="410" t="s">
        <v>342</v>
      </c>
      <c r="K1474" s="382"/>
      <c r="L1474" s="380"/>
      <c r="M1474" s="380"/>
      <c r="N1474" s="380"/>
      <c r="O1474" s="380"/>
      <c r="P1474" s="380"/>
      <c r="Q1474" s="380"/>
    </row>
    <row r="1475" spans="1:17" x14ac:dyDescent="0.2">
      <c r="A1475" s="380"/>
      <c r="B1475" s="380"/>
      <c r="C1475" s="380"/>
      <c r="D1475" s="334">
        <f>SUM(D1466:D1473)</f>
        <v>21400</v>
      </c>
      <c r="E1475" s="380"/>
      <c r="F1475" s="378"/>
      <c r="G1475" s="380"/>
      <c r="H1475" s="380"/>
      <c r="I1475" s="383"/>
      <c r="J1475" s="334">
        <f>SUM(J1466:J1473)</f>
        <v>20250</v>
      </c>
      <c r="K1475" s="382"/>
      <c r="L1475" s="380"/>
      <c r="M1475" s="380"/>
      <c r="N1475" s="380"/>
      <c r="O1475" s="380"/>
      <c r="P1475" s="380"/>
      <c r="Q1475" s="380"/>
    </row>
    <row r="1476" spans="1:17" ht="15.75" thickTop="1" x14ac:dyDescent="0.2">
      <c r="A1476" s="380"/>
      <c r="B1476" s="380"/>
      <c r="C1476" s="380"/>
      <c r="D1476" s="395"/>
      <c r="E1476" s="380"/>
      <c r="F1476" s="378"/>
      <c r="G1476" s="380"/>
      <c r="H1476" s="380"/>
      <c r="I1476" s="383"/>
      <c r="J1476" s="395"/>
      <c r="K1476" s="382"/>
      <c r="L1476" s="380"/>
      <c r="M1476" s="380"/>
      <c r="N1476" s="380"/>
      <c r="O1476" s="380"/>
      <c r="P1476" s="380"/>
      <c r="Q1476" s="380"/>
    </row>
    <row r="1477" spans="1:17" ht="15.75" x14ac:dyDescent="0.25">
      <c r="A1477" s="377"/>
      <c r="B1477" s="377"/>
      <c r="C1477" s="377"/>
      <c r="D1477" s="377"/>
      <c r="E1477" s="377"/>
      <c r="F1477" s="378"/>
      <c r="G1477" s="377"/>
      <c r="H1477" s="377"/>
      <c r="I1477" s="397"/>
      <c r="J1477" s="377"/>
      <c r="K1477" s="382"/>
      <c r="L1477" s="380"/>
      <c r="M1477" s="380"/>
      <c r="N1477" s="380"/>
      <c r="O1477" s="380"/>
      <c r="P1477" s="380"/>
      <c r="Q1477" s="380"/>
    </row>
    <row r="1478" spans="1:17" x14ac:dyDescent="0.2">
      <c r="A1478" s="380"/>
      <c r="B1478" s="380"/>
      <c r="C1478" s="380"/>
      <c r="D1478" s="380"/>
      <c r="E1478" s="380"/>
      <c r="F1478" s="378"/>
      <c r="G1478" s="380"/>
      <c r="H1478" s="380"/>
      <c r="I1478" s="383"/>
      <c r="J1478" s="380"/>
      <c r="K1478" s="382"/>
      <c r="L1478" s="380"/>
      <c r="M1478" s="380"/>
      <c r="N1478" s="380"/>
      <c r="O1478" s="380"/>
      <c r="P1478" s="380"/>
      <c r="Q1478" s="380"/>
    </row>
    <row r="1479" spans="1:17" x14ac:dyDescent="0.2">
      <c r="A1479" s="334" t="s">
        <v>1900</v>
      </c>
      <c r="B1479" s="380"/>
      <c r="C1479" s="380"/>
      <c r="D1479" s="380"/>
      <c r="E1479" s="380"/>
      <c r="F1479" s="378"/>
      <c r="G1479" s="380"/>
      <c r="H1479" s="380"/>
      <c r="I1479" s="383"/>
      <c r="J1479" s="380"/>
      <c r="K1479" s="382"/>
      <c r="L1479" s="380"/>
      <c r="M1479" s="380"/>
      <c r="N1479" s="380"/>
      <c r="O1479" s="380"/>
      <c r="P1479" s="380"/>
      <c r="Q1479" s="380"/>
    </row>
    <row r="1480" spans="1:17" x14ac:dyDescent="0.2">
      <c r="A1480" s="380"/>
      <c r="B1480" s="380"/>
      <c r="C1480" s="384" t="s">
        <v>2064</v>
      </c>
      <c r="D1480" s="380"/>
      <c r="E1480" s="380"/>
      <c r="F1480" s="378"/>
      <c r="G1480" s="380"/>
      <c r="H1480" s="380"/>
      <c r="I1480" s="383"/>
      <c r="J1480" s="380"/>
      <c r="K1480" s="382"/>
      <c r="L1480" s="380"/>
      <c r="M1480" s="380"/>
      <c r="N1480" s="380"/>
      <c r="O1480" s="380"/>
      <c r="P1480" s="380"/>
      <c r="Q1480" s="380"/>
    </row>
    <row r="1481" spans="1:17" x14ac:dyDescent="0.2">
      <c r="A1481" s="380"/>
      <c r="B1481" s="380"/>
      <c r="C1481" s="380"/>
      <c r="D1481" s="380"/>
      <c r="E1481" s="380"/>
      <c r="F1481" s="378"/>
      <c r="G1481" s="380"/>
      <c r="H1481" s="380"/>
      <c r="I1481" s="383"/>
      <c r="J1481" s="380"/>
      <c r="K1481" s="382"/>
      <c r="L1481" s="380"/>
      <c r="M1481" s="380"/>
      <c r="N1481" s="380"/>
      <c r="O1481" s="380"/>
      <c r="P1481" s="380"/>
      <c r="Q1481" s="380"/>
    </row>
    <row r="1482" spans="1:17" x14ac:dyDescent="0.2">
      <c r="A1482" s="334" t="s">
        <v>1723</v>
      </c>
      <c r="B1482" s="380"/>
      <c r="C1482" s="334" t="s">
        <v>1880</v>
      </c>
      <c r="D1482" s="334" t="s">
        <v>181</v>
      </c>
      <c r="E1482" s="380"/>
      <c r="F1482" s="378"/>
      <c r="G1482" s="380"/>
      <c r="H1482" s="380"/>
      <c r="I1482" s="383"/>
      <c r="J1482" s="334" t="s">
        <v>181</v>
      </c>
      <c r="K1482" s="382"/>
      <c r="L1482" s="380"/>
      <c r="M1482" s="380"/>
      <c r="N1482" s="380"/>
      <c r="O1482" s="380"/>
      <c r="P1482" s="380"/>
      <c r="Q1482" s="380"/>
    </row>
    <row r="1483" spans="1:17" x14ac:dyDescent="0.2">
      <c r="A1483" s="334" t="s">
        <v>1729</v>
      </c>
      <c r="B1483" s="380"/>
      <c r="C1483" s="380" t="s">
        <v>1551</v>
      </c>
      <c r="D1483" s="380">
        <v>-70000</v>
      </c>
      <c r="E1483" s="380"/>
      <c r="F1483" s="378"/>
      <c r="G1483" s="380"/>
      <c r="H1483" s="380"/>
      <c r="I1483" s="383"/>
      <c r="J1483" s="380"/>
      <c r="K1483" s="382"/>
      <c r="L1483" s="380"/>
      <c r="M1483" s="380"/>
      <c r="N1483" s="380"/>
      <c r="O1483" s="380"/>
      <c r="P1483" s="380"/>
      <c r="Q1483" s="380"/>
    </row>
    <row r="1484" spans="1:17" x14ac:dyDescent="0.2">
      <c r="A1484" s="334" t="s">
        <v>1901</v>
      </c>
      <c r="B1484" s="380"/>
      <c r="C1484" s="334" t="s">
        <v>2</v>
      </c>
      <c r="D1484" s="377">
        <f>110000</f>
        <v>110000</v>
      </c>
      <c r="E1484" s="380"/>
      <c r="F1484" s="378"/>
      <c r="G1484" s="380"/>
      <c r="H1484" s="380"/>
      <c r="I1484" s="399"/>
      <c r="J1484" s="377">
        <v>110000</v>
      </c>
      <c r="K1484" s="382"/>
      <c r="L1484" s="380"/>
      <c r="M1484" s="380"/>
      <c r="N1484" s="380"/>
      <c r="O1484" s="380"/>
      <c r="P1484" s="380"/>
      <c r="Q1484" s="380"/>
    </row>
    <row r="1485" spans="1:17" x14ac:dyDescent="0.2">
      <c r="A1485" s="380"/>
      <c r="B1485" s="380"/>
      <c r="C1485" s="380"/>
      <c r="D1485" s="410" t="s">
        <v>342</v>
      </c>
      <c r="E1485" s="380"/>
      <c r="F1485" s="378"/>
      <c r="G1485" s="380"/>
      <c r="H1485" s="380"/>
      <c r="I1485" s="383"/>
      <c r="J1485" s="410" t="s">
        <v>342</v>
      </c>
      <c r="K1485" s="382"/>
      <c r="L1485" s="380"/>
      <c r="M1485" s="380"/>
      <c r="N1485" s="380"/>
      <c r="O1485" s="380"/>
      <c r="P1485" s="380"/>
      <c r="Q1485" s="380"/>
    </row>
    <row r="1486" spans="1:17" ht="15.75" x14ac:dyDescent="0.25">
      <c r="A1486" s="380"/>
      <c r="B1486" s="380"/>
      <c r="C1486" s="380"/>
      <c r="D1486" s="334">
        <f>SUM(D1483:D1485)</f>
        <v>40000</v>
      </c>
      <c r="E1486" s="380"/>
      <c r="F1486" s="378"/>
      <c r="G1486" s="380"/>
      <c r="H1486" s="380"/>
      <c r="I1486" s="409"/>
      <c r="J1486" s="334">
        <f>SUM(J1484:J1484)</f>
        <v>110000</v>
      </c>
      <c r="K1486" s="382"/>
      <c r="L1486" s="380"/>
      <c r="M1486" s="380"/>
      <c r="N1486" s="380"/>
      <c r="O1486" s="380"/>
      <c r="P1486" s="380"/>
      <c r="Q1486" s="380"/>
    </row>
    <row r="1487" spans="1:17" ht="15.75" thickTop="1" x14ac:dyDescent="0.2">
      <c r="A1487" s="380"/>
      <c r="B1487" s="380"/>
      <c r="C1487" s="380"/>
      <c r="D1487" s="395"/>
      <c r="E1487" s="380"/>
      <c r="F1487" s="378"/>
      <c r="G1487" s="380"/>
      <c r="H1487" s="380"/>
      <c r="I1487" s="383"/>
      <c r="J1487" s="395"/>
      <c r="K1487" s="382"/>
      <c r="L1487" s="380"/>
      <c r="M1487" s="380"/>
      <c r="N1487" s="380"/>
      <c r="O1487" s="380"/>
      <c r="P1487" s="380"/>
      <c r="Q1487" s="380"/>
    </row>
    <row r="1488" spans="1:17" ht="15.75" x14ac:dyDescent="0.25">
      <c r="A1488" s="377"/>
      <c r="B1488" s="377"/>
      <c r="C1488" s="377"/>
      <c r="D1488" s="377"/>
      <c r="E1488" s="377"/>
      <c r="F1488" s="378"/>
      <c r="G1488" s="377"/>
      <c r="H1488" s="377"/>
      <c r="I1488" s="397"/>
      <c r="J1488" s="377"/>
      <c r="K1488" s="382"/>
      <c r="L1488" s="380"/>
      <c r="M1488" s="380"/>
      <c r="N1488" s="380"/>
      <c r="O1488" s="380"/>
      <c r="P1488" s="380"/>
      <c r="Q1488" s="380"/>
    </row>
    <row r="1489" spans="1:17" x14ac:dyDescent="0.2">
      <c r="A1489" s="380"/>
      <c r="B1489" s="380"/>
      <c r="C1489" s="380"/>
      <c r="D1489" s="380"/>
      <c r="E1489" s="380"/>
      <c r="F1489" s="378"/>
      <c r="G1489" s="380"/>
      <c r="H1489" s="380"/>
      <c r="I1489" s="383"/>
      <c r="J1489" s="380"/>
      <c r="K1489" s="382"/>
      <c r="L1489" s="380"/>
      <c r="M1489" s="380"/>
      <c r="N1489" s="380"/>
      <c r="O1489" s="380"/>
      <c r="P1489" s="380"/>
      <c r="Q1489" s="380"/>
    </row>
    <row r="1490" spans="1:17" x14ac:dyDescent="0.2">
      <c r="A1490" s="334" t="s">
        <v>1902</v>
      </c>
      <c r="B1490" s="380"/>
      <c r="C1490" s="380"/>
      <c r="D1490" s="380"/>
      <c r="E1490" s="380"/>
      <c r="F1490" s="378"/>
      <c r="G1490" s="380"/>
      <c r="H1490" s="380"/>
      <c r="I1490" s="383"/>
      <c r="J1490" s="380"/>
      <c r="K1490" s="382"/>
      <c r="L1490" s="380"/>
      <c r="M1490" s="380"/>
      <c r="N1490" s="380"/>
      <c r="O1490" s="380"/>
      <c r="P1490" s="380"/>
      <c r="Q1490" s="380"/>
    </row>
    <row r="1491" spans="1:17" x14ac:dyDescent="0.2">
      <c r="A1491" s="380"/>
      <c r="B1491" s="380"/>
      <c r="C1491" s="384" t="s">
        <v>2115</v>
      </c>
      <c r="D1491" s="380"/>
      <c r="E1491" s="380"/>
      <c r="F1491" s="378"/>
      <c r="G1491" s="380"/>
      <c r="H1491" s="380"/>
      <c r="I1491" s="383"/>
      <c r="J1491" s="380"/>
      <c r="K1491" s="382"/>
      <c r="L1491" s="380"/>
      <c r="M1491" s="380"/>
      <c r="N1491" s="380"/>
      <c r="O1491" s="380"/>
      <c r="P1491" s="380"/>
      <c r="Q1491" s="380"/>
    </row>
    <row r="1492" spans="1:17" x14ac:dyDescent="0.2">
      <c r="A1492" s="380"/>
      <c r="B1492" s="380"/>
      <c r="C1492" s="380"/>
      <c r="D1492" s="380"/>
      <c r="E1492" s="380"/>
      <c r="F1492" s="378"/>
      <c r="G1492" s="380"/>
      <c r="H1492" s="380"/>
      <c r="I1492" s="383"/>
      <c r="J1492" s="380"/>
      <c r="K1492" s="382"/>
      <c r="L1492" s="380"/>
      <c r="M1492" s="380"/>
      <c r="N1492" s="380"/>
      <c r="O1492" s="380"/>
      <c r="P1492" s="380"/>
      <c r="Q1492" s="380"/>
    </row>
    <row r="1493" spans="1:17" x14ac:dyDescent="0.2">
      <c r="A1493" s="334" t="s">
        <v>1574</v>
      </c>
      <c r="B1493" s="380"/>
      <c r="C1493" s="428" t="s">
        <v>1880</v>
      </c>
      <c r="D1493" s="428" t="s">
        <v>181</v>
      </c>
      <c r="E1493" s="380"/>
      <c r="F1493" s="378"/>
      <c r="G1493" s="380"/>
      <c r="H1493" s="380"/>
      <c r="I1493" s="383"/>
      <c r="J1493" s="428" t="s">
        <v>181</v>
      </c>
      <c r="K1493" s="382"/>
      <c r="L1493" s="380"/>
      <c r="M1493" s="380"/>
      <c r="N1493" s="380"/>
      <c r="O1493" s="380"/>
      <c r="P1493" s="380"/>
      <c r="Q1493" s="380"/>
    </row>
    <row r="1494" spans="1:17" x14ac:dyDescent="0.2">
      <c r="A1494" s="334" t="s">
        <v>342</v>
      </c>
      <c r="B1494" s="380"/>
      <c r="C1494" s="334" t="s">
        <v>342</v>
      </c>
      <c r="D1494" s="334" t="s">
        <v>342</v>
      </c>
      <c r="E1494" s="380"/>
      <c r="F1494" s="378"/>
      <c r="G1494" s="380"/>
      <c r="H1494" s="380"/>
      <c r="I1494" s="383"/>
      <c r="J1494" s="334" t="s">
        <v>342</v>
      </c>
      <c r="K1494" s="382"/>
      <c r="L1494" s="380"/>
      <c r="M1494" s="380"/>
      <c r="N1494" s="380"/>
      <c r="O1494" s="380"/>
      <c r="P1494" s="380"/>
      <c r="Q1494" s="380"/>
    </row>
    <row r="1495" spans="1:17" x14ac:dyDescent="0.2">
      <c r="A1495" s="334" t="s">
        <v>1733</v>
      </c>
      <c r="B1495" s="380"/>
      <c r="C1495" s="334" t="s">
        <v>27</v>
      </c>
      <c r="D1495" s="377"/>
      <c r="E1495" s="384"/>
      <c r="F1495" s="378"/>
      <c r="G1495" s="380"/>
      <c r="H1495" s="380"/>
      <c r="I1495" s="399"/>
      <c r="J1495" s="377"/>
      <c r="K1495" s="382"/>
      <c r="L1495" s="380"/>
      <c r="M1495" s="380"/>
      <c r="N1495" s="380"/>
      <c r="O1495" s="380"/>
      <c r="P1495" s="380"/>
      <c r="Q1495" s="380"/>
    </row>
    <row r="1496" spans="1:17" x14ac:dyDescent="0.2">
      <c r="A1496" s="384" t="s">
        <v>1569</v>
      </c>
      <c r="B1496" s="380"/>
      <c r="C1496" s="334" t="s">
        <v>1888</v>
      </c>
      <c r="D1496" s="377">
        <v>1000</v>
      </c>
      <c r="E1496" s="384"/>
      <c r="F1496" s="378"/>
      <c r="G1496" s="380"/>
      <c r="H1496" s="380"/>
      <c r="I1496" s="399"/>
      <c r="J1496" s="377">
        <v>1000</v>
      </c>
      <c r="K1496" s="382"/>
      <c r="L1496" s="380"/>
      <c r="M1496" s="380"/>
      <c r="N1496" s="380"/>
      <c r="O1496" s="380"/>
      <c r="P1496" s="380"/>
      <c r="Q1496" s="380"/>
    </row>
    <row r="1497" spans="1:17" x14ac:dyDescent="0.2">
      <c r="A1497" s="384" t="s">
        <v>1743</v>
      </c>
      <c r="B1497" s="380"/>
      <c r="C1497" s="334" t="s">
        <v>1886</v>
      </c>
      <c r="D1497" s="377">
        <v>3000</v>
      </c>
      <c r="E1497" s="384"/>
      <c r="F1497" s="378"/>
      <c r="G1497" s="380"/>
      <c r="H1497" s="380"/>
      <c r="I1497" s="399"/>
      <c r="J1497" s="377">
        <v>3000</v>
      </c>
      <c r="K1497" s="382"/>
      <c r="L1497" s="380"/>
      <c r="M1497" s="380"/>
      <c r="N1497" s="380"/>
      <c r="O1497" s="380"/>
      <c r="P1497" s="380"/>
      <c r="Q1497" s="380"/>
    </row>
    <row r="1498" spans="1:17" x14ac:dyDescent="0.2">
      <c r="A1498" s="334" t="s">
        <v>1724</v>
      </c>
      <c r="B1498" s="380"/>
      <c r="C1498" s="334" t="s">
        <v>1881</v>
      </c>
      <c r="D1498" s="377">
        <v>25000</v>
      </c>
      <c r="E1498" s="384"/>
      <c r="F1498" s="378"/>
      <c r="G1498" s="380"/>
      <c r="H1498" s="380"/>
      <c r="I1498" s="399"/>
      <c r="J1498" s="377">
        <v>25000</v>
      </c>
      <c r="K1498" s="382"/>
      <c r="L1498" s="380"/>
      <c r="M1498" s="380"/>
      <c r="N1498" s="380"/>
      <c r="O1498" s="380"/>
      <c r="P1498" s="380"/>
      <c r="Q1498" s="380"/>
    </row>
    <row r="1499" spans="1:17" x14ac:dyDescent="0.2">
      <c r="A1499" s="334" t="s">
        <v>1736</v>
      </c>
      <c r="B1499" s="380"/>
      <c r="C1499" s="334" t="s">
        <v>1747</v>
      </c>
      <c r="D1499" s="377">
        <v>1000</v>
      </c>
      <c r="E1499" s="384"/>
      <c r="F1499" s="378"/>
      <c r="G1499" s="380"/>
      <c r="H1499" s="380"/>
      <c r="I1499" s="399"/>
      <c r="J1499" s="377">
        <v>1000</v>
      </c>
      <c r="K1499" s="382"/>
      <c r="L1499" s="380"/>
      <c r="M1499" s="380"/>
      <c r="N1499" s="380"/>
      <c r="O1499" s="380"/>
      <c r="P1499" s="380"/>
      <c r="Q1499" s="380"/>
    </row>
    <row r="1500" spans="1:17" x14ac:dyDescent="0.2">
      <c r="A1500" s="334" t="s">
        <v>1744</v>
      </c>
      <c r="B1500" s="380"/>
      <c r="C1500" s="334" t="s">
        <v>1254</v>
      </c>
      <c r="D1500" s="377">
        <v>250</v>
      </c>
      <c r="E1500" s="384"/>
      <c r="F1500" s="378"/>
      <c r="G1500" s="380"/>
      <c r="H1500" s="380"/>
      <c r="I1500" s="399"/>
      <c r="J1500" s="377">
        <v>250</v>
      </c>
      <c r="K1500" s="382"/>
      <c r="L1500" s="380"/>
      <c r="M1500" s="380"/>
      <c r="N1500" s="380"/>
      <c r="O1500" s="380"/>
      <c r="P1500" s="380"/>
      <c r="Q1500" s="380"/>
    </row>
    <row r="1501" spans="1:17" x14ac:dyDescent="0.2">
      <c r="A1501" s="384" t="s">
        <v>1575</v>
      </c>
      <c r="B1501" s="380"/>
      <c r="C1501" s="334" t="s">
        <v>1889</v>
      </c>
      <c r="D1501" s="377">
        <v>100</v>
      </c>
      <c r="E1501" s="384"/>
      <c r="F1501" s="378"/>
      <c r="G1501" s="380"/>
      <c r="H1501" s="380"/>
      <c r="I1501" s="399"/>
      <c r="J1501" s="377">
        <v>100</v>
      </c>
      <c r="K1501" s="382"/>
      <c r="L1501" s="380"/>
      <c r="M1501" s="380"/>
      <c r="N1501" s="380"/>
      <c r="O1501" s="380"/>
      <c r="P1501" s="380"/>
      <c r="Q1501" s="380"/>
    </row>
    <row r="1502" spans="1:17" x14ac:dyDescent="0.2">
      <c r="A1502" s="384" t="s">
        <v>1576</v>
      </c>
      <c r="B1502" s="380"/>
      <c r="C1502" s="334" t="s">
        <v>1590</v>
      </c>
      <c r="D1502" s="377">
        <v>32000</v>
      </c>
      <c r="E1502" s="384"/>
      <c r="F1502" s="378"/>
      <c r="G1502" s="380"/>
      <c r="H1502" s="380"/>
      <c r="I1502" s="399"/>
      <c r="J1502" s="377">
        <v>32000</v>
      </c>
      <c r="K1502" s="382"/>
      <c r="L1502" s="380"/>
      <c r="M1502" s="380"/>
      <c r="N1502" s="380"/>
      <c r="O1502" s="380"/>
      <c r="P1502" s="380"/>
      <c r="Q1502" s="380"/>
    </row>
    <row r="1503" spans="1:17" x14ac:dyDescent="0.2">
      <c r="A1503" s="334" t="s">
        <v>1734</v>
      </c>
      <c r="B1503" s="380"/>
      <c r="C1503" s="334" t="s">
        <v>1746</v>
      </c>
      <c r="D1503" s="377">
        <v>300</v>
      </c>
      <c r="E1503" s="384"/>
      <c r="F1503" s="378"/>
      <c r="G1503" s="380"/>
      <c r="H1503" s="380"/>
      <c r="I1503" s="399"/>
      <c r="J1503" s="377">
        <v>300</v>
      </c>
      <c r="K1503" s="382"/>
      <c r="L1503" s="380"/>
      <c r="M1503" s="380"/>
      <c r="N1503" s="380"/>
      <c r="O1503" s="380"/>
      <c r="P1503" s="380"/>
      <c r="Q1503" s="380"/>
    </row>
    <row r="1504" spans="1:17" x14ac:dyDescent="0.2">
      <c r="A1504" s="334" t="s">
        <v>1571</v>
      </c>
      <c r="B1504" s="380"/>
      <c r="C1504" s="334" t="s">
        <v>3</v>
      </c>
      <c r="D1504" s="377">
        <v>300</v>
      </c>
      <c r="E1504" s="384"/>
      <c r="F1504" s="378"/>
      <c r="G1504" s="380"/>
      <c r="H1504" s="380"/>
      <c r="I1504" s="399"/>
      <c r="J1504" s="377">
        <v>300</v>
      </c>
      <c r="K1504" s="382"/>
      <c r="L1504" s="380"/>
      <c r="M1504" s="380"/>
      <c r="N1504" s="380"/>
      <c r="O1504" s="380"/>
      <c r="P1504" s="380"/>
      <c r="Q1504" s="380"/>
    </row>
    <row r="1505" spans="1:17" x14ac:dyDescent="0.2">
      <c r="A1505" s="334" t="s">
        <v>1578</v>
      </c>
      <c r="B1505" s="380"/>
      <c r="C1505" s="334" t="s">
        <v>22</v>
      </c>
      <c r="D1505" s="377">
        <v>100</v>
      </c>
      <c r="E1505" s="384"/>
      <c r="F1505" s="378"/>
      <c r="G1505" s="380"/>
      <c r="H1505" s="380"/>
      <c r="I1505" s="399"/>
      <c r="J1505" s="377">
        <v>100</v>
      </c>
      <c r="K1505" s="382"/>
      <c r="L1505" s="380"/>
      <c r="M1505" s="380"/>
      <c r="N1505" s="380"/>
      <c r="O1505" s="380"/>
      <c r="P1505" s="380"/>
      <c r="Q1505" s="380"/>
    </row>
    <row r="1506" spans="1:17" x14ac:dyDescent="0.2">
      <c r="A1506" s="334" t="s">
        <v>1738</v>
      </c>
      <c r="B1506" s="380"/>
      <c r="C1506" s="334" t="s">
        <v>1591</v>
      </c>
      <c r="D1506" s="377">
        <v>100</v>
      </c>
      <c r="E1506" s="384"/>
      <c r="F1506" s="378"/>
      <c r="G1506" s="380"/>
      <c r="H1506" s="380"/>
      <c r="I1506" s="399"/>
      <c r="J1506" s="377">
        <v>100</v>
      </c>
      <c r="K1506" s="382"/>
      <c r="L1506" s="380"/>
      <c r="M1506" s="380"/>
      <c r="N1506" s="380"/>
      <c r="O1506" s="380"/>
      <c r="P1506" s="380"/>
      <c r="Q1506" s="380"/>
    </row>
    <row r="1507" spans="1:17" x14ac:dyDescent="0.2">
      <c r="A1507" s="334" t="s">
        <v>1729</v>
      </c>
      <c r="B1507" s="380"/>
      <c r="C1507" s="380" t="s">
        <v>1551</v>
      </c>
      <c r="D1507" s="377"/>
      <c r="E1507" s="384"/>
      <c r="F1507" s="378"/>
      <c r="G1507" s="380"/>
      <c r="H1507" s="380"/>
      <c r="I1507" s="399"/>
      <c r="J1507" s="377">
        <v>25</v>
      </c>
      <c r="K1507" s="382"/>
      <c r="L1507" s="380"/>
      <c r="M1507" s="380"/>
      <c r="N1507" s="380"/>
      <c r="O1507" s="380"/>
      <c r="P1507" s="380"/>
      <c r="Q1507" s="380"/>
    </row>
    <row r="1508" spans="1:17" x14ac:dyDescent="0.2">
      <c r="A1508" s="334" t="s">
        <v>1735</v>
      </c>
      <c r="B1508" s="380"/>
      <c r="C1508" s="380" t="s">
        <v>194</v>
      </c>
      <c r="D1508" s="377"/>
      <c r="E1508" s="384"/>
      <c r="F1508" s="378"/>
      <c r="G1508" s="380"/>
      <c r="H1508" s="380"/>
      <c r="I1508" s="399"/>
      <c r="J1508" s="377">
        <v>25</v>
      </c>
      <c r="K1508" s="382"/>
      <c r="L1508" s="380"/>
      <c r="M1508" s="380"/>
      <c r="N1508" s="380"/>
      <c r="O1508" s="380"/>
      <c r="P1508" s="380"/>
      <c r="Q1508" s="380"/>
    </row>
    <row r="1509" spans="1:17" x14ac:dyDescent="0.2">
      <c r="A1509" s="334" t="s">
        <v>1741</v>
      </c>
      <c r="B1509" s="380"/>
      <c r="C1509" s="334" t="s">
        <v>1748</v>
      </c>
      <c r="D1509" s="377">
        <v>4000</v>
      </c>
      <c r="E1509" s="384"/>
      <c r="F1509" s="378"/>
      <c r="G1509" s="380"/>
      <c r="H1509" s="380"/>
      <c r="I1509" s="399"/>
      <c r="J1509" s="377">
        <v>4000</v>
      </c>
      <c r="K1509" s="382"/>
      <c r="L1509" s="380"/>
      <c r="M1509" s="380"/>
      <c r="N1509" s="380"/>
      <c r="O1509" s="380"/>
      <c r="P1509" s="380"/>
      <c r="Q1509" s="380"/>
    </row>
    <row r="1510" spans="1:17" x14ac:dyDescent="0.2">
      <c r="A1510" s="334" t="s">
        <v>1730</v>
      </c>
      <c r="B1510" s="380"/>
      <c r="C1510" s="334" t="s">
        <v>1985</v>
      </c>
      <c r="D1510" s="377">
        <v>500</v>
      </c>
      <c r="E1510" s="384"/>
      <c r="F1510" s="378"/>
      <c r="G1510" s="380"/>
      <c r="H1510" s="380"/>
      <c r="I1510" s="399"/>
      <c r="J1510" s="377">
        <v>500</v>
      </c>
      <c r="K1510" s="382"/>
      <c r="L1510" s="380"/>
      <c r="M1510" s="380"/>
      <c r="N1510" s="380"/>
      <c r="O1510" s="380"/>
      <c r="P1510" s="380"/>
      <c r="Q1510" s="380"/>
    </row>
    <row r="1511" spans="1:17" x14ac:dyDescent="0.2">
      <c r="A1511" s="334" t="s">
        <v>1587</v>
      </c>
      <c r="B1511" s="380"/>
      <c r="C1511" s="334" t="s">
        <v>34</v>
      </c>
      <c r="D1511" s="377">
        <v>21600</v>
      </c>
      <c r="E1511" s="384"/>
      <c r="F1511" s="378"/>
      <c r="G1511" s="380"/>
      <c r="H1511" s="380"/>
      <c r="I1511" s="399"/>
      <c r="J1511" s="377">
        <v>21600</v>
      </c>
      <c r="K1511" s="382"/>
      <c r="L1511" s="380"/>
      <c r="M1511" s="380"/>
      <c r="N1511" s="380"/>
      <c r="O1511" s="380"/>
      <c r="P1511" s="380"/>
      <c r="Q1511" s="380"/>
    </row>
    <row r="1512" spans="1:17" x14ac:dyDescent="0.2">
      <c r="A1512" s="334" t="s">
        <v>1898</v>
      </c>
      <c r="B1512" s="380"/>
      <c r="C1512" s="334" t="s">
        <v>1</v>
      </c>
      <c r="D1512" s="377">
        <v>-226160</v>
      </c>
      <c r="E1512" s="384"/>
      <c r="F1512" s="378"/>
      <c r="G1512" s="380"/>
      <c r="H1512" s="380"/>
      <c r="I1512" s="399"/>
      <c r="J1512" s="377">
        <v>-256160</v>
      </c>
      <c r="K1512" s="382"/>
      <c r="L1512" s="380"/>
      <c r="M1512" s="380"/>
      <c r="N1512" s="380"/>
      <c r="O1512" s="380"/>
      <c r="P1512" s="380"/>
      <c r="Q1512" s="380"/>
    </row>
    <row r="1513" spans="1:17" x14ac:dyDescent="0.2">
      <c r="A1513" s="334" t="s">
        <v>1903</v>
      </c>
      <c r="B1513" s="380"/>
      <c r="C1513" s="334" t="s">
        <v>35</v>
      </c>
      <c r="D1513" s="377">
        <v>221252.04</v>
      </c>
      <c r="E1513" s="384"/>
      <c r="F1513" s="378"/>
      <c r="G1513" s="380"/>
      <c r="H1513" s="380"/>
      <c r="I1513" s="399"/>
      <c r="J1513" s="377">
        <v>221252.04</v>
      </c>
      <c r="K1513" s="382"/>
      <c r="L1513" s="380"/>
      <c r="M1513" s="380"/>
      <c r="N1513" s="380"/>
      <c r="O1513" s="380"/>
      <c r="P1513" s="380"/>
      <c r="Q1513" s="380"/>
    </row>
    <row r="1514" spans="1:17" x14ac:dyDescent="0.2">
      <c r="A1514" s="334" t="s">
        <v>1962</v>
      </c>
      <c r="B1514" s="380"/>
      <c r="C1514" s="380" t="s">
        <v>572</v>
      </c>
      <c r="D1514" s="377">
        <v>2000</v>
      </c>
      <c r="E1514" s="384"/>
      <c r="F1514" s="378"/>
      <c r="G1514" s="380"/>
      <c r="H1514" s="380"/>
      <c r="I1514" s="399"/>
      <c r="J1514" s="377">
        <v>2000</v>
      </c>
      <c r="K1514" s="382"/>
      <c r="L1514" s="380"/>
      <c r="M1514" s="380"/>
      <c r="N1514" s="380"/>
      <c r="O1514" s="380"/>
      <c r="P1514" s="380"/>
      <c r="Q1514" s="380"/>
    </row>
    <row r="1515" spans="1:17" x14ac:dyDescent="0.2">
      <c r="A1515" s="334" t="s">
        <v>1567</v>
      </c>
      <c r="B1515" s="380"/>
      <c r="C1515" s="334" t="s">
        <v>3142</v>
      </c>
      <c r="D1515" s="377"/>
      <c r="E1515" s="384"/>
      <c r="F1515" s="378"/>
      <c r="G1515" s="380"/>
      <c r="H1515" s="380"/>
      <c r="I1515" s="399"/>
      <c r="J1515" s="377"/>
      <c r="K1515" s="382"/>
      <c r="L1515" s="380"/>
      <c r="M1515" s="380"/>
      <c r="N1515" s="380"/>
      <c r="O1515" s="380"/>
      <c r="P1515" s="380"/>
      <c r="Q1515" s="380"/>
    </row>
    <row r="1516" spans="1:17" x14ac:dyDescent="0.2">
      <c r="A1516" s="380"/>
      <c r="B1516" s="380"/>
      <c r="C1516" s="380"/>
      <c r="D1516" s="410" t="s">
        <v>342</v>
      </c>
      <c r="E1516" s="380"/>
      <c r="F1516" s="378"/>
      <c r="G1516" s="380"/>
      <c r="H1516" s="380"/>
      <c r="I1516" s="383"/>
      <c r="J1516" s="410" t="s">
        <v>342</v>
      </c>
      <c r="K1516" s="382"/>
      <c r="L1516" s="380"/>
      <c r="M1516" s="380"/>
      <c r="N1516" s="380"/>
      <c r="O1516" s="380"/>
      <c r="P1516" s="380"/>
      <c r="Q1516" s="380"/>
    </row>
    <row r="1517" spans="1:17" x14ac:dyDescent="0.2">
      <c r="A1517" s="380"/>
      <c r="B1517" s="380"/>
      <c r="C1517" s="380"/>
      <c r="D1517" s="334">
        <f>SUM(D1495:D1515)</f>
        <v>86342.04</v>
      </c>
      <c r="E1517" s="380"/>
      <c r="F1517" s="378"/>
      <c r="G1517" s="380"/>
      <c r="H1517" s="380"/>
      <c r="I1517" s="383"/>
      <c r="J1517" s="334">
        <f>SUM(J1495:J1515)</f>
        <v>56392.04</v>
      </c>
      <c r="K1517" s="382"/>
      <c r="L1517" s="380"/>
      <c r="M1517" s="380"/>
      <c r="N1517" s="380"/>
      <c r="O1517" s="380"/>
      <c r="P1517" s="380"/>
      <c r="Q1517" s="380"/>
    </row>
    <row r="1518" spans="1:17" ht="15.75" thickTop="1" x14ac:dyDescent="0.2">
      <c r="A1518" s="380"/>
      <c r="B1518" s="380"/>
      <c r="C1518" s="380"/>
      <c r="D1518" s="395">
        <f>D1517-D1495</f>
        <v>86342.04</v>
      </c>
      <c r="E1518" s="380"/>
      <c r="F1518" s="378"/>
      <c r="G1518" s="380"/>
      <c r="H1518" s="380"/>
      <c r="I1518" s="383"/>
      <c r="J1518" s="395">
        <f>J1517-J1495</f>
        <v>56392.04</v>
      </c>
      <c r="K1518" s="382"/>
      <c r="L1518" s="380"/>
      <c r="M1518" s="380"/>
      <c r="N1518" s="380"/>
      <c r="O1518" s="380"/>
      <c r="P1518" s="380"/>
      <c r="Q1518" s="380"/>
    </row>
    <row r="1519" spans="1:17" ht="15.75" x14ac:dyDescent="0.25">
      <c r="A1519" s="334" t="s">
        <v>342</v>
      </c>
      <c r="B1519" s="377"/>
      <c r="C1519" s="334" t="s">
        <v>342</v>
      </c>
      <c r="D1519" s="377"/>
      <c r="E1519" s="377"/>
      <c r="F1519" s="378"/>
      <c r="G1519" s="377"/>
      <c r="H1519" s="377"/>
      <c r="I1519" s="397"/>
      <c r="J1519" s="377"/>
      <c r="K1519" s="382"/>
      <c r="L1519" s="380"/>
      <c r="M1519" s="380"/>
      <c r="N1519" s="380"/>
      <c r="O1519" s="380"/>
      <c r="P1519" s="380"/>
      <c r="Q1519" s="380"/>
    </row>
    <row r="1520" spans="1:17" x14ac:dyDescent="0.2">
      <c r="A1520" s="334" t="s">
        <v>342</v>
      </c>
      <c r="B1520" s="380"/>
      <c r="C1520" s="334" t="s">
        <v>342</v>
      </c>
      <c r="D1520" s="334" t="s">
        <v>342</v>
      </c>
      <c r="E1520" s="380"/>
      <c r="F1520" s="378"/>
      <c r="G1520" s="380"/>
      <c r="H1520" s="380"/>
      <c r="I1520" s="383"/>
      <c r="J1520" s="334" t="s">
        <v>342</v>
      </c>
      <c r="K1520" s="382"/>
      <c r="L1520" s="380"/>
      <c r="M1520" s="380"/>
      <c r="N1520" s="380"/>
      <c r="O1520" s="380"/>
      <c r="P1520" s="380"/>
      <c r="Q1520" s="380"/>
    </row>
    <row r="1521" spans="1:17" x14ac:dyDescent="0.2">
      <c r="A1521" s="334" t="s">
        <v>1904</v>
      </c>
      <c r="B1521" s="380"/>
      <c r="C1521" s="380"/>
      <c r="D1521" s="380"/>
      <c r="E1521" s="380"/>
      <c r="F1521" s="378"/>
      <c r="G1521" s="380"/>
      <c r="H1521" s="380"/>
      <c r="I1521" s="383"/>
      <c r="J1521" s="380"/>
      <c r="K1521" s="382"/>
      <c r="L1521" s="380"/>
      <c r="M1521" s="380"/>
      <c r="N1521" s="380"/>
      <c r="O1521" s="380"/>
      <c r="P1521" s="380"/>
      <c r="Q1521" s="380"/>
    </row>
    <row r="1522" spans="1:17" x14ac:dyDescent="0.2">
      <c r="A1522" s="380"/>
      <c r="B1522" s="380"/>
      <c r="C1522" s="384" t="s">
        <v>2116</v>
      </c>
      <c r="D1522" s="380"/>
      <c r="E1522" s="380"/>
      <c r="F1522" s="378"/>
      <c r="G1522" s="380"/>
      <c r="H1522" s="380"/>
      <c r="I1522" s="383"/>
      <c r="J1522" s="380"/>
      <c r="K1522" s="382"/>
      <c r="L1522" s="380"/>
      <c r="M1522" s="380"/>
      <c r="N1522" s="380"/>
      <c r="O1522" s="380"/>
      <c r="P1522" s="380"/>
      <c r="Q1522" s="380"/>
    </row>
    <row r="1523" spans="1:17" x14ac:dyDescent="0.2">
      <c r="A1523" s="380"/>
      <c r="B1523" s="380"/>
      <c r="C1523" s="380"/>
      <c r="D1523" s="380"/>
      <c r="E1523" s="380"/>
      <c r="F1523" s="378"/>
      <c r="G1523" s="380"/>
      <c r="H1523" s="380"/>
      <c r="I1523" s="383"/>
      <c r="J1523" s="380"/>
      <c r="K1523" s="382"/>
      <c r="L1523" s="380"/>
      <c r="M1523" s="380"/>
      <c r="N1523" s="380"/>
      <c r="O1523" s="380"/>
      <c r="P1523" s="380"/>
      <c r="Q1523" s="380"/>
    </row>
    <row r="1524" spans="1:17" x14ac:dyDescent="0.2">
      <c r="A1524" s="334" t="s">
        <v>1723</v>
      </c>
      <c r="B1524" s="380"/>
      <c r="C1524" s="334" t="s">
        <v>1880</v>
      </c>
      <c r="D1524" s="334" t="s">
        <v>181</v>
      </c>
      <c r="E1524" s="380"/>
      <c r="F1524" s="378"/>
      <c r="G1524" s="380"/>
      <c r="H1524" s="380"/>
      <c r="I1524" s="383"/>
      <c r="J1524" s="334" t="s">
        <v>181</v>
      </c>
      <c r="K1524" s="382"/>
      <c r="L1524" s="380"/>
      <c r="M1524" s="380"/>
      <c r="N1524" s="380"/>
      <c r="O1524" s="380"/>
      <c r="P1524" s="380"/>
      <c r="Q1524" s="380"/>
    </row>
    <row r="1525" spans="1:17" x14ac:dyDescent="0.2">
      <c r="A1525" s="380"/>
      <c r="B1525" s="380"/>
      <c r="C1525" s="380"/>
      <c r="D1525" s="380"/>
      <c r="E1525" s="380"/>
      <c r="F1525" s="378"/>
      <c r="G1525" s="380"/>
      <c r="H1525" s="380"/>
      <c r="I1525" s="383"/>
      <c r="J1525" s="380"/>
      <c r="K1525" s="382"/>
      <c r="L1525" s="380"/>
      <c r="M1525" s="380"/>
      <c r="N1525" s="380"/>
      <c r="O1525" s="380"/>
      <c r="P1525" s="380"/>
      <c r="Q1525" s="380"/>
    </row>
    <row r="1526" spans="1:17" x14ac:dyDescent="0.2">
      <c r="A1526" s="334" t="s">
        <v>1733</v>
      </c>
      <c r="B1526" s="380"/>
      <c r="C1526" s="334" t="s">
        <v>27</v>
      </c>
      <c r="D1526" s="377"/>
      <c r="E1526" s="384"/>
      <c r="F1526" s="378"/>
      <c r="G1526" s="380"/>
      <c r="H1526" s="380"/>
      <c r="I1526" s="399"/>
      <c r="J1526" s="377">
        <v>0</v>
      </c>
      <c r="K1526" s="382"/>
      <c r="L1526" s="380"/>
      <c r="M1526" s="380"/>
      <c r="N1526" s="380"/>
      <c r="O1526" s="380"/>
      <c r="P1526" s="380"/>
      <c r="Q1526" s="380"/>
    </row>
    <row r="1527" spans="1:17" x14ac:dyDescent="0.2">
      <c r="A1527" s="334" t="s">
        <v>1724</v>
      </c>
      <c r="B1527" s="380"/>
      <c r="C1527" s="334" t="s">
        <v>1881</v>
      </c>
      <c r="D1527" s="377"/>
      <c r="E1527" s="384"/>
      <c r="F1527" s="378"/>
      <c r="G1527" s="380"/>
      <c r="H1527" s="380"/>
      <c r="I1527" s="399"/>
      <c r="J1527" s="377">
        <v>0</v>
      </c>
      <c r="K1527" s="382"/>
      <c r="L1527" s="380"/>
      <c r="M1527" s="380"/>
      <c r="N1527" s="380"/>
      <c r="O1527" s="380"/>
      <c r="P1527" s="380"/>
      <c r="Q1527" s="380"/>
    </row>
    <row r="1528" spans="1:17" x14ac:dyDescent="0.2">
      <c r="A1528" s="334" t="s">
        <v>1744</v>
      </c>
      <c r="B1528" s="380"/>
      <c r="C1528" s="334" t="s">
        <v>1254</v>
      </c>
      <c r="D1528" s="377"/>
      <c r="E1528" s="384"/>
      <c r="F1528" s="378"/>
      <c r="G1528" s="380"/>
      <c r="H1528" s="380"/>
      <c r="I1528" s="399"/>
      <c r="J1528" s="377">
        <v>0</v>
      </c>
      <c r="K1528" s="382"/>
      <c r="L1528" s="380"/>
      <c r="M1528" s="380"/>
      <c r="N1528" s="380"/>
      <c r="O1528" s="380"/>
      <c r="P1528" s="380"/>
      <c r="Q1528" s="380"/>
    </row>
    <row r="1529" spans="1:17" x14ac:dyDescent="0.2">
      <c r="A1529" s="334" t="s">
        <v>1725</v>
      </c>
      <c r="B1529" s="380"/>
      <c r="C1529" s="334" t="s">
        <v>1890</v>
      </c>
      <c r="D1529" s="377"/>
      <c r="E1529" s="384"/>
      <c r="F1529" s="378"/>
      <c r="G1529" s="380"/>
      <c r="H1529" s="380"/>
      <c r="I1529" s="399"/>
      <c r="J1529" s="377">
        <v>0</v>
      </c>
      <c r="K1529" s="382"/>
      <c r="L1529" s="380"/>
      <c r="M1529" s="380"/>
      <c r="N1529" s="380"/>
      <c r="O1529" s="380"/>
      <c r="P1529" s="380"/>
      <c r="Q1529" s="380"/>
    </row>
    <row r="1530" spans="1:17" x14ac:dyDescent="0.2">
      <c r="A1530" s="334" t="s">
        <v>1734</v>
      </c>
      <c r="B1530" s="380"/>
      <c r="C1530" s="334" t="s">
        <v>1746</v>
      </c>
      <c r="D1530" s="377"/>
      <c r="E1530" s="384"/>
      <c r="F1530" s="378"/>
      <c r="G1530" s="380"/>
      <c r="H1530" s="380"/>
      <c r="I1530" s="399"/>
      <c r="J1530" s="377">
        <v>0</v>
      </c>
      <c r="K1530" s="382"/>
      <c r="L1530" s="380"/>
      <c r="M1530" s="380"/>
      <c r="N1530" s="380"/>
      <c r="O1530" s="380"/>
      <c r="P1530" s="380"/>
      <c r="Q1530" s="380"/>
    </row>
    <row r="1531" spans="1:17" x14ac:dyDescent="0.2">
      <c r="A1531" s="334" t="s">
        <v>1738</v>
      </c>
      <c r="B1531" s="380"/>
      <c r="C1531" s="334" t="s">
        <v>1591</v>
      </c>
      <c r="D1531" s="377"/>
      <c r="E1531" s="384"/>
      <c r="F1531" s="378"/>
      <c r="G1531" s="380"/>
      <c r="H1531" s="380"/>
      <c r="I1531" s="399"/>
      <c r="J1531" s="377">
        <v>0</v>
      </c>
      <c r="K1531" s="382"/>
      <c r="L1531" s="380"/>
      <c r="M1531" s="380"/>
      <c r="N1531" s="380"/>
      <c r="O1531" s="380"/>
      <c r="P1531" s="380"/>
      <c r="Q1531" s="380"/>
    </row>
    <row r="1532" spans="1:17" x14ac:dyDescent="0.2">
      <c r="A1532" s="334" t="s">
        <v>1727</v>
      </c>
      <c r="B1532" s="380"/>
      <c r="C1532" s="334" t="s">
        <v>307</v>
      </c>
      <c r="D1532" s="377"/>
      <c r="E1532" s="384"/>
      <c r="F1532" s="378"/>
      <c r="G1532" s="380"/>
      <c r="H1532" s="380"/>
      <c r="I1532" s="399"/>
      <c r="J1532" s="377">
        <v>0</v>
      </c>
      <c r="K1532" s="382"/>
      <c r="L1532" s="380"/>
      <c r="M1532" s="380"/>
      <c r="N1532" s="380"/>
      <c r="O1532" s="380"/>
      <c r="P1532" s="380"/>
      <c r="Q1532" s="380"/>
    </row>
    <row r="1533" spans="1:17" x14ac:dyDescent="0.2">
      <c r="A1533" s="334" t="s">
        <v>1728</v>
      </c>
      <c r="B1533" s="380"/>
      <c r="C1533" s="334" t="s">
        <v>310</v>
      </c>
      <c r="D1533" s="377"/>
      <c r="E1533" s="384"/>
      <c r="F1533" s="378"/>
      <c r="G1533" s="380"/>
      <c r="H1533" s="380"/>
      <c r="I1533" s="399"/>
      <c r="J1533" s="377">
        <v>0</v>
      </c>
      <c r="K1533" s="382"/>
      <c r="L1533" s="380"/>
      <c r="M1533" s="380"/>
      <c r="N1533" s="380"/>
      <c r="O1533" s="380"/>
      <c r="P1533" s="380"/>
      <c r="Q1533" s="380"/>
    </row>
    <row r="1534" spans="1:17" x14ac:dyDescent="0.2">
      <c r="A1534" s="334" t="s">
        <v>1729</v>
      </c>
      <c r="B1534" s="380"/>
      <c r="C1534" s="380" t="s">
        <v>1551</v>
      </c>
      <c r="D1534" s="377"/>
      <c r="E1534" s="384"/>
      <c r="F1534" s="378"/>
      <c r="G1534" s="380"/>
      <c r="H1534" s="380"/>
      <c r="I1534" s="399"/>
      <c r="J1534" s="377">
        <v>0</v>
      </c>
      <c r="K1534" s="382"/>
      <c r="L1534" s="380"/>
      <c r="M1534" s="380"/>
      <c r="N1534" s="380"/>
      <c r="O1534" s="380"/>
      <c r="P1534" s="380"/>
      <c r="Q1534" s="380"/>
    </row>
    <row r="1535" spans="1:17" x14ac:dyDescent="0.2">
      <c r="A1535" s="334" t="s">
        <v>1735</v>
      </c>
      <c r="B1535" s="380"/>
      <c r="C1535" s="380" t="s">
        <v>194</v>
      </c>
      <c r="D1535" s="377"/>
      <c r="E1535" s="384"/>
      <c r="F1535" s="378"/>
      <c r="G1535" s="380"/>
      <c r="H1535" s="380"/>
      <c r="I1535" s="399"/>
      <c r="J1535" s="377">
        <v>0</v>
      </c>
      <c r="K1535" s="382"/>
      <c r="L1535" s="380"/>
      <c r="M1535" s="380"/>
      <c r="N1535" s="380"/>
      <c r="O1535" s="380"/>
      <c r="P1535" s="380"/>
      <c r="Q1535" s="380"/>
    </row>
    <row r="1536" spans="1:17" x14ac:dyDescent="0.2">
      <c r="A1536" s="384" t="s">
        <v>1962</v>
      </c>
      <c r="B1536" s="380"/>
      <c r="C1536" s="380" t="s">
        <v>572</v>
      </c>
      <c r="D1536" s="377"/>
      <c r="E1536" s="384"/>
      <c r="F1536" s="378"/>
      <c r="G1536" s="380"/>
      <c r="H1536" s="380"/>
      <c r="I1536" s="399"/>
      <c r="J1536" s="377">
        <v>0</v>
      </c>
      <c r="K1536" s="382"/>
      <c r="L1536" s="380"/>
      <c r="M1536" s="380"/>
      <c r="N1536" s="380"/>
      <c r="O1536" s="380"/>
      <c r="P1536" s="380"/>
      <c r="Q1536" s="380"/>
    </row>
    <row r="1537" spans="1:17" x14ac:dyDescent="0.2">
      <c r="A1537" s="334" t="s">
        <v>436</v>
      </c>
      <c r="B1537" s="380"/>
      <c r="C1537" s="334" t="s">
        <v>342</v>
      </c>
      <c r="D1537" s="410" t="s">
        <v>342</v>
      </c>
      <c r="E1537" s="380"/>
      <c r="F1537" s="378"/>
      <c r="G1537" s="380"/>
      <c r="H1537" s="380"/>
      <c r="I1537" s="383"/>
      <c r="J1537" s="410" t="s">
        <v>342</v>
      </c>
      <c r="K1537" s="382"/>
      <c r="L1537" s="380"/>
      <c r="M1537" s="380"/>
      <c r="N1537" s="380"/>
      <c r="O1537" s="380"/>
      <c r="P1537" s="380"/>
      <c r="Q1537" s="380"/>
    </row>
    <row r="1538" spans="1:17" x14ac:dyDescent="0.2">
      <c r="A1538" s="380"/>
      <c r="B1538" s="380"/>
      <c r="C1538" s="380"/>
      <c r="D1538" s="334">
        <f>SUM(D1526:D1536)</f>
        <v>0</v>
      </c>
      <c r="E1538" s="380"/>
      <c r="F1538" s="378"/>
      <c r="G1538" s="380"/>
      <c r="H1538" s="380"/>
      <c r="I1538" s="383"/>
      <c r="J1538" s="334">
        <f>SUM(J1526:J1536)</f>
        <v>0</v>
      </c>
      <c r="K1538" s="382"/>
      <c r="L1538" s="380"/>
      <c r="M1538" s="380"/>
      <c r="N1538" s="380"/>
      <c r="O1538" s="380"/>
      <c r="P1538" s="380"/>
      <c r="Q1538" s="380"/>
    </row>
    <row r="1539" spans="1:17" ht="15.75" thickTop="1" x14ac:dyDescent="0.2">
      <c r="A1539" s="380"/>
      <c r="B1539" s="380"/>
      <c r="C1539" s="380"/>
      <c r="D1539" s="395">
        <f>D1538-D1526</f>
        <v>0</v>
      </c>
      <c r="E1539" s="380"/>
      <c r="F1539" s="378"/>
      <c r="G1539" s="380"/>
      <c r="H1539" s="380"/>
      <c r="I1539" s="383"/>
      <c r="J1539" s="395">
        <f>J1538-J1526</f>
        <v>0</v>
      </c>
      <c r="K1539" s="382"/>
      <c r="L1539" s="380"/>
      <c r="M1539" s="380"/>
      <c r="N1539" s="380"/>
      <c r="O1539" s="380"/>
      <c r="P1539" s="380"/>
      <c r="Q1539" s="380"/>
    </row>
    <row r="1540" spans="1:17" ht="15.75" x14ac:dyDescent="0.25">
      <c r="A1540" s="377"/>
      <c r="B1540" s="377"/>
      <c r="C1540" s="377"/>
      <c r="D1540" s="377"/>
      <c r="E1540" s="377"/>
      <c r="F1540" s="378"/>
      <c r="G1540" s="377"/>
      <c r="H1540" s="377"/>
      <c r="I1540" s="397"/>
      <c r="J1540" s="377"/>
      <c r="K1540" s="382"/>
      <c r="L1540" s="380"/>
      <c r="M1540" s="380"/>
      <c r="N1540" s="380"/>
      <c r="O1540" s="380"/>
      <c r="P1540" s="380"/>
      <c r="Q1540" s="380"/>
    </row>
    <row r="1541" spans="1:17" x14ac:dyDescent="0.2">
      <c r="A1541" s="380"/>
      <c r="B1541" s="380"/>
      <c r="C1541" s="380"/>
      <c r="D1541" s="380"/>
      <c r="E1541" s="380"/>
      <c r="F1541" s="378"/>
      <c r="G1541" s="380"/>
      <c r="H1541" s="380"/>
      <c r="I1541" s="383"/>
      <c r="J1541" s="380"/>
      <c r="K1541" s="382"/>
      <c r="L1541" s="380"/>
      <c r="M1541" s="380"/>
      <c r="N1541" s="380"/>
      <c r="O1541" s="380"/>
      <c r="P1541" s="380"/>
      <c r="Q1541" s="380"/>
    </row>
    <row r="1542" spans="1:17" x14ac:dyDescent="0.2">
      <c r="A1542" s="334" t="s">
        <v>1706</v>
      </c>
      <c r="B1542" s="380"/>
      <c r="C1542" s="380"/>
      <c r="D1542" s="380"/>
      <c r="E1542" s="380"/>
      <c r="F1542" s="378"/>
      <c r="G1542" s="380"/>
      <c r="H1542" s="380"/>
      <c r="I1542" s="383"/>
      <c r="J1542" s="380"/>
      <c r="K1542" s="382"/>
      <c r="L1542" s="380"/>
      <c r="M1542" s="380"/>
      <c r="N1542" s="380"/>
      <c r="O1542" s="380"/>
      <c r="P1542" s="380"/>
      <c r="Q1542" s="380"/>
    </row>
    <row r="1543" spans="1:17" x14ac:dyDescent="0.2">
      <c r="A1543" s="380"/>
      <c r="B1543" s="380"/>
      <c r="C1543" s="384" t="s">
        <v>2117</v>
      </c>
      <c r="D1543" s="380"/>
      <c r="E1543" s="380"/>
      <c r="F1543" s="378"/>
      <c r="G1543" s="380"/>
      <c r="H1543" s="380"/>
      <c r="I1543" s="383"/>
      <c r="J1543" s="380"/>
      <c r="K1543" s="382"/>
      <c r="L1543" s="380"/>
      <c r="M1543" s="380"/>
      <c r="N1543" s="380"/>
      <c r="O1543" s="380"/>
      <c r="P1543" s="380"/>
      <c r="Q1543" s="380"/>
    </row>
    <row r="1544" spans="1:17" x14ac:dyDescent="0.2">
      <c r="A1544" s="380"/>
      <c r="B1544" s="380"/>
      <c r="C1544" s="380"/>
      <c r="D1544" s="380"/>
      <c r="E1544" s="380"/>
      <c r="F1544" s="378"/>
      <c r="G1544" s="380"/>
      <c r="H1544" s="380"/>
      <c r="I1544" s="383"/>
      <c r="J1544" s="380"/>
      <c r="K1544" s="382"/>
      <c r="L1544" s="380"/>
      <c r="M1544" s="380"/>
      <c r="N1544" s="380"/>
      <c r="O1544" s="380"/>
      <c r="P1544" s="380"/>
      <c r="Q1544" s="380"/>
    </row>
    <row r="1545" spans="1:17" x14ac:dyDescent="0.2">
      <c r="A1545" s="334" t="s">
        <v>1723</v>
      </c>
      <c r="B1545" s="380"/>
      <c r="C1545" s="428" t="s">
        <v>1880</v>
      </c>
      <c r="D1545" s="428" t="s">
        <v>181</v>
      </c>
      <c r="E1545" s="380"/>
      <c r="F1545" s="378"/>
      <c r="G1545" s="380"/>
      <c r="H1545" s="380"/>
      <c r="I1545" s="383"/>
      <c r="J1545" s="428" t="s">
        <v>181</v>
      </c>
      <c r="K1545" s="382"/>
      <c r="L1545" s="380"/>
      <c r="M1545" s="380"/>
      <c r="N1545" s="380"/>
      <c r="O1545" s="380"/>
      <c r="P1545" s="380"/>
      <c r="Q1545" s="380"/>
    </row>
    <row r="1546" spans="1:17" x14ac:dyDescent="0.2">
      <c r="A1546" s="334" t="s">
        <v>342</v>
      </c>
      <c r="B1546" s="380"/>
      <c r="C1546" s="334" t="s">
        <v>342</v>
      </c>
      <c r="D1546" s="334" t="s">
        <v>342</v>
      </c>
      <c r="E1546" s="380"/>
      <c r="F1546" s="378"/>
      <c r="G1546" s="380"/>
      <c r="H1546" s="380"/>
      <c r="I1546" s="383"/>
      <c r="J1546" s="334" t="s">
        <v>342</v>
      </c>
      <c r="K1546" s="382"/>
      <c r="L1546" s="380"/>
      <c r="M1546" s="380"/>
      <c r="N1546" s="380"/>
      <c r="O1546" s="380"/>
      <c r="P1546" s="380"/>
      <c r="Q1546" s="380"/>
    </row>
    <row r="1547" spans="1:17" x14ac:dyDescent="0.2">
      <c r="A1547" s="334" t="s">
        <v>1733</v>
      </c>
      <c r="B1547" s="380"/>
      <c r="C1547" s="334" t="s">
        <v>27</v>
      </c>
      <c r="D1547" s="377"/>
      <c r="E1547" s="384"/>
      <c r="F1547" s="378"/>
      <c r="G1547" s="380"/>
      <c r="H1547" s="380"/>
      <c r="I1547" s="399"/>
      <c r="J1547" s="377"/>
      <c r="K1547" s="382"/>
      <c r="L1547" s="380"/>
      <c r="M1547" s="380"/>
      <c r="N1547" s="380"/>
      <c r="O1547" s="380"/>
      <c r="P1547" s="380"/>
      <c r="Q1547" s="380"/>
    </row>
    <row r="1548" spans="1:17" x14ac:dyDescent="0.2">
      <c r="A1548" s="334" t="s">
        <v>1743</v>
      </c>
      <c r="B1548" s="380"/>
      <c r="C1548" s="334" t="s">
        <v>1886</v>
      </c>
      <c r="D1548" s="377">
        <v>1000</v>
      </c>
      <c r="E1548" s="384"/>
      <c r="F1548" s="378"/>
      <c r="G1548" s="380"/>
      <c r="H1548" s="380"/>
      <c r="I1548" s="399"/>
      <c r="J1548" s="377">
        <v>1000</v>
      </c>
      <c r="K1548" s="382"/>
      <c r="L1548" s="380"/>
      <c r="M1548" s="380"/>
      <c r="N1548" s="380"/>
      <c r="O1548" s="380"/>
      <c r="P1548" s="380"/>
      <c r="Q1548" s="380"/>
    </row>
    <row r="1549" spans="1:17" x14ac:dyDescent="0.2">
      <c r="A1549" s="334" t="s">
        <v>1724</v>
      </c>
      <c r="B1549" s="380"/>
      <c r="C1549" s="334" t="s">
        <v>1881</v>
      </c>
      <c r="D1549" s="377"/>
      <c r="E1549" s="384"/>
      <c r="F1549" s="378"/>
      <c r="G1549" s="380"/>
      <c r="H1549" s="380"/>
      <c r="I1549" s="399"/>
      <c r="J1549" s="377"/>
      <c r="K1549" s="382"/>
      <c r="L1549" s="380"/>
      <c r="M1549" s="380"/>
      <c r="N1549" s="380"/>
      <c r="O1549" s="380"/>
      <c r="P1549" s="380"/>
      <c r="Q1549" s="380"/>
    </row>
    <row r="1550" spans="1:17" x14ac:dyDescent="0.2">
      <c r="A1550" s="384" t="s">
        <v>1736</v>
      </c>
      <c r="B1550" s="380"/>
      <c r="C1550" s="334" t="s">
        <v>1747</v>
      </c>
      <c r="D1550" s="388">
        <v>8000</v>
      </c>
      <c r="E1550" s="384"/>
      <c r="F1550" s="378"/>
      <c r="G1550" s="380"/>
      <c r="H1550" s="380"/>
      <c r="I1550" s="420"/>
      <c r="J1550" s="388">
        <v>6000</v>
      </c>
      <c r="K1550" s="382"/>
      <c r="L1550" s="380"/>
      <c r="M1550" s="380"/>
      <c r="N1550" s="380"/>
      <c r="O1550" s="380"/>
      <c r="P1550" s="380"/>
      <c r="Q1550" s="380"/>
    </row>
    <row r="1551" spans="1:17" x14ac:dyDescent="0.2">
      <c r="A1551" s="334" t="s">
        <v>1744</v>
      </c>
      <c r="B1551" s="380"/>
      <c r="C1551" s="334" t="s">
        <v>1254</v>
      </c>
      <c r="D1551" s="377">
        <v>200</v>
      </c>
      <c r="E1551" s="384"/>
      <c r="F1551" s="378"/>
      <c r="G1551" s="380"/>
      <c r="H1551" s="380"/>
      <c r="I1551" s="399"/>
      <c r="J1551" s="377"/>
      <c r="K1551" s="382"/>
      <c r="L1551" s="380"/>
      <c r="M1551" s="380"/>
      <c r="N1551" s="380"/>
      <c r="O1551" s="380"/>
      <c r="P1551" s="380"/>
      <c r="Q1551" s="380"/>
    </row>
    <row r="1552" spans="1:17" x14ac:dyDescent="0.2">
      <c r="A1552" s="334" t="s">
        <v>1575</v>
      </c>
      <c r="B1552" s="380"/>
      <c r="C1552" s="334" t="s">
        <v>1889</v>
      </c>
      <c r="D1552" s="377"/>
      <c r="E1552" s="384"/>
      <c r="F1552" s="378"/>
      <c r="G1552" s="380"/>
      <c r="H1552" s="380"/>
      <c r="I1552" s="399"/>
      <c r="J1552" s="377"/>
      <c r="K1552" s="382"/>
      <c r="L1552" s="380"/>
      <c r="M1552" s="380"/>
      <c r="N1552" s="380"/>
      <c r="O1552" s="380"/>
      <c r="P1552" s="380"/>
      <c r="Q1552" s="380"/>
    </row>
    <row r="1553" spans="1:17" x14ac:dyDescent="0.2">
      <c r="A1553" s="334" t="s">
        <v>1725</v>
      </c>
      <c r="B1553" s="380"/>
      <c r="C1553" s="334" t="s">
        <v>1890</v>
      </c>
      <c r="D1553" s="377"/>
      <c r="E1553" s="384"/>
      <c r="F1553" s="378"/>
      <c r="G1553" s="380"/>
      <c r="H1553" s="380"/>
      <c r="I1553" s="399"/>
      <c r="J1553" s="377"/>
      <c r="K1553" s="382"/>
      <c r="L1553" s="380"/>
      <c r="M1553" s="380"/>
      <c r="N1553" s="380"/>
      <c r="O1553" s="380"/>
      <c r="P1553" s="380"/>
      <c r="Q1553" s="380"/>
    </row>
    <row r="1554" spans="1:17" x14ac:dyDescent="0.2">
      <c r="A1554" s="334" t="s">
        <v>1906</v>
      </c>
      <c r="B1554" s="380"/>
      <c r="C1554" s="334" t="s">
        <v>39</v>
      </c>
      <c r="D1554" s="377"/>
      <c r="E1554" s="384"/>
      <c r="F1554" s="378"/>
      <c r="G1554" s="380"/>
      <c r="H1554" s="380"/>
      <c r="I1554" s="399"/>
      <c r="J1554" s="377"/>
      <c r="K1554" s="382"/>
      <c r="L1554" s="380"/>
      <c r="M1554" s="380"/>
      <c r="N1554" s="380"/>
      <c r="O1554" s="380"/>
      <c r="P1554" s="380"/>
      <c r="Q1554" s="380"/>
    </row>
    <row r="1555" spans="1:17" x14ac:dyDescent="0.2">
      <c r="A1555" s="334" t="s">
        <v>1576</v>
      </c>
      <c r="B1555" s="380"/>
      <c r="C1555" s="334" t="s">
        <v>1590</v>
      </c>
      <c r="D1555" s="377"/>
      <c r="E1555" s="384"/>
      <c r="F1555" s="378"/>
      <c r="G1555" s="380"/>
      <c r="H1555" s="380"/>
      <c r="I1555" s="399"/>
      <c r="J1555" s="377"/>
      <c r="K1555" s="382"/>
      <c r="L1555" s="380"/>
      <c r="M1555" s="380"/>
      <c r="N1555" s="380"/>
      <c r="O1555" s="380"/>
      <c r="P1555" s="380"/>
      <c r="Q1555" s="380"/>
    </row>
    <row r="1556" spans="1:17" x14ac:dyDescent="0.2">
      <c r="A1556" s="334" t="s">
        <v>1760</v>
      </c>
      <c r="B1556" s="380"/>
      <c r="C1556" s="334" t="s">
        <v>40</v>
      </c>
      <c r="D1556" s="377">
        <v>45000</v>
      </c>
      <c r="E1556" s="384"/>
      <c r="F1556" s="378"/>
      <c r="G1556" s="380"/>
      <c r="H1556" s="380"/>
      <c r="I1556" s="399"/>
      <c r="J1556" s="377">
        <v>60000</v>
      </c>
      <c r="K1556" s="382"/>
      <c r="L1556" s="380"/>
      <c r="M1556" s="380"/>
      <c r="N1556" s="380"/>
      <c r="O1556" s="380"/>
      <c r="P1556" s="380"/>
      <c r="Q1556" s="380"/>
    </row>
    <row r="1557" spans="1:17" x14ac:dyDescent="0.2">
      <c r="A1557" s="334" t="s">
        <v>1734</v>
      </c>
      <c r="B1557" s="380"/>
      <c r="C1557" s="334" t="s">
        <v>1746</v>
      </c>
      <c r="D1557" s="377">
        <v>400</v>
      </c>
      <c r="E1557" s="384"/>
      <c r="F1557" s="378"/>
      <c r="G1557" s="380"/>
      <c r="H1557" s="380"/>
      <c r="I1557" s="399"/>
      <c r="J1557" s="377">
        <v>800</v>
      </c>
      <c r="K1557" s="382"/>
      <c r="L1557" s="380"/>
      <c r="M1557" s="380"/>
      <c r="N1557" s="380"/>
      <c r="O1557" s="380"/>
      <c r="P1557" s="380"/>
      <c r="Q1557" s="380"/>
    </row>
    <row r="1558" spans="1:17" x14ac:dyDescent="0.2">
      <c r="A1558" s="334" t="s">
        <v>1583</v>
      </c>
      <c r="B1558" s="380"/>
      <c r="C1558" s="334" t="s">
        <v>41</v>
      </c>
      <c r="D1558" s="377">
        <v>388253</v>
      </c>
      <c r="E1558" s="384"/>
      <c r="F1558" s="378"/>
      <c r="G1558" s="380"/>
      <c r="H1558" s="380"/>
      <c r="I1558" s="399"/>
      <c r="J1558" s="377">
        <v>350300</v>
      </c>
      <c r="K1558" s="382"/>
      <c r="L1558" s="380"/>
      <c r="M1558" s="380"/>
      <c r="N1558" s="380"/>
      <c r="O1558" s="380"/>
      <c r="P1558" s="380"/>
      <c r="Q1558" s="380"/>
    </row>
    <row r="1559" spans="1:17" x14ac:dyDescent="0.2">
      <c r="A1559" s="334" t="s">
        <v>1738</v>
      </c>
      <c r="B1559" s="380"/>
      <c r="C1559" s="334" t="s">
        <v>1591</v>
      </c>
      <c r="D1559" s="377">
        <v>200</v>
      </c>
      <c r="E1559" s="384"/>
      <c r="F1559" s="378"/>
      <c r="G1559" s="380"/>
      <c r="H1559" s="380"/>
      <c r="I1559" s="399"/>
      <c r="J1559" s="377">
        <v>200</v>
      </c>
      <c r="K1559" s="382"/>
      <c r="L1559" s="380"/>
      <c r="M1559" s="380"/>
      <c r="N1559" s="380"/>
      <c r="O1559" s="380"/>
      <c r="P1559" s="380"/>
      <c r="Q1559" s="380"/>
    </row>
    <row r="1560" spans="1:17" x14ac:dyDescent="0.2">
      <c r="A1560" s="334" t="s">
        <v>1727</v>
      </c>
      <c r="B1560" s="380"/>
      <c r="C1560" s="334" t="s">
        <v>307</v>
      </c>
      <c r="D1560" s="377">
        <v>100</v>
      </c>
      <c r="E1560" s="384"/>
      <c r="F1560" s="378"/>
      <c r="G1560" s="380"/>
      <c r="H1560" s="380"/>
      <c r="I1560" s="399"/>
      <c r="J1560" s="377">
        <v>200</v>
      </c>
      <c r="K1560" s="382"/>
      <c r="L1560" s="380"/>
      <c r="M1560" s="380"/>
      <c r="N1560" s="380"/>
      <c r="O1560" s="380"/>
      <c r="P1560" s="380"/>
      <c r="Q1560" s="380"/>
    </row>
    <row r="1561" spans="1:17" x14ac:dyDescent="0.2">
      <c r="A1561" s="334" t="s">
        <v>1728</v>
      </c>
      <c r="B1561" s="380"/>
      <c r="C1561" s="334" t="s">
        <v>310</v>
      </c>
      <c r="D1561" s="377">
        <v>500</v>
      </c>
      <c r="E1561" s="384"/>
      <c r="F1561" s="378"/>
      <c r="G1561" s="380"/>
      <c r="H1561" s="380"/>
      <c r="I1561" s="399"/>
      <c r="J1561" s="377">
        <v>200</v>
      </c>
      <c r="K1561" s="382"/>
      <c r="L1561" s="380"/>
      <c r="M1561" s="380"/>
      <c r="N1561" s="380"/>
      <c r="O1561" s="380"/>
      <c r="P1561" s="380"/>
      <c r="Q1561" s="380"/>
    </row>
    <row r="1562" spans="1:17" x14ac:dyDescent="0.2">
      <c r="A1562" s="334" t="s">
        <v>1729</v>
      </c>
      <c r="B1562" s="380"/>
      <c r="C1562" s="380" t="s">
        <v>1551</v>
      </c>
      <c r="D1562" s="377">
        <v>-90130.6</v>
      </c>
      <c r="E1562" s="384"/>
      <c r="F1562" s="378"/>
      <c r="G1562" s="380"/>
      <c r="H1562" s="380"/>
      <c r="I1562" s="399"/>
      <c r="J1562" s="377"/>
      <c r="K1562" s="382"/>
      <c r="L1562" s="380"/>
      <c r="M1562" s="380"/>
      <c r="N1562" s="380"/>
      <c r="O1562" s="380"/>
      <c r="P1562" s="380"/>
      <c r="Q1562" s="380"/>
    </row>
    <row r="1563" spans="1:17" x14ac:dyDescent="0.2">
      <c r="A1563" s="334" t="s">
        <v>1735</v>
      </c>
      <c r="B1563" s="380"/>
      <c r="C1563" s="380" t="s">
        <v>194</v>
      </c>
      <c r="D1563" s="377"/>
      <c r="E1563" s="384"/>
      <c r="F1563" s="378"/>
      <c r="G1563" s="380"/>
      <c r="H1563" s="380"/>
      <c r="I1563" s="399"/>
      <c r="J1563" s="377">
        <v>100</v>
      </c>
      <c r="K1563" s="382"/>
      <c r="L1563" s="380"/>
      <c r="M1563" s="380"/>
      <c r="N1563" s="380"/>
      <c r="O1563" s="380"/>
      <c r="P1563" s="380"/>
      <c r="Q1563" s="380"/>
    </row>
    <row r="1564" spans="1:17" x14ac:dyDescent="0.2">
      <c r="A1564" s="334" t="s">
        <v>1741</v>
      </c>
      <c r="B1564" s="380"/>
      <c r="C1564" s="334" t="s">
        <v>1748</v>
      </c>
      <c r="D1564" s="377">
        <v>500</v>
      </c>
      <c r="E1564" s="384"/>
      <c r="F1564" s="378"/>
      <c r="G1564" s="380"/>
      <c r="H1564" s="380"/>
      <c r="I1564" s="399"/>
      <c r="J1564" s="377"/>
      <c r="K1564" s="382"/>
      <c r="L1564" s="380"/>
      <c r="M1564" s="380"/>
      <c r="N1564" s="380"/>
      <c r="O1564" s="380"/>
      <c r="P1564" s="380"/>
      <c r="Q1564" s="380"/>
    </row>
    <row r="1565" spans="1:17" x14ac:dyDescent="0.2">
      <c r="A1565" s="334" t="s">
        <v>1754</v>
      </c>
      <c r="B1565" s="380"/>
      <c r="C1565" s="334" t="s">
        <v>1929</v>
      </c>
      <c r="D1565" s="377">
        <v>500</v>
      </c>
      <c r="E1565" s="384"/>
      <c r="F1565" s="378"/>
      <c r="G1565" s="380"/>
      <c r="H1565" s="380"/>
      <c r="I1565" s="399"/>
      <c r="J1565" s="377">
        <v>500</v>
      </c>
      <c r="K1565" s="382"/>
      <c r="L1565" s="380"/>
      <c r="M1565" s="380"/>
      <c r="N1565" s="380"/>
      <c r="O1565" s="380"/>
      <c r="P1565" s="380"/>
      <c r="Q1565" s="380"/>
    </row>
    <row r="1566" spans="1:17" x14ac:dyDescent="0.2">
      <c r="A1566" s="334" t="s">
        <v>1580</v>
      </c>
      <c r="B1566" s="380"/>
      <c r="C1566" s="334" t="s">
        <v>1936</v>
      </c>
      <c r="D1566" s="377"/>
      <c r="E1566" s="384"/>
      <c r="F1566" s="378"/>
      <c r="G1566" s="380"/>
      <c r="H1566" s="380"/>
      <c r="I1566" s="399"/>
      <c r="J1566" s="377"/>
      <c r="K1566" s="382"/>
      <c r="L1566" s="380"/>
      <c r="M1566" s="380"/>
      <c r="N1566" s="380"/>
      <c r="O1566" s="380"/>
      <c r="P1566" s="380"/>
      <c r="Q1566" s="380"/>
    </row>
    <row r="1567" spans="1:17" x14ac:dyDescent="0.2">
      <c r="A1567" s="334" t="s">
        <v>1572</v>
      </c>
      <c r="B1567" s="380"/>
      <c r="C1567" s="334" t="s">
        <v>3134</v>
      </c>
      <c r="D1567" s="377"/>
      <c r="E1567" s="384"/>
      <c r="F1567" s="378"/>
      <c r="G1567" s="380"/>
      <c r="H1567" s="380"/>
      <c r="I1567" s="399"/>
      <c r="J1567" s="377"/>
      <c r="K1567" s="382"/>
      <c r="L1567" s="380"/>
      <c r="M1567" s="380"/>
      <c r="N1567" s="380"/>
      <c r="O1567" s="380"/>
      <c r="P1567" s="380"/>
      <c r="Q1567" s="380"/>
    </row>
    <row r="1568" spans="1:17" x14ac:dyDescent="0.2">
      <c r="A1568" s="334" t="s">
        <v>1730</v>
      </c>
      <c r="B1568" s="380"/>
      <c r="C1568" s="334" t="s">
        <v>1985</v>
      </c>
      <c r="D1568" s="377">
        <v>4000</v>
      </c>
      <c r="E1568" s="384"/>
      <c r="F1568" s="378"/>
      <c r="G1568" s="380"/>
      <c r="H1568" s="380"/>
      <c r="I1568" s="399"/>
      <c r="J1568" s="377">
        <v>6000</v>
      </c>
      <c r="K1568" s="382"/>
      <c r="L1568" s="380"/>
      <c r="M1568" s="380"/>
      <c r="N1568" s="380"/>
      <c r="O1568" s="380"/>
      <c r="P1568" s="380"/>
      <c r="Q1568" s="380"/>
    </row>
    <row r="1569" spans="1:17" x14ac:dyDescent="0.2">
      <c r="A1569" s="334" t="s">
        <v>1898</v>
      </c>
      <c r="B1569" s="380"/>
      <c r="C1569" s="334" t="s">
        <v>1</v>
      </c>
      <c r="D1569" s="377"/>
      <c r="E1569" s="384"/>
      <c r="F1569" s="378"/>
      <c r="G1569" s="380"/>
      <c r="H1569" s="380"/>
      <c r="I1569" s="399"/>
      <c r="J1569" s="377"/>
      <c r="K1569" s="382"/>
      <c r="L1569" s="380"/>
      <c r="M1569" s="380"/>
      <c r="N1569" s="380"/>
      <c r="O1569" s="380"/>
      <c r="P1569" s="380"/>
      <c r="Q1569" s="380"/>
    </row>
    <row r="1570" spans="1:17" x14ac:dyDescent="0.2">
      <c r="A1570" s="384" t="s">
        <v>1962</v>
      </c>
      <c r="B1570" s="380"/>
      <c r="C1570" s="380" t="s">
        <v>572</v>
      </c>
      <c r="D1570" s="377">
        <v>2000</v>
      </c>
      <c r="E1570" s="384"/>
      <c r="F1570" s="378"/>
      <c r="G1570" s="380"/>
      <c r="H1570" s="380"/>
      <c r="I1570" s="399"/>
      <c r="J1570" s="377"/>
      <c r="K1570" s="382"/>
      <c r="L1570" s="380"/>
      <c r="M1570" s="380"/>
      <c r="N1570" s="380"/>
      <c r="O1570" s="380"/>
      <c r="P1570" s="380"/>
      <c r="Q1570" s="380"/>
    </row>
    <row r="1571" spans="1:17" x14ac:dyDescent="0.2">
      <c r="A1571" s="380"/>
      <c r="B1571" s="380"/>
      <c r="C1571" s="380"/>
      <c r="D1571" s="410" t="s">
        <v>342</v>
      </c>
      <c r="E1571" s="380"/>
      <c r="F1571" s="378"/>
      <c r="G1571" s="380"/>
      <c r="H1571" s="380"/>
      <c r="I1571" s="383"/>
      <c r="J1571" s="410" t="s">
        <v>342</v>
      </c>
      <c r="K1571" s="382"/>
      <c r="L1571" s="380"/>
      <c r="M1571" s="380"/>
      <c r="N1571" s="380"/>
      <c r="O1571" s="380"/>
      <c r="P1571" s="380"/>
      <c r="Q1571" s="380"/>
    </row>
    <row r="1572" spans="1:17" x14ac:dyDescent="0.2">
      <c r="A1572" s="334" t="s">
        <v>342</v>
      </c>
      <c r="B1572" s="380"/>
      <c r="C1572" s="380"/>
      <c r="D1572" s="334">
        <f>SUM(D1547:D1570)</f>
        <v>360522.4</v>
      </c>
      <c r="E1572" s="380"/>
      <c r="F1572" s="378"/>
      <c r="G1572" s="380"/>
      <c r="H1572" s="380"/>
      <c r="I1572" s="383"/>
      <c r="J1572" s="334">
        <f>SUM(J1547:J1570)</f>
        <v>425300</v>
      </c>
      <c r="K1572" s="382"/>
      <c r="L1572" s="380"/>
      <c r="M1572" s="380"/>
      <c r="N1572" s="380"/>
      <c r="O1572" s="380"/>
      <c r="P1572" s="380"/>
      <c r="Q1572" s="380"/>
    </row>
    <row r="1573" spans="1:17" ht="16.5" thickTop="1" x14ac:dyDescent="0.25">
      <c r="A1573" s="334" t="s">
        <v>342</v>
      </c>
      <c r="B1573" s="380"/>
      <c r="C1573" s="334" t="s">
        <v>342</v>
      </c>
      <c r="D1573" s="400">
        <f>D1572-D1548</f>
        <v>359522.4</v>
      </c>
      <c r="E1573" s="380"/>
      <c r="F1573" s="378"/>
      <c r="G1573" s="380"/>
      <c r="H1573" s="380"/>
      <c r="I1573" s="409"/>
      <c r="J1573" s="400">
        <f>J1572-J1548</f>
        <v>424300</v>
      </c>
      <c r="K1573" s="382"/>
      <c r="L1573" s="380"/>
      <c r="M1573" s="380"/>
      <c r="N1573" s="380"/>
      <c r="O1573" s="380"/>
      <c r="P1573" s="380"/>
      <c r="Q1573" s="380"/>
    </row>
    <row r="1574" spans="1:17" x14ac:dyDescent="0.2">
      <c r="A1574" s="334" t="s">
        <v>342</v>
      </c>
      <c r="B1574" s="377"/>
      <c r="C1574" s="334" t="s">
        <v>342</v>
      </c>
      <c r="D1574" s="334" t="s">
        <v>342</v>
      </c>
      <c r="E1574" s="377"/>
      <c r="F1574" s="378"/>
      <c r="G1574" s="377"/>
      <c r="H1574" s="377"/>
      <c r="I1574" s="387"/>
      <c r="J1574" s="382"/>
      <c r="K1574" s="382"/>
      <c r="L1574" s="380"/>
      <c r="M1574" s="380"/>
      <c r="N1574" s="380"/>
      <c r="O1574" s="380"/>
      <c r="P1574" s="380"/>
      <c r="Q1574" s="380"/>
    </row>
    <row r="1575" spans="1:17" x14ac:dyDescent="0.2">
      <c r="A1575" s="334" t="s">
        <v>342</v>
      </c>
      <c r="B1575" s="380"/>
      <c r="C1575" s="334" t="s">
        <v>342</v>
      </c>
      <c r="D1575" s="334" t="s">
        <v>342</v>
      </c>
      <c r="E1575" s="380"/>
      <c r="F1575" s="378"/>
      <c r="G1575" s="380"/>
      <c r="H1575" s="380"/>
      <c r="I1575" s="383"/>
      <c r="J1575" s="382"/>
      <c r="K1575" s="382"/>
      <c r="L1575" s="380"/>
      <c r="M1575" s="380"/>
      <c r="N1575" s="380"/>
      <c r="O1575" s="380"/>
      <c r="P1575" s="380"/>
      <c r="Q1575" s="380"/>
    </row>
    <row r="1576" spans="1:17" x14ac:dyDescent="0.2">
      <c r="A1576" s="334" t="s">
        <v>411</v>
      </c>
      <c r="B1576" s="380"/>
      <c r="C1576" s="380"/>
      <c r="D1576" s="334"/>
      <c r="E1576" s="380"/>
      <c r="F1576" s="378"/>
      <c r="G1576" s="380"/>
      <c r="H1576" s="380"/>
      <c r="I1576" s="383"/>
      <c r="J1576" s="382"/>
      <c r="K1576" s="382"/>
      <c r="L1576" s="380"/>
      <c r="M1576" s="380"/>
      <c r="N1576" s="380"/>
      <c r="O1576" s="380"/>
      <c r="P1576" s="380"/>
      <c r="Q1576" s="380"/>
    </row>
    <row r="1577" spans="1:17" x14ac:dyDescent="0.2">
      <c r="A1577" s="334" t="s">
        <v>342</v>
      </c>
      <c r="B1577" s="380"/>
      <c r="C1577" s="384" t="s">
        <v>2118</v>
      </c>
      <c r="D1577" s="380"/>
      <c r="E1577" s="380"/>
      <c r="F1577" s="378"/>
      <c r="G1577" s="380"/>
      <c r="H1577" s="380"/>
      <c r="I1577" s="383"/>
      <c r="J1577" s="382"/>
      <c r="K1577" s="382"/>
      <c r="L1577" s="380"/>
      <c r="M1577" s="380"/>
      <c r="N1577" s="380"/>
      <c r="O1577" s="380"/>
      <c r="P1577" s="380"/>
      <c r="Q1577" s="380"/>
    </row>
    <row r="1578" spans="1:17" x14ac:dyDescent="0.2">
      <c r="A1578" s="334" t="s">
        <v>342</v>
      </c>
      <c r="B1578" s="380"/>
      <c r="C1578" s="334" t="s">
        <v>342</v>
      </c>
      <c r="D1578" s="334" t="s">
        <v>342</v>
      </c>
      <c r="E1578" s="380"/>
      <c r="F1578" s="378"/>
      <c r="G1578" s="380"/>
      <c r="H1578" s="380"/>
      <c r="I1578" s="383"/>
      <c r="J1578" s="382"/>
      <c r="K1578" s="382"/>
      <c r="L1578" s="380"/>
      <c r="M1578" s="380"/>
      <c r="N1578" s="380"/>
      <c r="O1578" s="380"/>
      <c r="P1578" s="380"/>
      <c r="Q1578" s="380"/>
    </row>
    <row r="1579" spans="1:17" x14ac:dyDescent="0.2">
      <c r="A1579" s="334" t="s">
        <v>1723</v>
      </c>
      <c r="B1579" s="380"/>
      <c r="C1579" s="334" t="s">
        <v>1880</v>
      </c>
      <c r="D1579" s="505" t="s">
        <v>181</v>
      </c>
      <c r="E1579" s="505"/>
      <c r="F1579" s="378"/>
      <c r="G1579" s="380"/>
      <c r="H1579" s="380"/>
      <c r="I1579" s="383"/>
      <c r="J1579" s="505" t="s">
        <v>181</v>
      </c>
      <c r="K1579" s="505"/>
      <c r="L1579" s="380"/>
      <c r="M1579" s="380"/>
      <c r="N1579" s="380"/>
      <c r="O1579" s="380"/>
      <c r="P1579" s="380"/>
      <c r="Q1579" s="380"/>
    </row>
    <row r="1580" spans="1:17" x14ac:dyDescent="0.2">
      <c r="A1580" s="334"/>
      <c r="B1580" s="380"/>
      <c r="C1580" s="334"/>
      <c r="D1580" s="428" t="s">
        <v>679</v>
      </c>
      <c r="E1580" s="429" t="s">
        <v>1508</v>
      </c>
      <c r="F1580" s="378"/>
      <c r="G1580" s="380"/>
      <c r="H1580" s="380"/>
      <c r="I1580" s="383"/>
      <c r="J1580" s="428" t="s">
        <v>679</v>
      </c>
      <c r="K1580" s="429" t="s">
        <v>1508</v>
      </c>
      <c r="L1580" s="380"/>
      <c r="M1580" s="380"/>
      <c r="N1580" s="380"/>
      <c r="O1580" s="380"/>
      <c r="P1580" s="380"/>
      <c r="Q1580" s="380"/>
    </row>
    <row r="1581" spans="1:17" x14ac:dyDescent="0.2">
      <c r="A1581" s="334" t="s">
        <v>342</v>
      </c>
      <c r="B1581" s="380"/>
      <c r="C1581" s="334" t="s">
        <v>342</v>
      </c>
      <c r="D1581" s="334" t="s">
        <v>342</v>
      </c>
      <c r="E1581" s="380"/>
      <c r="F1581" s="378"/>
      <c r="G1581" s="380"/>
      <c r="H1581" s="380"/>
      <c r="I1581" s="383"/>
      <c r="J1581" s="334" t="s">
        <v>342</v>
      </c>
      <c r="K1581" s="380"/>
      <c r="L1581" s="380"/>
      <c r="M1581" s="380"/>
      <c r="N1581" s="380"/>
      <c r="O1581" s="380"/>
      <c r="P1581" s="380"/>
      <c r="Q1581" s="380"/>
    </row>
    <row r="1582" spans="1:17" x14ac:dyDescent="0.2">
      <c r="A1582" s="334" t="s">
        <v>1724</v>
      </c>
      <c r="B1582" s="380"/>
      <c r="C1582" s="334" t="s">
        <v>1881</v>
      </c>
      <c r="D1582" s="377"/>
      <c r="E1582" s="377"/>
      <c r="F1582" s="378"/>
      <c r="G1582" s="380"/>
      <c r="H1582" s="380"/>
      <c r="I1582" s="399"/>
      <c r="J1582" s="377"/>
      <c r="K1582" s="377"/>
      <c r="L1582" s="380"/>
      <c r="M1582" s="380"/>
      <c r="N1582" s="380"/>
      <c r="O1582" s="380"/>
      <c r="P1582" s="380"/>
      <c r="Q1582" s="380"/>
    </row>
    <row r="1583" spans="1:17" x14ac:dyDescent="0.2">
      <c r="A1583" s="334" t="s">
        <v>1736</v>
      </c>
      <c r="B1583" s="380"/>
      <c r="C1583" s="334" t="s">
        <v>1747</v>
      </c>
      <c r="D1583" s="377"/>
      <c r="E1583" s="377"/>
      <c r="F1583" s="378"/>
      <c r="G1583" s="380"/>
      <c r="H1583" s="380"/>
      <c r="I1583" s="399"/>
      <c r="J1583" s="377"/>
      <c r="K1583" s="377"/>
      <c r="L1583" s="380"/>
      <c r="M1583" s="380"/>
      <c r="N1583" s="380"/>
      <c r="O1583" s="380"/>
      <c r="P1583" s="380"/>
      <c r="Q1583" s="380"/>
    </row>
    <row r="1584" spans="1:17" x14ac:dyDescent="0.2">
      <c r="A1584" s="384" t="s">
        <v>1744</v>
      </c>
      <c r="B1584" s="380"/>
      <c r="C1584" s="334" t="s">
        <v>1254</v>
      </c>
      <c r="D1584" s="377"/>
      <c r="E1584" s="377"/>
      <c r="F1584" s="378"/>
      <c r="G1584" s="380"/>
      <c r="H1584" s="380"/>
      <c r="I1584" s="399"/>
      <c r="J1584" s="377"/>
      <c r="K1584" s="377"/>
      <c r="L1584" s="380"/>
      <c r="M1584" s="380"/>
      <c r="N1584" s="380"/>
      <c r="O1584" s="380"/>
      <c r="P1584" s="380"/>
      <c r="Q1584" s="380"/>
    </row>
    <row r="1585" spans="1:17" x14ac:dyDescent="0.2">
      <c r="A1585" s="384" t="s">
        <v>1582</v>
      </c>
      <c r="B1585" s="380"/>
      <c r="C1585" s="334" t="s">
        <v>3135</v>
      </c>
      <c r="D1585" s="377"/>
      <c r="E1585" s="377"/>
      <c r="F1585" s="378"/>
      <c r="G1585" s="380"/>
      <c r="H1585" s="380"/>
      <c r="I1585" s="399"/>
      <c r="J1585" s="377"/>
      <c r="K1585" s="377"/>
      <c r="L1585" s="380"/>
      <c r="M1585" s="380"/>
      <c r="N1585" s="380"/>
      <c r="O1585" s="380"/>
      <c r="P1585" s="380"/>
      <c r="Q1585" s="380"/>
    </row>
    <row r="1586" spans="1:17" x14ac:dyDescent="0.2">
      <c r="A1586" s="334" t="s">
        <v>1575</v>
      </c>
      <c r="B1586" s="380"/>
      <c r="C1586" s="334" t="s">
        <v>1889</v>
      </c>
      <c r="D1586" s="377"/>
      <c r="E1586" s="377"/>
      <c r="F1586" s="378"/>
      <c r="G1586" s="380"/>
      <c r="H1586" s="380"/>
      <c r="I1586" s="399"/>
      <c r="J1586" s="377"/>
      <c r="K1586" s="377"/>
      <c r="L1586" s="380"/>
      <c r="M1586" s="380"/>
      <c r="N1586" s="380"/>
      <c r="O1586" s="380"/>
      <c r="P1586" s="380"/>
      <c r="Q1586" s="380"/>
    </row>
    <row r="1587" spans="1:17" x14ac:dyDescent="0.2">
      <c r="A1587" s="334" t="s">
        <v>1725</v>
      </c>
      <c r="B1587" s="380"/>
      <c r="C1587" s="334" t="s">
        <v>1890</v>
      </c>
      <c r="D1587" s="377"/>
      <c r="E1587" s="377"/>
      <c r="F1587" s="378"/>
      <c r="G1587" s="380"/>
      <c r="H1587" s="380"/>
      <c r="I1587" s="399"/>
      <c r="J1587" s="377"/>
      <c r="K1587" s="377"/>
      <c r="L1587" s="380"/>
      <c r="M1587" s="380"/>
      <c r="N1587" s="380"/>
      <c r="O1587" s="380"/>
      <c r="P1587" s="380"/>
      <c r="Q1587" s="380"/>
    </row>
    <row r="1588" spans="1:17" x14ac:dyDescent="0.2">
      <c r="A1588" s="334" t="s">
        <v>1906</v>
      </c>
      <c r="B1588" s="380"/>
      <c r="C1588" s="334" t="s">
        <v>39</v>
      </c>
      <c r="D1588" s="377"/>
      <c r="E1588" s="377"/>
      <c r="F1588" s="378"/>
      <c r="G1588" s="380"/>
      <c r="H1588" s="380"/>
      <c r="I1588" s="399"/>
      <c r="J1588" s="377"/>
      <c r="K1588" s="377"/>
      <c r="L1588" s="380"/>
      <c r="M1588" s="380"/>
      <c r="N1588" s="380"/>
      <c r="O1588" s="380"/>
      <c r="P1588" s="380"/>
      <c r="Q1588" s="380"/>
    </row>
    <row r="1589" spans="1:17" x14ac:dyDescent="0.2">
      <c r="A1589" s="334" t="s">
        <v>1576</v>
      </c>
      <c r="B1589" s="380"/>
      <c r="C1589" s="334" t="s">
        <v>1590</v>
      </c>
      <c r="D1589" s="377"/>
      <c r="E1589" s="377"/>
      <c r="F1589" s="378"/>
      <c r="G1589" s="380"/>
      <c r="H1589" s="380"/>
      <c r="I1589" s="399"/>
      <c r="J1589" s="377"/>
      <c r="K1589" s="377"/>
      <c r="L1589" s="380"/>
      <c r="M1589" s="380"/>
      <c r="N1589" s="380"/>
      <c r="O1589" s="380"/>
      <c r="P1589" s="380"/>
      <c r="Q1589" s="380"/>
    </row>
    <row r="1590" spans="1:17" x14ac:dyDescent="0.2">
      <c r="A1590" s="334" t="s">
        <v>1734</v>
      </c>
      <c r="B1590" s="380"/>
      <c r="C1590" s="334" t="s">
        <v>1746</v>
      </c>
      <c r="D1590" s="377"/>
      <c r="E1590" s="377"/>
      <c r="F1590" s="378"/>
      <c r="G1590" s="334"/>
      <c r="H1590" s="380"/>
      <c r="I1590" s="399"/>
      <c r="J1590" s="377"/>
      <c r="K1590" s="377"/>
      <c r="L1590" s="380"/>
      <c r="M1590" s="380"/>
      <c r="N1590" s="380"/>
      <c r="O1590" s="380"/>
      <c r="P1590" s="380"/>
      <c r="Q1590" s="380"/>
    </row>
    <row r="1591" spans="1:17" x14ac:dyDescent="0.2">
      <c r="A1591" s="334" t="s">
        <v>1583</v>
      </c>
      <c r="B1591" s="380"/>
      <c r="C1591" s="334" t="s">
        <v>41</v>
      </c>
      <c r="D1591" s="377"/>
      <c r="E1591" s="377"/>
      <c r="F1591" s="378"/>
      <c r="G1591" s="380"/>
      <c r="H1591" s="380"/>
      <c r="I1591" s="399"/>
      <c r="J1591" s="377"/>
      <c r="K1591" s="377"/>
      <c r="L1591" s="380"/>
      <c r="M1591" s="380"/>
      <c r="N1591" s="380"/>
      <c r="O1591" s="380"/>
      <c r="P1591" s="380"/>
      <c r="Q1591" s="380"/>
    </row>
    <row r="1592" spans="1:17" x14ac:dyDescent="0.2">
      <c r="A1592" s="334" t="s">
        <v>1738</v>
      </c>
      <c r="B1592" s="380"/>
      <c r="C1592" s="334" t="s">
        <v>1591</v>
      </c>
      <c r="D1592" s="377"/>
      <c r="E1592" s="377"/>
      <c r="F1592" s="378"/>
      <c r="G1592" s="380"/>
      <c r="H1592" s="380"/>
      <c r="I1592" s="399"/>
      <c r="J1592" s="377"/>
      <c r="K1592" s="377"/>
      <c r="L1592" s="380"/>
      <c r="M1592" s="380"/>
      <c r="N1592" s="380"/>
      <c r="O1592" s="380"/>
      <c r="P1592" s="380"/>
      <c r="Q1592" s="380"/>
    </row>
    <row r="1593" spans="1:17" x14ac:dyDescent="0.2">
      <c r="A1593" s="334" t="s">
        <v>1727</v>
      </c>
      <c r="B1593" s="380"/>
      <c r="C1593" s="334" t="s">
        <v>307</v>
      </c>
      <c r="D1593" s="377"/>
      <c r="E1593" s="377"/>
      <c r="F1593" s="378"/>
      <c r="G1593" s="380"/>
      <c r="H1593" s="380"/>
      <c r="I1593" s="399"/>
      <c r="J1593" s="377"/>
      <c r="K1593" s="377"/>
      <c r="L1593" s="380"/>
      <c r="M1593" s="380"/>
      <c r="N1593" s="380"/>
      <c r="O1593" s="380"/>
      <c r="P1593" s="380"/>
      <c r="Q1593" s="380"/>
    </row>
    <row r="1594" spans="1:17" x14ac:dyDescent="0.2">
      <c r="A1594" s="334" t="s">
        <v>1728</v>
      </c>
      <c r="B1594" s="380"/>
      <c r="C1594" s="334" t="s">
        <v>310</v>
      </c>
      <c r="D1594" s="377"/>
      <c r="E1594" s="377"/>
      <c r="F1594" s="378"/>
      <c r="G1594" s="380"/>
      <c r="H1594" s="380"/>
      <c r="I1594" s="399"/>
      <c r="J1594" s="377"/>
      <c r="K1594" s="377"/>
      <c r="L1594" s="380"/>
      <c r="M1594" s="380"/>
      <c r="N1594" s="380"/>
      <c r="O1594" s="380"/>
      <c r="P1594" s="380"/>
      <c r="Q1594" s="380"/>
    </row>
    <row r="1595" spans="1:17" x14ac:dyDescent="0.2">
      <c r="A1595" s="334" t="s">
        <v>1729</v>
      </c>
      <c r="B1595" s="380"/>
      <c r="C1595" s="380" t="s">
        <v>1551</v>
      </c>
      <c r="D1595" s="377"/>
      <c r="E1595" s="377"/>
      <c r="F1595" s="378"/>
      <c r="G1595" s="380"/>
      <c r="H1595" s="380"/>
      <c r="I1595" s="399"/>
      <c r="J1595" s="377"/>
      <c r="K1595" s="377"/>
      <c r="L1595" s="380"/>
      <c r="M1595" s="380"/>
      <c r="N1595" s="380"/>
      <c r="O1595" s="380"/>
      <c r="P1595" s="380"/>
      <c r="Q1595" s="380"/>
    </row>
    <row r="1596" spans="1:17" x14ac:dyDescent="0.2">
      <c r="A1596" s="334" t="s">
        <v>1735</v>
      </c>
      <c r="B1596" s="380"/>
      <c r="C1596" s="380" t="s">
        <v>194</v>
      </c>
      <c r="D1596" s="377"/>
      <c r="E1596" s="377"/>
      <c r="F1596" s="378"/>
      <c r="G1596" s="380"/>
      <c r="H1596" s="380"/>
      <c r="I1596" s="399"/>
      <c r="J1596" s="377"/>
      <c r="K1596" s="377"/>
      <c r="L1596" s="380"/>
      <c r="M1596" s="380"/>
      <c r="N1596" s="380"/>
      <c r="O1596" s="380"/>
      <c r="P1596" s="380"/>
      <c r="Q1596" s="380"/>
    </row>
    <row r="1597" spans="1:17" x14ac:dyDescent="0.2">
      <c r="A1597" s="334" t="s">
        <v>1741</v>
      </c>
      <c r="B1597" s="380"/>
      <c r="C1597" s="334" t="s">
        <v>1748</v>
      </c>
      <c r="D1597" s="377"/>
      <c r="E1597" s="377"/>
      <c r="F1597" s="378"/>
      <c r="G1597" s="380"/>
      <c r="H1597" s="380"/>
      <c r="I1597" s="399"/>
      <c r="J1597" s="377"/>
      <c r="K1597" s="377"/>
      <c r="L1597" s="380"/>
      <c r="M1597" s="380"/>
      <c r="N1597" s="380"/>
      <c r="O1597" s="380"/>
      <c r="P1597" s="380"/>
      <c r="Q1597" s="380"/>
    </row>
    <row r="1598" spans="1:17" x14ac:dyDescent="0.2">
      <c r="A1598" s="334" t="s">
        <v>1580</v>
      </c>
      <c r="B1598" s="380"/>
      <c r="C1598" s="334" t="s">
        <v>1936</v>
      </c>
      <c r="D1598" s="377"/>
      <c r="E1598" s="377"/>
      <c r="F1598" s="378"/>
      <c r="G1598" s="380"/>
      <c r="H1598" s="380"/>
      <c r="I1598" s="399"/>
      <c r="J1598" s="377"/>
      <c r="K1598" s="377"/>
      <c r="L1598" s="380"/>
      <c r="M1598" s="380"/>
      <c r="N1598" s="380"/>
      <c r="O1598" s="380"/>
      <c r="P1598" s="380"/>
      <c r="Q1598" s="380"/>
    </row>
    <row r="1599" spans="1:17" x14ac:dyDescent="0.2">
      <c r="A1599" s="334" t="s">
        <v>1572</v>
      </c>
      <c r="B1599" s="380"/>
      <c r="C1599" s="334" t="s">
        <v>3134</v>
      </c>
      <c r="D1599" s="377"/>
      <c r="E1599" s="377"/>
      <c r="F1599" s="378"/>
      <c r="G1599" s="380"/>
      <c r="H1599" s="380"/>
      <c r="I1599" s="399"/>
      <c r="J1599" s="377"/>
      <c r="K1599" s="377"/>
      <c r="L1599" s="380"/>
      <c r="M1599" s="380"/>
      <c r="N1599" s="380"/>
      <c r="O1599" s="380"/>
      <c r="P1599" s="380"/>
      <c r="Q1599" s="380"/>
    </row>
    <row r="1600" spans="1:17" x14ac:dyDescent="0.2">
      <c r="A1600" s="334" t="s">
        <v>1730</v>
      </c>
      <c r="B1600" s="380"/>
      <c r="C1600" s="334" t="s">
        <v>1985</v>
      </c>
      <c r="D1600" s="377"/>
      <c r="E1600" s="377"/>
      <c r="F1600" s="378"/>
      <c r="G1600" s="380"/>
      <c r="H1600" s="380"/>
      <c r="I1600" s="399"/>
      <c r="J1600" s="377"/>
      <c r="K1600" s="377"/>
      <c r="L1600" s="380"/>
      <c r="M1600" s="380"/>
      <c r="N1600" s="380"/>
      <c r="O1600" s="380"/>
      <c r="P1600" s="380"/>
      <c r="Q1600" s="380"/>
    </row>
    <row r="1601" spans="1:17" x14ac:dyDescent="0.2">
      <c r="A1601" s="384" t="s">
        <v>1962</v>
      </c>
      <c r="B1601" s="380"/>
      <c r="C1601" s="380" t="s">
        <v>572</v>
      </c>
      <c r="D1601" s="377"/>
      <c r="E1601" s="377"/>
      <c r="F1601" s="378"/>
      <c r="G1601" s="380"/>
      <c r="H1601" s="380"/>
      <c r="I1601" s="399"/>
      <c r="J1601" s="377"/>
      <c r="K1601" s="377"/>
      <c r="L1601" s="380"/>
      <c r="M1601" s="380"/>
      <c r="N1601" s="380"/>
      <c r="O1601" s="380"/>
      <c r="P1601" s="380"/>
      <c r="Q1601" s="380"/>
    </row>
    <row r="1602" spans="1:17" x14ac:dyDescent="0.2">
      <c r="A1602" s="334" t="s">
        <v>1743</v>
      </c>
      <c r="B1602" s="380"/>
      <c r="C1602" s="334" t="s">
        <v>1886</v>
      </c>
      <c r="D1602" s="377"/>
      <c r="E1602" s="423"/>
      <c r="F1602" s="378"/>
      <c r="G1602" s="380"/>
      <c r="H1602" s="380"/>
      <c r="I1602" s="399"/>
      <c r="J1602" s="377"/>
      <c r="K1602" s="423"/>
      <c r="L1602" s="380"/>
      <c r="M1602" s="380"/>
      <c r="N1602" s="380"/>
      <c r="O1602" s="380"/>
      <c r="P1602" s="380"/>
      <c r="Q1602" s="380"/>
    </row>
    <row r="1603" spans="1:17" x14ac:dyDescent="0.2">
      <c r="A1603" s="334" t="s">
        <v>436</v>
      </c>
      <c r="B1603" s="380"/>
      <c r="C1603" s="380"/>
      <c r="D1603" s="410" t="s">
        <v>342</v>
      </c>
      <c r="E1603" s="380"/>
      <c r="F1603" s="378"/>
      <c r="G1603" s="380"/>
      <c r="H1603" s="380"/>
      <c r="I1603" s="383"/>
      <c r="J1603" s="410" t="s">
        <v>342</v>
      </c>
      <c r="K1603" s="380"/>
      <c r="L1603" s="380"/>
      <c r="M1603" s="380"/>
      <c r="N1603" s="380"/>
      <c r="O1603" s="380"/>
      <c r="P1603" s="380"/>
      <c r="Q1603" s="380"/>
    </row>
    <row r="1604" spans="1:17" x14ac:dyDescent="0.2">
      <c r="A1604" s="380"/>
      <c r="B1604" s="380"/>
      <c r="C1604" s="380"/>
      <c r="D1604" s="334">
        <f>SUM(D1582:D1602)</f>
        <v>0</v>
      </c>
      <c r="E1604" s="334">
        <f>SUM(E1582:E1602)</f>
        <v>0</v>
      </c>
      <c r="F1604" s="378"/>
      <c r="G1604" s="380"/>
      <c r="H1604" s="380"/>
      <c r="I1604" s="383"/>
      <c r="J1604" s="334">
        <f>SUM(J1582:J1602)</f>
        <v>0</v>
      </c>
      <c r="K1604" s="334">
        <f>SUM(K1582:K1602)</f>
        <v>0</v>
      </c>
      <c r="L1604" s="380"/>
      <c r="M1604" s="380"/>
      <c r="N1604" s="380"/>
      <c r="O1604" s="380"/>
      <c r="P1604" s="380"/>
      <c r="Q1604" s="380"/>
    </row>
    <row r="1605" spans="1:17" ht="15.75" thickTop="1" x14ac:dyDescent="0.2">
      <c r="A1605" s="380"/>
      <c r="B1605" s="380"/>
      <c r="C1605" s="380"/>
      <c r="D1605" s="400">
        <f>D1604</f>
        <v>0</v>
      </c>
      <c r="E1605" s="400">
        <f>E1604-E1602</f>
        <v>0</v>
      </c>
      <c r="F1605" s="378"/>
      <c r="G1605" s="380"/>
      <c r="H1605" s="380"/>
      <c r="I1605" s="383"/>
      <c r="J1605" s="400">
        <f>J1604</f>
        <v>0</v>
      </c>
      <c r="K1605" s="400">
        <f>K1604-K1602</f>
        <v>0</v>
      </c>
      <c r="L1605" s="380"/>
      <c r="M1605" s="380"/>
      <c r="N1605" s="380"/>
      <c r="O1605" s="380"/>
      <c r="P1605" s="380"/>
      <c r="Q1605" s="380"/>
    </row>
    <row r="1606" spans="1:17" ht="15.75" x14ac:dyDescent="0.25">
      <c r="A1606" s="377"/>
      <c r="B1606" s="377"/>
      <c r="C1606" s="377"/>
      <c r="D1606" s="377"/>
      <c r="E1606" s="377"/>
      <c r="F1606" s="378"/>
      <c r="G1606" s="377"/>
      <c r="H1606" s="377"/>
      <c r="I1606" s="397"/>
      <c r="J1606" s="382"/>
      <c r="K1606" s="382"/>
      <c r="L1606" s="380"/>
      <c r="M1606" s="380"/>
      <c r="N1606" s="380"/>
      <c r="O1606" s="380"/>
      <c r="P1606" s="380"/>
      <c r="Q1606" s="380"/>
    </row>
    <row r="1607" spans="1:17" x14ac:dyDescent="0.2">
      <c r="A1607" s="380"/>
      <c r="B1607" s="380"/>
      <c r="C1607" s="380"/>
      <c r="D1607" s="380"/>
      <c r="E1607" s="380"/>
      <c r="F1607" s="378"/>
      <c r="G1607" s="380"/>
      <c r="H1607" s="380"/>
      <c r="I1607" s="383"/>
      <c r="J1607" s="382"/>
      <c r="K1607" s="382"/>
      <c r="L1607" s="380"/>
      <c r="M1607" s="380"/>
      <c r="N1607" s="380"/>
      <c r="O1607" s="380"/>
      <c r="P1607" s="380"/>
      <c r="Q1607" s="380"/>
    </row>
    <row r="1608" spans="1:17" x14ac:dyDescent="0.2">
      <c r="A1608" s="334" t="s">
        <v>1907</v>
      </c>
      <c r="B1608" s="380"/>
      <c r="C1608" s="380"/>
      <c r="D1608" s="380"/>
      <c r="E1608" s="380"/>
      <c r="F1608" s="378"/>
      <c r="G1608" s="380"/>
      <c r="H1608" s="380"/>
      <c r="I1608" s="383"/>
      <c r="J1608" s="382"/>
      <c r="K1608" s="382"/>
      <c r="L1608" s="380"/>
      <c r="M1608" s="380"/>
      <c r="N1608" s="380"/>
      <c r="O1608" s="380"/>
      <c r="P1608" s="380"/>
      <c r="Q1608" s="380"/>
    </row>
    <row r="1609" spans="1:17" x14ac:dyDescent="0.2">
      <c r="A1609" s="380"/>
      <c r="B1609" s="380"/>
      <c r="C1609" s="384" t="s">
        <v>2119</v>
      </c>
      <c r="D1609" s="380"/>
      <c r="E1609" s="380"/>
      <c r="F1609" s="378"/>
      <c r="G1609" s="380"/>
      <c r="H1609" s="380"/>
      <c r="I1609" s="383"/>
      <c r="J1609" s="382"/>
      <c r="K1609" s="382"/>
      <c r="L1609" s="380"/>
      <c r="M1609" s="380"/>
      <c r="N1609" s="380"/>
      <c r="O1609" s="380"/>
      <c r="P1609" s="380"/>
      <c r="Q1609" s="380"/>
    </row>
    <row r="1610" spans="1:17" x14ac:dyDescent="0.2">
      <c r="A1610" s="380"/>
      <c r="B1610" s="380"/>
      <c r="C1610" s="380"/>
      <c r="D1610" s="380"/>
      <c r="E1610" s="380"/>
      <c r="F1610" s="378"/>
      <c r="G1610" s="380"/>
      <c r="H1610" s="380"/>
      <c r="I1610" s="383"/>
      <c r="J1610" s="382"/>
      <c r="K1610" s="382"/>
      <c r="L1610" s="380"/>
      <c r="M1610" s="380"/>
      <c r="N1610" s="380"/>
      <c r="O1610" s="380"/>
      <c r="P1610" s="380"/>
      <c r="Q1610" s="380"/>
    </row>
    <row r="1611" spans="1:17" x14ac:dyDescent="0.2">
      <c r="A1611" s="385" t="s">
        <v>1723</v>
      </c>
      <c r="B1611" s="382"/>
      <c r="C1611" s="430" t="s">
        <v>1880</v>
      </c>
      <c r="D1611" s="430" t="s">
        <v>181</v>
      </c>
      <c r="E1611" s="380"/>
      <c r="F1611" s="378"/>
      <c r="G1611" s="380"/>
      <c r="H1611" s="380"/>
      <c r="I1611" s="383"/>
      <c r="J1611" s="430" t="s">
        <v>181</v>
      </c>
      <c r="K1611" s="382"/>
      <c r="L1611" s="380"/>
      <c r="M1611" s="380"/>
      <c r="N1611" s="380"/>
      <c r="O1611" s="380"/>
      <c r="P1611" s="380"/>
      <c r="Q1611" s="380"/>
    </row>
    <row r="1612" spans="1:17" x14ac:dyDescent="0.2">
      <c r="A1612" s="385" t="s">
        <v>342</v>
      </c>
      <c r="B1612" s="380"/>
      <c r="C1612" s="385" t="s">
        <v>342</v>
      </c>
      <c r="D1612" s="385" t="s">
        <v>342</v>
      </c>
      <c r="E1612" s="380"/>
      <c r="F1612" s="378"/>
      <c r="G1612" s="380"/>
      <c r="H1612" s="380"/>
      <c r="I1612" s="383"/>
      <c r="J1612" s="385" t="s">
        <v>342</v>
      </c>
      <c r="K1612" s="382"/>
      <c r="L1612" s="380"/>
      <c r="M1612" s="380"/>
      <c r="N1612" s="380"/>
      <c r="O1612" s="380"/>
      <c r="P1612" s="380"/>
      <c r="Q1612" s="380"/>
    </row>
    <row r="1613" spans="1:17" x14ac:dyDescent="0.2">
      <c r="A1613" s="334" t="s">
        <v>1733</v>
      </c>
      <c r="B1613" s="380"/>
      <c r="C1613" s="334" t="s">
        <v>27</v>
      </c>
      <c r="D1613" s="377"/>
      <c r="E1613" s="384"/>
      <c r="F1613" s="378"/>
      <c r="G1613" s="380"/>
      <c r="H1613" s="380"/>
      <c r="I1613" s="399"/>
      <c r="J1613" s="377"/>
      <c r="K1613" s="382"/>
      <c r="L1613" s="380"/>
      <c r="M1613" s="380"/>
      <c r="N1613" s="380"/>
      <c r="O1613" s="380"/>
      <c r="P1613" s="380"/>
      <c r="Q1613" s="380"/>
    </row>
    <row r="1614" spans="1:17" x14ac:dyDescent="0.2">
      <c r="A1614" s="334" t="s">
        <v>1743</v>
      </c>
      <c r="B1614" s="380"/>
      <c r="C1614" s="334" t="s">
        <v>1886</v>
      </c>
      <c r="D1614" s="377">
        <v>13000</v>
      </c>
      <c r="E1614" s="384"/>
      <c r="F1614" s="378"/>
      <c r="G1614" s="380"/>
      <c r="H1614" s="380"/>
      <c r="I1614" s="399"/>
      <c r="J1614" s="377">
        <v>30000</v>
      </c>
      <c r="K1614" s="382"/>
      <c r="L1614" s="380"/>
      <c r="M1614" s="380"/>
      <c r="N1614" s="380"/>
      <c r="O1614" s="380"/>
      <c r="P1614" s="380"/>
      <c r="Q1614" s="380"/>
    </row>
    <row r="1615" spans="1:17" x14ac:dyDescent="0.2">
      <c r="A1615" s="334" t="s">
        <v>1724</v>
      </c>
      <c r="B1615" s="380"/>
      <c r="C1615" s="334" t="s">
        <v>1881</v>
      </c>
      <c r="D1615" s="377">
        <v>100</v>
      </c>
      <c r="E1615" s="384"/>
      <c r="F1615" s="378"/>
      <c r="G1615" s="380"/>
      <c r="H1615" s="380"/>
      <c r="I1615" s="399"/>
      <c r="J1615" s="377">
        <v>100</v>
      </c>
      <c r="K1615" s="382"/>
      <c r="L1615" s="380"/>
      <c r="M1615" s="380"/>
      <c r="N1615" s="380"/>
      <c r="O1615" s="380"/>
      <c r="P1615" s="380"/>
      <c r="Q1615" s="380"/>
    </row>
    <row r="1616" spans="1:17" x14ac:dyDescent="0.2">
      <c r="A1616" s="384" t="s">
        <v>1760</v>
      </c>
      <c r="B1616" s="380"/>
      <c r="C1616" s="334" t="s">
        <v>40</v>
      </c>
      <c r="D1616" s="377"/>
      <c r="E1616" s="384"/>
      <c r="F1616" s="378"/>
      <c r="G1616" s="380"/>
      <c r="H1616" s="380"/>
      <c r="I1616" s="399"/>
      <c r="J1616" s="377"/>
      <c r="K1616" s="382"/>
      <c r="L1616" s="380"/>
      <c r="M1616" s="380"/>
      <c r="N1616" s="380"/>
      <c r="O1616" s="380"/>
      <c r="P1616" s="380"/>
      <c r="Q1616" s="380"/>
    </row>
    <row r="1617" spans="1:17" x14ac:dyDescent="0.2">
      <c r="A1617" s="384" t="s">
        <v>1734</v>
      </c>
      <c r="B1617" s="380"/>
      <c r="C1617" s="334" t="s">
        <v>1746</v>
      </c>
      <c r="D1617" s="377">
        <v>25000</v>
      </c>
      <c r="E1617" s="384"/>
      <c r="F1617" s="378"/>
      <c r="G1617" s="380"/>
      <c r="H1617" s="380"/>
      <c r="I1617" s="399"/>
      <c r="J1617" s="377"/>
      <c r="K1617" s="382"/>
      <c r="L1617" s="380"/>
      <c r="M1617" s="380"/>
      <c r="N1617" s="380"/>
      <c r="O1617" s="380"/>
      <c r="P1617" s="380"/>
      <c r="Q1617" s="380"/>
    </row>
    <row r="1618" spans="1:17" x14ac:dyDescent="0.2">
      <c r="A1618" s="405" t="s">
        <v>1738</v>
      </c>
      <c r="B1618" s="380"/>
      <c r="C1618" s="334" t="s">
        <v>1591</v>
      </c>
      <c r="D1618" s="377">
        <v>250</v>
      </c>
      <c r="E1618" s="384"/>
      <c r="F1618" s="378"/>
      <c r="G1618" s="380"/>
      <c r="H1618" s="380"/>
      <c r="I1618" s="399"/>
      <c r="J1618" s="377">
        <v>250</v>
      </c>
      <c r="K1618" s="382"/>
      <c r="L1618" s="380"/>
      <c r="M1618" s="380"/>
      <c r="N1618" s="380"/>
      <c r="O1618" s="380"/>
      <c r="P1618" s="380"/>
      <c r="Q1618" s="380"/>
    </row>
    <row r="1619" spans="1:17" x14ac:dyDescent="0.2">
      <c r="A1619" s="334" t="s">
        <v>1727</v>
      </c>
      <c r="B1619" s="380"/>
      <c r="C1619" s="334" t="s">
        <v>307</v>
      </c>
      <c r="D1619" s="377">
        <v>500</v>
      </c>
      <c r="E1619" s="384"/>
      <c r="F1619" s="378"/>
      <c r="G1619" s="380"/>
      <c r="H1619" s="380"/>
      <c r="I1619" s="399"/>
      <c r="J1619" s="377">
        <v>500</v>
      </c>
      <c r="K1619" s="382"/>
      <c r="L1619" s="380"/>
      <c r="M1619" s="380"/>
      <c r="N1619" s="380"/>
      <c r="O1619" s="380"/>
      <c r="P1619" s="380"/>
      <c r="Q1619" s="380"/>
    </row>
    <row r="1620" spans="1:17" x14ac:dyDescent="0.2">
      <c r="A1620" s="334" t="s">
        <v>1728</v>
      </c>
      <c r="B1620" s="380"/>
      <c r="C1620" s="334" t="s">
        <v>310</v>
      </c>
      <c r="D1620" s="377">
        <v>100</v>
      </c>
      <c r="E1620" s="384"/>
      <c r="F1620" s="378"/>
      <c r="G1620" s="380"/>
      <c r="H1620" s="380"/>
      <c r="I1620" s="399"/>
      <c r="J1620" s="377">
        <v>100</v>
      </c>
      <c r="K1620" s="382"/>
      <c r="L1620" s="380"/>
      <c r="M1620" s="380"/>
      <c r="N1620" s="380"/>
      <c r="O1620" s="380"/>
      <c r="P1620" s="380"/>
      <c r="Q1620" s="380"/>
    </row>
    <row r="1621" spans="1:17" x14ac:dyDescent="0.2">
      <c r="A1621" s="334" t="s">
        <v>1729</v>
      </c>
      <c r="B1621" s="380"/>
      <c r="C1621" s="380" t="s">
        <v>1551</v>
      </c>
      <c r="D1621" s="377"/>
      <c r="E1621" s="384"/>
      <c r="F1621" s="378"/>
      <c r="G1621" s="380"/>
      <c r="H1621" s="380"/>
      <c r="I1621" s="399"/>
      <c r="J1621" s="377">
        <v>30</v>
      </c>
      <c r="K1621" s="382"/>
      <c r="L1621" s="380"/>
      <c r="M1621" s="380"/>
      <c r="N1621" s="380"/>
      <c r="O1621" s="380"/>
      <c r="P1621" s="380"/>
      <c r="Q1621" s="380"/>
    </row>
    <row r="1622" spans="1:17" x14ac:dyDescent="0.2">
      <c r="A1622" s="334" t="s">
        <v>1735</v>
      </c>
      <c r="B1622" s="380"/>
      <c r="C1622" s="380" t="s">
        <v>194</v>
      </c>
      <c r="D1622" s="377"/>
      <c r="E1622" s="384"/>
      <c r="F1622" s="378"/>
      <c r="G1622" s="380"/>
      <c r="H1622" s="380"/>
      <c r="I1622" s="399"/>
      <c r="J1622" s="377">
        <v>40</v>
      </c>
      <c r="K1622" s="382"/>
      <c r="L1622" s="380"/>
      <c r="M1622" s="380"/>
      <c r="N1622" s="380"/>
      <c r="O1622" s="380"/>
      <c r="P1622" s="380"/>
      <c r="Q1622" s="380"/>
    </row>
    <row r="1623" spans="1:17" x14ac:dyDescent="0.2">
      <c r="A1623" s="334" t="s">
        <v>1741</v>
      </c>
      <c r="B1623" s="380"/>
      <c r="C1623" s="334" t="s">
        <v>1748</v>
      </c>
      <c r="D1623" s="377"/>
      <c r="E1623" s="384"/>
      <c r="F1623" s="378"/>
      <c r="G1623" s="380"/>
      <c r="H1623" s="380"/>
      <c r="I1623" s="399"/>
      <c r="J1623" s="377"/>
      <c r="K1623" s="382"/>
      <c r="L1623" s="380"/>
      <c r="M1623" s="380"/>
      <c r="N1623" s="380"/>
      <c r="O1623" s="380"/>
      <c r="P1623" s="380"/>
      <c r="Q1623" s="380"/>
    </row>
    <row r="1624" spans="1:17" x14ac:dyDescent="0.2">
      <c r="A1624" s="384" t="s">
        <v>1730</v>
      </c>
      <c r="B1624" s="380"/>
      <c r="C1624" s="334" t="s">
        <v>1985</v>
      </c>
      <c r="D1624" s="377">
        <v>100</v>
      </c>
      <c r="E1624" s="384"/>
      <c r="F1624" s="378"/>
      <c r="G1624" s="380"/>
      <c r="H1624" s="380"/>
      <c r="I1624" s="399"/>
      <c r="J1624" s="377">
        <v>100</v>
      </c>
      <c r="K1624" s="382"/>
      <c r="L1624" s="380"/>
      <c r="M1624" s="380"/>
      <c r="N1624" s="380"/>
      <c r="O1624" s="380"/>
      <c r="P1624" s="380"/>
      <c r="Q1624" s="380"/>
    </row>
    <row r="1625" spans="1:17" x14ac:dyDescent="0.2">
      <c r="A1625" s="334" t="s">
        <v>1898</v>
      </c>
      <c r="B1625" s="380"/>
      <c r="C1625" s="334" t="s">
        <v>1</v>
      </c>
      <c r="D1625" s="377"/>
      <c r="E1625" s="384"/>
      <c r="F1625" s="378"/>
      <c r="G1625" s="380"/>
      <c r="H1625" s="380"/>
      <c r="I1625" s="399"/>
      <c r="J1625" s="377"/>
      <c r="K1625" s="382"/>
      <c r="L1625" s="380"/>
      <c r="M1625" s="380"/>
      <c r="N1625" s="380"/>
      <c r="O1625" s="380"/>
      <c r="P1625" s="380"/>
      <c r="Q1625" s="380"/>
    </row>
    <row r="1626" spans="1:17" x14ac:dyDescent="0.2">
      <c r="A1626" s="405" t="s">
        <v>1588</v>
      </c>
      <c r="B1626" s="380"/>
      <c r="C1626" s="334" t="s">
        <v>191</v>
      </c>
      <c r="D1626" s="377">
        <v>110000</v>
      </c>
      <c r="E1626" s="384"/>
      <c r="F1626" s="378"/>
      <c r="G1626" s="380"/>
      <c r="H1626" s="380"/>
      <c r="I1626" s="399"/>
      <c r="J1626" s="377">
        <v>95000</v>
      </c>
      <c r="K1626" s="382"/>
      <c r="L1626" s="380"/>
      <c r="M1626" s="380"/>
      <c r="N1626" s="380"/>
      <c r="O1626" s="380"/>
      <c r="P1626" s="380"/>
      <c r="Q1626" s="380"/>
    </row>
    <row r="1627" spans="1:17" x14ac:dyDescent="0.2">
      <c r="A1627" s="384" t="s">
        <v>1903</v>
      </c>
      <c r="B1627" s="380"/>
      <c r="C1627" s="334" t="s">
        <v>35</v>
      </c>
      <c r="D1627" s="377"/>
      <c r="E1627" s="384"/>
      <c r="F1627" s="378"/>
      <c r="G1627" s="380"/>
      <c r="H1627" s="380"/>
      <c r="I1627" s="399"/>
      <c r="J1627" s="377">
        <v>70000</v>
      </c>
      <c r="K1627" s="382"/>
      <c r="L1627" s="380"/>
      <c r="M1627" s="380"/>
      <c r="N1627" s="380"/>
      <c r="O1627" s="380"/>
      <c r="P1627" s="380"/>
      <c r="Q1627" s="380"/>
    </row>
    <row r="1628" spans="1:17" x14ac:dyDescent="0.2">
      <c r="A1628" s="384" t="s">
        <v>1962</v>
      </c>
      <c r="B1628" s="380"/>
      <c r="C1628" s="380" t="s">
        <v>572</v>
      </c>
      <c r="D1628" s="377">
        <v>1000</v>
      </c>
      <c r="E1628" s="384"/>
      <c r="F1628" s="378"/>
      <c r="G1628" s="380"/>
      <c r="H1628" s="380"/>
      <c r="I1628" s="399"/>
      <c r="J1628" s="377">
        <v>1000</v>
      </c>
      <c r="K1628" s="382"/>
      <c r="L1628" s="380"/>
      <c r="M1628" s="380"/>
      <c r="N1628" s="380"/>
      <c r="O1628" s="380"/>
      <c r="P1628" s="380"/>
      <c r="Q1628" s="380"/>
    </row>
    <row r="1629" spans="1:17" x14ac:dyDescent="0.2">
      <c r="A1629" s="334" t="s">
        <v>342</v>
      </c>
      <c r="B1629" s="380"/>
      <c r="C1629" s="334" t="s">
        <v>342</v>
      </c>
      <c r="D1629" s="410" t="s">
        <v>342</v>
      </c>
      <c r="E1629" s="380"/>
      <c r="F1629" s="378"/>
      <c r="G1629" s="380"/>
      <c r="H1629" s="380"/>
      <c r="I1629" s="383"/>
      <c r="J1629" s="410" t="s">
        <v>342</v>
      </c>
      <c r="K1629" s="382"/>
      <c r="L1629" s="380"/>
      <c r="M1629" s="380"/>
      <c r="N1629" s="380"/>
      <c r="O1629" s="380"/>
      <c r="P1629" s="380"/>
      <c r="Q1629" s="380"/>
    </row>
    <row r="1630" spans="1:17" x14ac:dyDescent="0.2">
      <c r="A1630" s="334" t="s">
        <v>342</v>
      </c>
      <c r="B1630" s="380"/>
      <c r="C1630" s="334" t="s">
        <v>342</v>
      </c>
      <c r="D1630" s="385"/>
      <c r="E1630" s="380"/>
      <c r="F1630" s="378"/>
      <c r="G1630" s="380"/>
      <c r="H1630" s="380"/>
      <c r="I1630" s="383"/>
      <c r="J1630" s="385"/>
      <c r="K1630" s="382"/>
      <c r="L1630" s="380"/>
      <c r="M1630" s="380"/>
      <c r="N1630" s="380"/>
      <c r="O1630" s="380"/>
      <c r="P1630" s="380"/>
      <c r="Q1630" s="380"/>
    </row>
    <row r="1631" spans="1:17" x14ac:dyDescent="0.2">
      <c r="A1631" s="334" t="s">
        <v>342</v>
      </c>
      <c r="B1631" s="380"/>
      <c r="C1631" s="334" t="s">
        <v>342</v>
      </c>
      <c r="D1631" s="385">
        <f>SUM(D1614:D1630)</f>
        <v>150050</v>
      </c>
      <c r="E1631" s="380"/>
      <c r="F1631" s="378"/>
      <c r="G1631" s="380"/>
      <c r="H1631" s="380"/>
      <c r="I1631" s="383"/>
      <c r="J1631" s="385">
        <f>SUM(J1614:J1630)</f>
        <v>197120</v>
      </c>
      <c r="K1631" s="382"/>
      <c r="L1631" s="380"/>
      <c r="M1631" s="380"/>
      <c r="N1631" s="380"/>
      <c r="O1631" s="380"/>
      <c r="P1631" s="380"/>
      <c r="Q1631" s="380"/>
    </row>
    <row r="1632" spans="1:17" ht="16.5" thickTop="1" x14ac:dyDescent="0.25">
      <c r="A1632" s="334"/>
      <c r="B1632" s="377"/>
      <c r="C1632" s="334"/>
      <c r="D1632" s="395"/>
      <c r="E1632" s="377"/>
      <c r="F1632" s="378"/>
      <c r="G1632" s="377"/>
      <c r="H1632" s="377"/>
      <c r="I1632" s="397"/>
      <c r="J1632" s="395"/>
      <c r="K1632" s="382"/>
      <c r="L1632" s="380"/>
      <c r="M1632" s="380"/>
      <c r="N1632" s="380"/>
      <c r="O1632" s="380"/>
      <c r="P1632" s="380"/>
      <c r="Q1632" s="380"/>
    </row>
    <row r="1633" spans="1:17" x14ac:dyDescent="0.2">
      <c r="A1633" s="334"/>
      <c r="B1633" s="380"/>
      <c r="C1633" s="334"/>
      <c r="D1633" s="334"/>
      <c r="E1633" s="380"/>
      <c r="F1633" s="378"/>
      <c r="G1633" s="380"/>
      <c r="H1633" s="380"/>
      <c r="I1633" s="383"/>
      <c r="J1633" s="334"/>
      <c r="K1633" s="382"/>
      <c r="L1633" s="380"/>
      <c r="M1633" s="380"/>
      <c r="N1633" s="380"/>
      <c r="O1633" s="380"/>
      <c r="P1633" s="380"/>
      <c r="Q1633" s="380"/>
    </row>
    <row r="1634" spans="1:17" x14ac:dyDescent="0.2">
      <c r="A1634" s="334"/>
      <c r="B1634" s="380"/>
      <c r="C1634" s="334"/>
      <c r="D1634" s="334"/>
      <c r="E1634" s="380"/>
      <c r="F1634" s="378"/>
      <c r="G1634" s="380"/>
      <c r="H1634" s="380"/>
      <c r="I1634" s="383"/>
      <c r="J1634" s="334"/>
      <c r="K1634" s="382"/>
      <c r="L1634" s="380"/>
      <c r="M1634" s="380"/>
      <c r="N1634" s="380"/>
      <c r="O1634" s="380"/>
      <c r="P1634" s="380"/>
      <c r="Q1634" s="380"/>
    </row>
    <row r="1635" spans="1:17" x14ac:dyDescent="0.2">
      <c r="A1635" s="334" t="s">
        <v>713</v>
      </c>
      <c r="B1635" s="380"/>
      <c r="C1635" s="380"/>
      <c r="D1635" s="380"/>
      <c r="E1635" s="380"/>
      <c r="F1635" s="378"/>
      <c r="G1635" s="380"/>
      <c r="H1635" s="380"/>
      <c r="I1635" s="383"/>
      <c r="J1635" s="380"/>
      <c r="K1635" s="382"/>
      <c r="L1635" s="380"/>
      <c r="M1635" s="380"/>
      <c r="N1635" s="380"/>
      <c r="O1635" s="380"/>
      <c r="P1635" s="380"/>
      <c r="Q1635" s="380"/>
    </row>
    <row r="1636" spans="1:17" x14ac:dyDescent="0.2">
      <c r="A1636" s="380"/>
      <c r="B1636" s="380"/>
      <c r="C1636" s="384" t="s">
        <v>2120</v>
      </c>
      <c r="D1636" s="380"/>
      <c r="E1636" s="380"/>
      <c r="F1636" s="378"/>
      <c r="G1636" s="380"/>
      <c r="H1636" s="380"/>
      <c r="I1636" s="383"/>
      <c r="J1636" s="380"/>
      <c r="K1636" s="382"/>
      <c r="L1636" s="380"/>
      <c r="M1636" s="380"/>
      <c r="N1636" s="380"/>
      <c r="O1636" s="380"/>
      <c r="P1636" s="380"/>
      <c r="Q1636" s="380"/>
    </row>
    <row r="1637" spans="1:17" x14ac:dyDescent="0.2">
      <c r="A1637" s="380"/>
      <c r="B1637" s="380"/>
      <c r="C1637" s="380"/>
      <c r="D1637" s="380"/>
      <c r="E1637" s="380"/>
      <c r="F1637" s="378"/>
      <c r="G1637" s="380"/>
      <c r="H1637" s="380"/>
      <c r="I1637" s="383"/>
      <c r="J1637" s="380"/>
      <c r="K1637" s="382"/>
      <c r="L1637" s="380"/>
      <c r="M1637" s="380"/>
      <c r="N1637" s="380"/>
      <c r="O1637" s="380"/>
      <c r="P1637" s="380"/>
      <c r="Q1637" s="380"/>
    </row>
    <row r="1638" spans="1:17" x14ac:dyDescent="0.2">
      <c r="A1638" s="334" t="s">
        <v>1723</v>
      </c>
      <c r="B1638" s="380"/>
      <c r="C1638" s="428" t="s">
        <v>1880</v>
      </c>
      <c r="D1638" s="428" t="s">
        <v>181</v>
      </c>
      <c r="E1638" s="380"/>
      <c r="F1638" s="378"/>
      <c r="G1638" s="380"/>
      <c r="H1638" s="380"/>
      <c r="I1638" s="383"/>
      <c r="J1638" s="428" t="s">
        <v>181</v>
      </c>
      <c r="K1638" s="382"/>
      <c r="L1638" s="380"/>
      <c r="M1638" s="380"/>
      <c r="N1638" s="380"/>
      <c r="O1638" s="380"/>
      <c r="P1638" s="380"/>
      <c r="Q1638" s="380"/>
    </row>
    <row r="1639" spans="1:17" x14ac:dyDescent="0.2">
      <c r="A1639" s="410" t="s">
        <v>1724</v>
      </c>
      <c r="B1639" s="380"/>
      <c r="C1639" s="410" t="s">
        <v>1881</v>
      </c>
      <c r="D1639" s="410">
        <v>400</v>
      </c>
      <c r="E1639" s="384"/>
      <c r="F1639" s="378"/>
      <c r="G1639" s="380"/>
      <c r="H1639" s="380"/>
      <c r="I1639" s="385"/>
      <c r="J1639" s="410">
        <v>400</v>
      </c>
      <c r="K1639" s="382"/>
      <c r="L1639" s="380"/>
      <c r="M1639" s="380"/>
      <c r="N1639" s="380"/>
      <c r="O1639" s="380"/>
      <c r="P1639" s="380"/>
      <c r="Q1639" s="380"/>
    </row>
    <row r="1640" spans="1:17" x14ac:dyDescent="0.2">
      <c r="A1640" s="334" t="s">
        <v>1736</v>
      </c>
      <c r="B1640" s="380"/>
      <c r="C1640" s="334" t="s">
        <v>1747</v>
      </c>
      <c r="D1640" s="377">
        <v>300</v>
      </c>
      <c r="E1640" s="384"/>
      <c r="F1640" s="378"/>
      <c r="G1640" s="380"/>
      <c r="H1640" s="380"/>
      <c r="I1640" s="399"/>
      <c r="J1640" s="377">
        <v>300</v>
      </c>
      <c r="K1640" s="382"/>
      <c r="L1640" s="380"/>
      <c r="M1640" s="380"/>
      <c r="N1640" s="380"/>
      <c r="O1640" s="380"/>
      <c r="P1640" s="380"/>
      <c r="Q1640" s="380"/>
    </row>
    <row r="1641" spans="1:17" x14ac:dyDescent="0.2">
      <c r="A1641" s="384" t="s">
        <v>1744</v>
      </c>
      <c r="B1641" s="380"/>
      <c r="C1641" s="334" t="s">
        <v>1254</v>
      </c>
      <c r="D1641" s="377"/>
      <c r="E1641" s="384"/>
      <c r="F1641" s="378"/>
      <c r="G1641" s="380"/>
      <c r="H1641" s="380"/>
      <c r="I1641" s="399"/>
      <c r="J1641" s="377"/>
      <c r="K1641" s="382"/>
      <c r="L1641" s="380"/>
      <c r="M1641" s="380"/>
      <c r="N1641" s="380"/>
      <c r="O1641" s="380"/>
      <c r="P1641" s="380"/>
      <c r="Q1641" s="380"/>
    </row>
    <row r="1642" spans="1:17" x14ac:dyDescent="0.2">
      <c r="A1642" s="384" t="s">
        <v>1582</v>
      </c>
      <c r="B1642" s="380"/>
      <c r="C1642" s="334" t="s">
        <v>3135</v>
      </c>
      <c r="D1642" s="377"/>
      <c r="E1642" s="384"/>
      <c r="F1642" s="378"/>
      <c r="G1642" s="380"/>
      <c r="H1642" s="380"/>
      <c r="I1642" s="399"/>
      <c r="J1642" s="377"/>
      <c r="K1642" s="382"/>
      <c r="L1642" s="380"/>
      <c r="M1642" s="380"/>
      <c r="N1642" s="380"/>
      <c r="O1642" s="380"/>
      <c r="P1642" s="380"/>
      <c r="Q1642" s="380"/>
    </row>
    <row r="1643" spans="1:17" x14ac:dyDescent="0.2">
      <c r="A1643" s="334" t="s">
        <v>1575</v>
      </c>
      <c r="B1643" s="380"/>
      <c r="C1643" s="334" t="s">
        <v>1889</v>
      </c>
      <c r="D1643" s="377"/>
      <c r="E1643" s="384"/>
      <c r="F1643" s="378"/>
      <c r="G1643" s="380"/>
      <c r="H1643" s="380"/>
      <c r="I1643" s="399"/>
      <c r="J1643" s="377"/>
      <c r="K1643" s="382"/>
      <c r="L1643" s="380"/>
      <c r="M1643" s="380"/>
      <c r="N1643" s="380"/>
      <c r="O1643" s="380"/>
      <c r="P1643" s="380"/>
      <c r="Q1643" s="380"/>
    </row>
    <row r="1644" spans="1:17" x14ac:dyDescent="0.2">
      <c r="A1644" s="334" t="s">
        <v>1725</v>
      </c>
      <c r="B1644" s="380"/>
      <c r="C1644" s="334" t="s">
        <v>1890</v>
      </c>
      <c r="D1644" s="377">
        <v>300</v>
      </c>
      <c r="E1644" s="384"/>
      <c r="F1644" s="378"/>
      <c r="G1644" s="380"/>
      <c r="H1644" s="380"/>
      <c r="I1644" s="399"/>
      <c r="J1644" s="377">
        <v>300</v>
      </c>
      <c r="K1644" s="382"/>
      <c r="L1644" s="380"/>
      <c r="M1644" s="380"/>
      <c r="N1644" s="380"/>
      <c r="O1644" s="380"/>
      <c r="P1644" s="380"/>
      <c r="Q1644" s="380"/>
    </row>
    <row r="1645" spans="1:17" x14ac:dyDescent="0.2">
      <c r="A1645" s="384" t="s">
        <v>1745</v>
      </c>
      <c r="B1645" s="380"/>
      <c r="C1645" s="334" t="s">
        <v>1887</v>
      </c>
      <c r="D1645" s="377">
        <v>300</v>
      </c>
      <c r="E1645" s="384"/>
      <c r="F1645" s="378"/>
      <c r="G1645" s="380"/>
      <c r="H1645" s="380"/>
      <c r="I1645" s="399"/>
      <c r="J1645" s="377">
        <v>300</v>
      </c>
      <c r="K1645" s="382"/>
      <c r="L1645" s="380"/>
      <c r="M1645" s="380"/>
      <c r="N1645" s="380"/>
      <c r="O1645" s="380"/>
      <c r="P1645" s="380"/>
      <c r="Q1645" s="380"/>
    </row>
    <row r="1646" spans="1:17" x14ac:dyDescent="0.2">
      <c r="A1646" s="334" t="s">
        <v>1906</v>
      </c>
      <c r="B1646" s="380"/>
      <c r="C1646" s="334" t="s">
        <v>39</v>
      </c>
      <c r="D1646" s="377"/>
      <c r="E1646" s="384"/>
      <c r="F1646" s="378"/>
      <c r="G1646" s="380"/>
      <c r="H1646" s="380"/>
      <c r="I1646" s="399"/>
      <c r="J1646" s="377"/>
      <c r="K1646" s="382"/>
      <c r="L1646" s="380"/>
      <c r="M1646" s="380"/>
      <c r="N1646" s="380"/>
      <c r="O1646" s="380"/>
      <c r="P1646" s="380"/>
      <c r="Q1646" s="380"/>
    </row>
    <row r="1647" spans="1:17" x14ac:dyDescent="0.2">
      <c r="A1647" s="334" t="s">
        <v>1576</v>
      </c>
      <c r="B1647" s="380"/>
      <c r="C1647" s="334" t="s">
        <v>1590</v>
      </c>
      <c r="D1647" s="377"/>
      <c r="E1647" s="384"/>
      <c r="F1647" s="378"/>
      <c r="G1647" s="380"/>
      <c r="H1647" s="380"/>
      <c r="I1647" s="399"/>
      <c r="J1647" s="377"/>
      <c r="K1647" s="382"/>
      <c r="L1647" s="380"/>
      <c r="M1647" s="380"/>
      <c r="N1647" s="380"/>
      <c r="O1647" s="380"/>
      <c r="P1647" s="380"/>
      <c r="Q1647" s="380"/>
    </row>
    <row r="1648" spans="1:17" x14ac:dyDescent="0.2">
      <c r="A1648" s="384" t="s">
        <v>1737</v>
      </c>
      <c r="B1648" s="380"/>
      <c r="C1648" s="334" t="s">
        <v>1984</v>
      </c>
      <c r="D1648" s="377">
        <v>200</v>
      </c>
      <c r="E1648" s="384"/>
      <c r="F1648" s="378"/>
      <c r="G1648" s="380"/>
      <c r="H1648" s="380"/>
      <c r="I1648" s="399"/>
      <c r="J1648" s="377">
        <v>200</v>
      </c>
      <c r="K1648" s="382"/>
      <c r="L1648" s="380"/>
      <c r="M1648" s="380"/>
      <c r="N1648" s="380"/>
      <c r="O1648" s="380"/>
      <c r="P1648" s="380"/>
      <c r="Q1648" s="380"/>
    </row>
    <row r="1649" spans="1:17" x14ac:dyDescent="0.2">
      <c r="A1649" s="334" t="s">
        <v>1734</v>
      </c>
      <c r="B1649" s="380"/>
      <c r="C1649" s="334" t="s">
        <v>1746</v>
      </c>
      <c r="D1649" s="377"/>
      <c r="E1649" s="384"/>
      <c r="F1649" s="378"/>
      <c r="G1649" s="380"/>
      <c r="H1649" s="380"/>
      <c r="I1649" s="399"/>
      <c r="J1649" s="377"/>
      <c r="K1649" s="382"/>
      <c r="L1649" s="380"/>
      <c r="M1649" s="380"/>
      <c r="N1649" s="380"/>
      <c r="O1649" s="380"/>
      <c r="P1649" s="380"/>
      <c r="Q1649" s="380"/>
    </row>
    <row r="1650" spans="1:17" x14ac:dyDescent="0.2">
      <c r="A1650" s="334" t="s">
        <v>1583</v>
      </c>
      <c r="B1650" s="380"/>
      <c r="C1650" s="334" t="s">
        <v>41</v>
      </c>
      <c r="D1650" s="377"/>
      <c r="E1650" s="384"/>
      <c r="F1650" s="378"/>
      <c r="G1650" s="380"/>
      <c r="H1650" s="380"/>
      <c r="I1650" s="399"/>
      <c r="J1650" s="377"/>
      <c r="K1650" s="382"/>
      <c r="L1650" s="380"/>
      <c r="M1650" s="380"/>
      <c r="N1650" s="380"/>
      <c r="O1650" s="380"/>
      <c r="P1650" s="380"/>
      <c r="Q1650" s="380"/>
    </row>
    <row r="1651" spans="1:17" x14ac:dyDescent="0.2">
      <c r="A1651" s="334" t="s">
        <v>1738</v>
      </c>
      <c r="B1651" s="380"/>
      <c r="C1651" s="334" t="s">
        <v>1591</v>
      </c>
      <c r="D1651" s="377">
        <v>300</v>
      </c>
      <c r="E1651" s="384"/>
      <c r="F1651" s="378"/>
      <c r="G1651" s="380"/>
      <c r="H1651" s="380"/>
      <c r="I1651" s="399"/>
      <c r="J1651" s="377">
        <v>300</v>
      </c>
      <c r="K1651" s="382"/>
      <c r="L1651" s="380"/>
      <c r="M1651" s="380"/>
      <c r="N1651" s="380"/>
      <c r="O1651" s="380"/>
      <c r="P1651" s="380"/>
      <c r="Q1651" s="380"/>
    </row>
    <row r="1652" spans="1:17" x14ac:dyDescent="0.2">
      <c r="A1652" s="334" t="s">
        <v>1727</v>
      </c>
      <c r="B1652" s="380"/>
      <c r="C1652" s="334" t="s">
        <v>307</v>
      </c>
      <c r="D1652" s="377">
        <v>400</v>
      </c>
      <c r="E1652" s="384"/>
      <c r="F1652" s="378"/>
      <c r="G1652" s="380"/>
      <c r="H1652" s="380"/>
      <c r="I1652" s="399"/>
      <c r="J1652" s="377">
        <v>400</v>
      </c>
      <c r="K1652" s="382"/>
      <c r="L1652" s="380"/>
      <c r="M1652" s="380"/>
      <c r="N1652" s="380"/>
      <c r="O1652" s="380"/>
      <c r="P1652" s="380"/>
      <c r="Q1652" s="380"/>
    </row>
    <row r="1653" spans="1:17" x14ac:dyDescent="0.2">
      <c r="A1653" s="334" t="s">
        <v>1728</v>
      </c>
      <c r="B1653" s="380"/>
      <c r="C1653" s="334" t="s">
        <v>310</v>
      </c>
      <c r="D1653" s="377">
        <v>300</v>
      </c>
      <c r="E1653" s="384"/>
      <c r="F1653" s="378"/>
      <c r="G1653" s="380"/>
      <c r="H1653" s="380"/>
      <c r="I1653" s="399"/>
      <c r="J1653" s="377">
        <v>300</v>
      </c>
      <c r="K1653" s="382"/>
      <c r="L1653" s="380"/>
      <c r="M1653" s="380"/>
      <c r="N1653" s="380"/>
      <c r="O1653" s="380"/>
      <c r="P1653" s="380"/>
      <c r="Q1653" s="380"/>
    </row>
    <row r="1654" spans="1:17" x14ac:dyDescent="0.2">
      <c r="A1654" s="334" t="s">
        <v>1729</v>
      </c>
      <c r="B1654" s="380"/>
      <c r="C1654" s="380" t="s">
        <v>1551</v>
      </c>
      <c r="D1654" s="377">
        <v>-20000</v>
      </c>
      <c r="E1654" s="384"/>
      <c r="F1654" s="378"/>
      <c r="G1654" s="380"/>
      <c r="H1654" s="380"/>
      <c r="I1654" s="399"/>
      <c r="J1654" s="377">
        <v>200</v>
      </c>
      <c r="K1654" s="382"/>
      <c r="L1654" s="380"/>
      <c r="M1654" s="380"/>
      <c r="N1654" s="380"/>
      <c r="O1654" s="380"/>
      <c r="P1654" s="380"/>
      <c r="Q1654" s="380"/>
    </row>
    <row r="1655" spans="1:17" x14ac:dyDescent="0.2">
      <c r="A1655" s="334" t="s">
        <v>1735</v>
      </c>
      <c r="B1655" s="380"/>
      <c r="C1655" s="380" t="s">
        <v>194</v>
      </c>
      <c r="D1655" s="377"/>
      <c r="E1655" s="384"/>
      <c r="F1655" s="378"/>
      <c r="G1655" s="380"/>
      <c r="H1655" s="380"/>
      <c r="I1655" s="399"/>
      <c r="J1655" s="377">
        <v>200</v>
      </c>
      <c r="K1655" s="382"/>
      <c r="L1655" s="380"/>
      <c r="M1655" s="380"/>
      <c r="N1655" s="380"/>
      <c r="O1655" s="380"/>
      <c r="P1655" s="380"/>
      <c r="Q1655" s="380"/>
    </row>
    <row r="1656" spans="1:17" x14ac:dyDescent="0.2">
      <c r="A1656" s="334" t="s">
        <v>1741</v>
      </c>
      <c r="B1656" s="380"/>
      <c r="C1656" s="334" t="s">
        <v>1748</v>
      </c>
      <c r="D1656" s="377">
        <v>200</v>
      </c>
      <c r="E1656" s="384"/>
      <c r="F1656" s="378"/>
      <c r="G1656" s="380"/>
      <c r="H1656" s="380"/>
      <c r="I1656" s="399"/>
      <c r="J1656" s="377"/>
      <c r="K1656" s="382"/>
      <c r="L1656" s="380"/>
      <c r="M1656" s="380"/>
      <c r="N1656" s="380"/>
      <c r="O1656" s="380"/>
      <c r="P1656" s="380"/>
      <c r="Q1656" s="380"/>
    </row>
    <row r="1657" spans="1:17" x14ac:dyDescent="0.2">
      <c r="A1657" s="384" t="s">
        <v>1754</v>
      </c>
      <c r="B1657" s="380"/>
      <c r="C1657" s="334" t="s">
        <v>1929</v>
      </c>
      <c r="D1657" s="377">
        <v>3000</v>
      </c>
      <c r="E1657" s="384"/>
      <c r="F1657" s="378"/>
      <c r="G1657" s="380"/>
      <c r="H1657" s="380"/>
      <c r="I1657" s="399"/>
      <c r="J1657" s="377">
        <v>5000</v>
      </c>
      <c r="K1657" s="382"/>
      <c r="L1657" s="380"/>
      <c r="M1657" s="380"/>
      <c r="N1657" s="380"/>
      <c r="O1657" s="380"/>
      <c r="P1657" s="380"/>
      <c r="Q1657" s="380"/>
    </row>
    <row r="1658" spans="1:17" x14ac:dyDescent="0.2">
      <c r="A1658" s="334" t="s">
        <v>1580</v>
      </c>
      <c r="B1658" s="380"/>
      <c r="C1658" s="334" t="s">
        <v>1936</v>
      </c>
      <c r="D1658" s="377"/>
      <c r="E1658" s="384"/>
      <c r="F1658" s="378"/>
      <c r="G1658" s="380"/>
      <c r="H1658" s="380"/>
      <c r="I1658" s="399"/>
      <c r="J1658" s="377"/>
      <c r="K1658" s="382"/>
      <c r="L1658" s="380"/>
      <c r="M1658" s="380"/>
      <c r="N1658" s="380"/>
      <c r="O1658" s="380"/>
      <c r="P1658" s="380"/>
      <c r="Q1658" s="380"/>
    </row>
    <row r="1659" spans="1:17" x14ac:dyDescent="0.2">
      <c r="A1659" s="334" t="s">
        <v>1572</v>
      </c>
      <c r="B1659" s="380"/>
      <c r="C1659" s="334" t="s">
        <v>3134</v>
      </c>
      <c r="D1659" s="377">
        <v>100</v>
      </c>
      <c r="E1659" s="384"/>
      <c r="F1659" s="378"/>
      <c r="G1659" s="380"/>
      <c r="H1659" s="380"/>
      <c r="I1659" s="399"/>
      <c r="J1659" s="377">
        <v>100</v>
      </c>
      <c r="K1659" s="382"/>
      <c r="L1659" s="380"/>
      <c r="M1659" s="380"/>
      <c r="N1659" s="380"/>
      <c r="O1659" s="380"/>
      <c r="P1659" s="380"/>
      <c r="Q1659" s="380"/>
    </row>
    <row r="1660" spans="1:17" x14ac:dyDescent="0.2">
      <c r="A1660" s="334" t="s">
        <v>1730</v>
      </c>
      <c r="B1660" s="380"/>
      <c r="C1660" s="334" t="s">
        <v>1985</v>
      </c>
      <c r="D1660" s="377">
        <v>500</v>
      </c>
      <c r="E1660" s="384"/>
      <c r="F1660" s="378"/>
      <c r="G1660" s="380"/>
      <c r="H1660" s="380"/>
      <c r="I1660" s="399"/>
      <c r="J1660" s="377">
        <v>500</v>
      </c>
      <c r="K1660" s="382"/>
      <c r="L1660" s="380"/>
      <c r="M1660" s="380"/>
      <c r="N1660" s="380"/>
      <c r="O1660" s="380"/>
      <c r="P1660" s="380"/>
      <c r="Q1660" s="380"/>
    </row>
    <row r="1661" spans="1:17" x14ac:dyDescent="0.2">
      <c r="A1661" s="384" t="s">
        <v>1566</v>
      </c>
      <c r="B1661" s="380"/>
      <c r="C1661" s="334" t="s">
        <v>366</v>
      </c>
      <c r="D1661" s="377">
        <v>32500</v>
      </c>
      <c r="E1661" s="384"/>
      <c r="F1661" s="378"/>
      <c r="G1661" s="380"/>
      <c r="H1661" s="380"/>
      <c r="I1661" s="399"/>
      <c r="J1661" s="377">
        <v>30000</v>
      </c>
      <c r="K1661" s="382"/>
      <c r="L1661" s="380"/>
      <c r="M1661" s="380"/>
      <c r="N1661" s="380"/>
      <c r="O1661" s="380"/>
      <c r="P1661" s="380"/>
      <c r="Q1661" s="380"/>
    </row>
    <row r="1662" spans="1:17" x14ac:dyDescent="0.2">
      <c r="A1662" s="384" t="s">
        <v>1962</v>
      </c>
      <c r="B1662" s="380"/>
      <c r="C1662" s="380" t="s">
        <v>572</v>
      </c>
      <c r="D1662" s="377"/>
      <c r="E1662" s="384"/>
      <c r="F1662" s="378"/>
      <c r="G1662" s="380"/>
      <c r="H1662" s="380"/>
      <c r="I1662" s="399"/>
      <c r="J1662" s="377"/>
      <c r="K1662" s="382"/>
      <c r="L1662" s="380"/>
      <c r="M1662" s="380"/>
      <c r="N1662" s="380"/>
      <c r="O1662" s="380"/>
      <c r="P1662" s="380"/>
      <c r="Q1662" s="380"/>
    </row>
    <row r="1663" spans="1:17" x14ac:dyDescent="0.2">
      <c r="A1663" s="384" t="s">
        <v>1569</v>
      </c>
      <c r="B1663" s="380"/>
      <c r="C1663" s="334" t="s">
        <v>1888</v>
      </c>
      <c r="D1663" s="377"/>
      <c r="E1663" s="384"/>
      <c r="F1663" s="378"/>
      <c r="G1663" s="380"/>
      <c r="H1663" s="380"/>
      <c r="I1663" s="399"/>
      <c r="J1663" s="377"/>
      <c r="K1663" s="382"/>
      <c r="L1663" s="380"/>
      <c r="M1663" s="380"/>
      <c r="N1663" s="380"/>
      <c r="O1663" s="380"/>
      <c r="P1663" s="380"/>
      <c r="Q1663" s="380"/>
    </row>
    <row r="1664" spans="1:17" x14ac:dyDescent="0.2">
      <c r="A1664" s="334" t="s">
        <v>342</v>
      </c>
      <c r="B1664" s="380"/>
      <c r="C1664" s="334" t="s">
        <v>342</v>
      </c>
      <c r="D1664" s="410" t="s">
        <v>342</v>
      </c>
      <c r="E1664" s="380"/>
      <c r="F1664" s="378"/>
      <c r="G1664" s="380"/>
      <c r="H1664" s="380"/>
      <c r="I1664" s="383"/>
      <c r="J1664" s="410" t="s">
        <v>342</v>
      </c>
      <c r="K1664" s="382"/>
      <c r="L1664" s="380"/>
      <c r="M1664" s="380"/>
      <c r="N1664" s="380"/>
      <c r="O1664" s="380"/>
      <c r="P1664" s="380"/>
      <c r="Q1664" s="380"/>
    </row>
    <row r="1665" spans="1:17" x14ac:dyDescent="0.2">
      <c r="A1665" s="334" t="s">
        <v>342</v>
      </c>
      <c r="B1665" s="380"/>
      <c r="C1665" s="334" t="s">
        <v>342</v>
      </c>
      <c r="D1665" s="334">
        <f>SUM(D1639:D1664)</f>
        <v>18800</v>
      </c>
      <c r="E1665" s="380"/>
      <c r="F1665" s="378"/>
      <c r="G1665" s="380"/>
      <c r="H1665" s="380"/>
      <c r="I1665" s="383"/>
      <c r="J1665" s="334">
        <f>SUM(J1639:J1664)</f>
        <v>38500</v>
      </c>
      <c r="K1665" s="382"/>
      <c r="L1665" s="380"/>
      <c r="M1665" s="380"/>
      <c r="N1665" s="380"/>
      <c r="O1665" s="380"/>
      <c r="P1665" s="380"/>
      <c r="Q1665" s="380"/>
    </row>
    <row r="1666" spans="1:17" ht="15.75" thickTop="1" x14ac:dyDescent="0.2">
      <c r="A1666" s="334" t="s">
        <v>342</v>
      </c>
      <c r="B1666" s="380"/>
      <c r="C1666" s="334" t="s">
        <v>342</v>
      </c>
      <c r="D1666" s="400" t="s">
        <v>342</v>
      </c>
      <c r="E1666" s="380"/>
      <c r="F1666" s="378"/>
      <c r="G1666" s="380"/>
      <c r="H1666" s="380"/>
      <c r="I1666" s="383"/>
      <c r="J1666" s="400" t="s">
        <v>342</v>
      </c>
      <c r="K1666" s="382"/>
      <c r="L1666" s="380"/>
      <c r="M1666" s="380"/>
      <c r="N1666" s="380"/>
      <c r="O1666" s="380"/>
      <c r="P1666" s="380"/>
      <c r="Q1666" s="380"/>
    </row>
    <row r="1667" spans="1:17" ht="15.75" x14ac:dyDescent="0.25">
      <c r="A1667" s="334" t="s">
        <v>342</v>
      </c>
      <c r="B1667" s="377"/>
      <c r="C1667" s="334" t="s">
        <v>342</v>
      </c>
      <c r="D1667" s="334" t="s">
        <v>342</v>
      </c>
      <c r="E1667" s="377"/>
      <c r="F1667" s="378"/>
      <c r="G1667" s="377"/>
      <c r="H1667" s="377"/>
      <c r="I1667" s="397"/>
      <c r="J1667" s="334" t="s">
        <v>342</v>
      </c>
      <c r="K1667" s="382"/>
      <c r="L1667" s="380"/>
      <c r="M1667" s="380"/>
      <c r="N1667" s="380"/>
      <c r="O1667" s="380"/>
      <c r="P1667" s="380"/>
      <c r="Q1667" s="380"/>
    </row>
    <row r="1668" spans="1:17" x14ac:dyDescent="0.2">
      <c r="A1668" s="334" t="s">
        <v>342</v>
      </c>
      <c r="B1668" s="380"/>
      <c r="C1668" s="334" t="s">
        <v>342</v>
      </c>
      <c r="D1668" s="334" t="s">
        <v>342</v>
      </c>
      <c r="E1668" s="380"/>
      <c r="F1668" s="378"/>
      <c r="G1668" s="380"/>
      <c r="H1668" s="380"/>
      <c r="I1668" s="383"/>
      <c r="J1668" s="334" t="s">
        <v>342</v>
      </c>
      <c r="K1668" s="382"/>
      <c r="L1668" s="380"/>
      <c r="M1668" s="380"/>
      <c r="N1668" s="380"/>
      <c r="O1668" s="380"/>
      <c r="P1668" s="380"/>
      <c r="Q1668" s="380"/>
    </row>
    <row r="1669" spans="1:17" x14ac:dyDescent="0.2">
      <c r="A1669" s="334" t="s">
        <v>1908</v>
      </c>
      <c r="B1669" s="380"/>
      <c r="C1669" s="380"/>
      <c r="D1669" s="380"/>
      <c r="E1669" s="380"/>
      <c r="F1669" s="378"/>
      <c r="G1669" s="380"/>
      <c r="H1669" s="380"/>
      <c r="I1669" s="383"/>
      <c r="J1669" s="380"/>
      <c r="K1669" s="382"/>
      <c r="L1669" s="380"/>
      <c r="M1669" s="380"/>
      <c r="N1669" s="380"/>
      <c r="O1669" s="380"/>
      <c r="P1669" s="380"/>
      <c r="Q1669" s="380"/>
    </row>
    <row r="1670" spans="1:17" x14ac:dyDescent="0.2">
      <c r="A1670" s="380"/>
      <c r="B1670" s="380"/>
      <c r="C1670" s="384" t="s">
        <v>2065</v>
      </c>
      <c r="D1670" s="380"/>
      <c r="E1670" s="380"/>
      <c r="F1670" s="378"/>
      <c r="G1670" s="380"/>
      <c r="H1670" s="380"/>
      <c r="I1670" s="383"/>
      <c r="J1670" s="380"/>
      <c r="K1670" s="382"/>
      <c r="L1670" s="380"/>
      <c r="M1670" s="380"/>
      <c r="N1670" s="380"/>
      <c r="O1670" s="380"/>
      <c r="P1670" s="380"/>
      <c r="Q1670" s="380"/>
    </row>
    <row r="1671" spans="1:17" x14ac:dyDescent="0.2">
      <c r="A1671" s="380"/>
      <c r="B1671" s="380"/>
      <c r="C1671" s="384" t="s">
        <v>2121</v>
      </c>
      <c r="D1671" s="380"/>
      <c r="E1671" s="384"/>
      <c r="F1671" s="378"/>
      <c r="G1671" s="380"/>
      <c r="H1671" s="380"/>
      <c r="I1671" s="383"/>
      <c r="J1671" s="380"/>
      <c r="K1671" s="382"/>
      <c r="L1671" s="380"/>
      <c r="M1671" s="380"/>
      <c r="N1671" s="380"/>
      <c r="O1671" s="380"/>
      <c r="P1671" s="380"/>
      <c r="Q1671" s="380"/>
    </row>
    <row r="1672" spans="1:17" x14ac:dyDescent="0.2">
      <c r="A1672" s="380"/>
      <c r="B1672" s="380"/>
      <c r="C1672" s="380"/>
      <c r="D1672" s="380"/>
      <c r="E1672" s="380"/>
      <c r="F1672" s="378"/>
      <c r="G1672" s="380"/>
      <c r="H1672" s="380"/>
      <c r="I1672" s="383"/>
      <c r="J1672" s="380"/>
      <c r="K1672" s="382"/>
      <c r="L1672" s="380"/>
      <c r="M1672" s="380"/>
      <c r="N1672" s="380"/>
      <c r="O1672" s="380"/>
      <c r="P1672" s="380"/>
      <c r="Q1672" s="380"/>
    </row>
    <row r="1673" spans="1:17" x14ac:dyDescent="0.2">
      <c r="A1673" s="334" t="s">
        <v>1723</v>
      </c>
      <c r="B1673" s="380"/>
      <c r="C1673" s="334" t="s">
        <v>1880</v>
      </c>
      <c r="D1673" s="334" t="s">
        <v>181</v>
      </c>
      <c r="E1673" s="380"/>
      <c r="F1673" s="378"/>
      <c r="G1673" s="380"/>
      <c r="H1673" s="380"/>
      <c r="I1673" s="383"/>
      <c r="J1673" s="334" t="s">
        <v>181</v>
      </c>
      <c r="K1673" s="382"/>
      <c r="L1673" s="380"/>
      <c r="M1673" s="380"/>
      <c r="N1673" s="380"/>
      <c r="O1673" s="380"/>
      <c r="P1673" s="380"/>
      <c r="Q1673" s="380"/>
    </row>
    <row r="1674" spans="1:17" x14ac:dyDescent="0.2">
      <c r="A1674" s="380"/>
      <c r="B1674" s="380"/>
      <c r="C1674" s="380"/>
      <c r="D1674" s="380"/>
      <c r="E1674" s="380"/>
      <c r="F1674" s="378"/>
      <c r="G1674" s="380"/>
      <c r="H1674" s="380"/>
      <c r="I1674" s="383"/>
      <c r="J1674" s="380"/>
      <c r="K1674" s="382"/>
      <c r="L1674" s="380"/>
      <c r="M1674" s="380"/>
      <c r="N1674" s="380"/>
      <c r="O1674" s="380"/>
      <c r="P1674" s="380"/>
      <c r="Q1674" s="380"/>
    </row>
    <row r="1675" spans="1:17" x14ac:dyDescent="0.2">
      <c r="A1675" s="334" t="s">
        <v>1909</v>
      </c>
      <c r="B1675" s="380"/>
      <c r="C1675" s="334" t="s">
        <v>42</v>
      </c>
      <c r="D1675" s="379">
        <v>1154648</v>
      </c>
      <c r="E1675" s="380"/>
      <c r="F1675" s="378"/>
      <c r="G1675" s="380"/>
      <c r="H1675" s="380"/>
      <c r="I1675" s="399"/>
      <c r="J1675" s="377">
        <v>893961</v>
      </c>
      <c r="K1675" s="382"/>
      <c r="L1675" s="380"/>
      <c r="M1675" s="380"/>
      <c r="N1675" s="380"/>
      <c r="O1675" s="380"/>
      <c r="P1675" s="380"/>
      <c r="Q1675" s="380"/>
    </row>
    <row r="1676" spans="1:17" x14ac:dyDescent="0.2">
      <c r="A1676" s="334" t="s">
        <v>1909</v>
      </c>
      <c r="B1676" s="380"/>
      <c r="C1676" s="334" t="s">
        <v>43</v>
      </c>
      <c r="D1676" s="379">
        <v>1154648</v>
      </c>
      <c r="E1676" s="384"/>
      <c r="F1676" s="378"/>
      <c r="G1676" s="380"/>
      <c r="H1676" s="380"/>
      <c r="I1676" s="399"/>
      <c r="J1676" s="377">
        <v>1560000</v>
      </c>
      <c r="K1676" s="382"/>
      <c r="L1676" s="380"/>
      <c r="M1676" s="380"/>
      <c r="N1676" s="380"/>
      <c r="O1676" s="380"/>
      <c r="P1676" s="380"/>
      <c r="Q1676" s="380"/>
    </row>
    <row r="1677" spans="1:17" x14ac:dyDescent="0.2">
      <c r="A1677" s="334" t="s">
        <v>342</v>
      </c>
      <c r="B1677" s="380"/>
      <c r="C1677" s="334" t="s">
        <v>342</v>
      </c>
      <c r="D1677" s="410" t="s">
        <v>342</v>
      </c>
      <c r="E1677" s="380"/>
      <c r="F1677" s="378"/>
      <c r="G1677" s="380"/>
      <c r="H1677" s="380"/>
      <c r="I1677" s="383"/>
      <c r="J1677" s="410" t="s">
        <v>342</v>
      </c>
      <c r="K1677" s="382"/>
      <c r="L1677" s="380"/>
      <c r="M1677" s="380"/>
      <c r="N1677" s="380"/>
      <c r="O1677" s="380"/>
      <c r="P1677" s="380"/>
      <c r="Q1677" s="380"/>
    </row>
    <row r="1678" spans="1:17" ht="15.75" x14ac:dyDescent="0.25">
      <c r="A1678" s="380"/>
      <c r="B1678" s="380"/>
      <c r="C1678" s="334" t="s">
        <v>342</v>
      </c>
      <c r="D1678" s="334">
        <f>SUM(D1675:D1676)</f>
        <v>2309296</v>
      </c>
      <c r="E1678" s="380"/>
      <c r="F1678" s="378"/>
      <c r="G1678" s="380"/>
      <c r="H1678" s="380"/>
      <c r="I1678" s="409"/>
      <c r="J1678" s="334">
        <f>SUM(J1675:J1676)</f>
        <v>2453961</v>
      </c>
      <c r="K1678" s="382"/>
      <c r="L1678" s="380"/>
      <c r="M1678" s="380"/>
      <c r="N1678" s="380"/>
      <c r="O1678" s="380"/>
      <c r="P1678" s="380"/>
      <c r="Q1678" s="380"/>
    </row>
    <row r="1679" spans="1:17" ht="15.75" thickTop="1" x14ac:dyDescent="0.2">
      <c r="A1679" s="380"/>
      <c r="B1679" s="380"/>
      <c r="C1679" s="380"/>
      <c r="D1679" s="395"/>
      <c r="E1679" s="380"/>
      <c r="F1679" s="378"/>
      <c r="G1679" s="380"/>
      <c r="H1679" s="380"/>
      <c r="I1679" s="383"/>
      <c r="J1679" s="395"/>
      <c r="K1679" s="382"/>
      <c r="L1679" s="380"/>
      <c r="M1679" s="380"/>
      <c r="N1679" s="380"/>
      <c r="O1679" s="380"/>
      <c r="P1679" s="380"/>
      <c r="Q1679" s="380"/>
    </row>
    <row r="1680" spans="1:17" ht="15.75" x14ac:dyDescent="0.25">
      <c r="A1680" s="377"/>
      <c r="B1680" s="377"/>
      <c r="C1680" s="377"/>
      <c r="D1680" s="377"/>
      <c r="E1680" s="377"/>
      <c r="F1680" s="378"/>
      <c r="G1680" s="377"/>
      <c r="H1680" s="377"/>
      <c r="I1680" s="397"/>
      <c r="J1680" s="377"/>
      <c r="K1680" s="382"/>
      <c r="L1680" s="380"/>
      <c r="M1680" s="380"/>
      <c r="N1680" s="380"/>
      <c r="O1680" s="380"/>
      <c r="P1680" s="380"/>
      <c r="Q1680" s="380"/>
    </row>
    <row r="1681" spans="1:17" x14ac:dyDescent="0.2">
      <c r="A1681" s="380"/>
      <c r="B1681" s="380"/>
      <c r="C1681" s="380"/>
      <c r="D1681" s="380"/>
      <c r="E1681" s="380"/>
      <c r="F1681" s="378"/>
      <c r="G1681" s="380"/>
      <c r="H1681" s="380"/>
      <c r="I1681" s="383"/>
      <c r="J1681" s="380"/>
      <c r="K1681" s="382"/>
      <c r="L1681" s="380"/>
      <c r="M1681" s="380"/>
      <c r="N1681" s="380"/>
      <c r="O1681" s="380"/>
      <c r="P1681" s="380"/>
      <c r="Q1681" s="380"/>
    </row>
    <row r="1682" spans="1:17" x14ac:dyDescent="0.2">
      <c r="A1682" s="334" t="s">
        <v>1910</v>
      </c>
      <c r="B1682" s="380"/>
      <c r="C1682" s="380"/>
      <c r="D1682" s="380"/>
      <c r="E1682" s="380"/>
      <c r="F1682" s="378"/>
      <c r="G1682" s="380"/>
      <c r="H1682" s="380"/>
      <c r="I1682" s="383"/>
      <c r="J1682" s="380"/>
      <c r="K1682" s="382"/>
      <c r="L1682" s="380"/>
      <c r="M1682" s="380"/>
      <c r="N1682" s="380"/>
      <c r="O1682" s="380"/>
      <c r="P1682" s="380"/>
      <c r="Q1682" s="380"/>
    </row>
    <row r="1683" spans="1:17" x14ac:dyDescent="0.2">
      <c r="A1683" s="380"/>
      <c r="B1683" s="380"/>
      <c r="C1683" s="334" t="s">
        <v>2859</v>
      </c>
      <c r="D1683" s="380"/>
      <c r="E1683" s="384"/>
      <c r="F1683" s="378"/>
      <c r="G1683" s="380"/>
      <c r="H1683" s="380"/>
      <c r="I1683" s="383"/>
      <c r="J1683" s="380"/>
      <c r="K1683" s="382"/>
      <c r="L1683" s="380"/>
      <c r="M1683" s="380"/>
      <c r="N1683" s="380"/>
      <c r="O1683" s="380"/>
      <c r="P1683" s="380"/>
      <c r="Q1683" s="380"/>
    </row>
    <row r="1684" spans="1:17" x14ac:dyDescent="0.2">
      <c r="A1684" s="380"/>
      <c r="B1684" s="380"/>
      <c r="C1684" s="380"/>
      <c r="D1684" s="380"/>
      <c r="E1684" s="380"/>
      <c r="F1684" s="378"/>
      <c r="G1684" s="380"/>
      <c r="H1684" s="380"/>
      <c r="I1684" s="383"/>
      <c r="J1684" s="380"/>
      <c r="K1684" s="382"/>
      <c r="L1684" s="380"/>
      <c r="M1684" s="380"/>
      <c r="N1684" s="380"/>
      <c r="O1684" s="380"/>
      <c r="P1684" s="380"/>
      <c r="Q1684" s="380"/>
    </row>
    <row r="1685" spans="1:17" x14ac:dyDescent="0.2">
      <c r="A1685" s="334" t="s">
        <v>1723</v>
      </c>
      <c r="B1685" s="380"/>
      <c r="C1685" s="334" t="s">
        <v>1880</v>
      </c>
      <c r="D1685" s="334" t="s">
        <v>181</v>
      </c>
      <c r="E1685" s="380"/>
      <c r="F1685" s="378"/>
      <c r="G1685" s="380"/>
      <c r="H1685" s="380"/>
      <c r="I1685" s="383"/>
      <c r="J1685" s="334" t="s">
        <v>181</v>
      </c>
      <c r="K1685" s="382"/>
      <c r="L1685" s="380"/>
      <c r="M1685" s="380"/>
      <c r="N1685" s="380"/>
      <c r="O1685" s="380"/>
      <c r="P1685" s="380"/>
      <c r="Q1685" s="380"/>
    </row>
    <row r="1686" spans="1:17" x14ac:dyDescent="0.2">
      <c r="A1686" s="334"/>
      <c r="B1686" s="380"/>
      <c r="C1686" s="334"/>
      <c r="D1686" s="334"/>
      <c r="E1686" s="380"/>
      <c r="F1686" s="378"/>
      <c r="G1686" s="380"/>
      <c r="H1686" s="380"/>
      <c r="I1686" s="383"/>
      <c r="J1686" s="334"/>
      <c r="K1686" s="382"/>
      <c r="L1686" s="380"/>
      <c r="M1686" s="380"/>
      <c r="N1686" s="380"/>
      <c r="O1686" s="380"/>
      <c r="P1686" s="380"/>
      <c r="Q1686" s="380"/>
    </row>
    <row r="1687" spans="1:17" x14ac:dyDescent="0.2">
      <c r="A1687" s="384" t="s">
        <v>1911</v>
      </c>
      <c r="B1687" s="380"/>
      <c r="C1687" s="334" t="s">
        <v>2777</v>
      </c>
      <c r="D1687" s="393">
        <v>260000</v>
      </c>
      <c r="E1687" s="380"/>
      <c r="F1687" s="378"/>
      <c r="G1687" s="380"/>
      <c r="H1687" s="380"/>
      <c r="I1687" s="383"/>
      <c r="J1687" s="334">
        <v>200000</v>
      </c>
      <c r="K1687" s="382"/>
      <c r="L1687" s="380"/>
      <c r="M1687" s="380"/>
      <c r="N1687" s="380"/>
      <c r="O1687" s="380"/>
      <c r="P1687" s="380"/>
      <c r="Q1687" s="380"/>
    </row>
    <row r="1688" spans="1:17" x14ac:dyDescent="0.2">
      <c r="A1688" s="334" t="s">
        <v>1911</v>
      </c>
      <c r="B1688" s="380"/>
      <c r="C1688" s="334" t="s">
        <v>2758</v>
      </c>
      <c r="D1688" s="431">
        <v>200000</v>
      </c>
      <c r="E1688" s="380"/>
      <c r="F1688" s="378"/>
      <c r="G1688" s="380"/>
      <c r="H1688" s="380"/>
      <c r="I1688" s="383"/>
      <c r="J1688" s="380">
        <v>0</v>
      </c>
      <c r="K1688" s="382"/>
      <c r="L1688" s="380"/>
      <c r="M1688" s="380"/>
      <c r="N1688" s="380"/>
      <c r="O1688" s="380"/>
      <c r="P1688" s="380"/>
      <c r="Q1688" s="380"/>
    </row>
    <row r="1689" spans="1:17" x14ac:dyDescent="0.2">
      <c r="A1689" s="334" t="s">
        <v>1911</v>
      </c>
      <c r="B1689" s="380"/>
      <c r="C1689" s="334" t="s">
        <v>47</v>
      </c>
      <c r="D1689" s="393">
        <v>460000</v>
      </c>
      <c r="E1689" s="380"/>
      <c r="F1689" s="378"/>
      <c r="G1689" s="380"/>
      <c r="H1689" s="380"/>
      <c r="I1689" s="399"/>
      <c r="J1689" s="334">
        <v>438000</v>
      </c>
      <c r="K1689" s="382"/>
      <c r="L1689" s="380"/>
      <c r="M1689" s="380"/>
      <c r="N1689" s="380"/>
      <c r="O1689" s="380"/>
      <c r="P1689" s="380"/>
      <c r="Q1689" s="380"/>
    </row>
    <row r="1690" spans="1:17" x14ac:dyDescent="0.2">
      <c r="A1690" s="380"/>
      <c r="B1690" s="380"/>
      <c r="C1690" s="380"/>
      <c r="D1690" s="410" t="s">
        <v>342</v>
      </c>
      <c r="E1690" s="380"/>
      <c r="F1690" s="378"/>
      <c r="G1690" s="380"/>
      <c r="H1690" s="380"/>
      <c r="I1690" s="383"/>
      <c r="J1690" s="410" t="s">
        <v>342</v>
      </c>
      <c r="K1690" s="382"/>
      <c r="L1690" s="380"/>
      <c r="M1690" s="380"/>
      <c r="N1690" s="380"/>
      <c r="O1690" s="380"/>
      <c r="P1690" s="380"/>
      <c r="Q1690" s="380"/>
    </row>
    <row r="1691" spans="1:17" ht="15.75" x14ac:dyDescent="0.25">
      <c r="A1691" s="380"/>
      <c r="B1691" s="380"/>
      <c r="C1691" s="380"/>
      <c r="D1691" s="334">
        <f>SUM(D1687:D1690)</f>
        <v>920000</v>
      </c>
      <c r="E1691" s="380"/>
      <c r="F1691" s="378"/>
      <c r="G1691" s="380"/>
      <c r="H1691" s="380"/>
      <c r="I1691" s="409"/>
      <c r="J1691" s="334">
        <f>SUM(J1687:J1690)</f>
        <v>638000</v>
      </c>
      <c r="K1691" s="382"/>
      <c r="L1691" s="380"/>
      <c r="M1691" s="380"/>
      <c r="N1691" s="380"/>
      <c r="O1691" s="380"/>
      <c r="P1691" s="380"/>
      <c r="Q1691" s="380"/>
    </row>
    <row r="1692" spans="1:17" ht="15.75" thickTop="1" x14ac:dyDescent="0.2">
      <c r="A1692" s="380"/>
      <c r="B1692" s="380"/>
      <c r="C1692" s="380"/>
      <c r="D1692" s="395"/>
      <c r="E1692" s="380"/>
      <c r="F1692" s="378"/>
      <c r="G1692" s="380"/>
      <c r="H1692" s="380"/>
      <c r="I1692" s="383"/>
      <c r="J1692" s="395"/>
      <c r="K1692" s="382"/>
      <c r="L1692" s="380"/>
      <c r="M1692" s="380"/>
      <c r="N1692" s="380"/>
      <c r="O1692" s="380"/>
      <c r="P1692" s="380"/>
      <c r="Q1692" s="380"/>
    </row>
    <row r="1693" spans="1:17" ht="15.75" x14ac:dyDescent="0.25">
      <c r="A1693" s="377"/>
      <c r="B1693" s="377"/>
      <c r="C1693" s="377"/>
      <c r="D1693" s="377"/>
      <c r="E1693" s="377"/>
      <c r="F1693" s="378"/>
      <c r="G1693" s="377"/>
      <c r="H1693" s="377"/>
      <c r="I1693" s="397"/>
      <c r="J1693" s="377"/>
      <c r="K1693" s="382"/>
      <c r="L1693" s="380"/>
      <c r="M1693" s="380"/>
      <c r="N1693" s="380"/>
      <c r="O1693" s="380"/>
      <c r="P1693" s="380"/>
      <c r="Q1693" s="380"/>
    </row>
    <row r="1694" spans="1:17" x14ac:dyDescent="0.2">
      <c r="A1694" s="380"/>
      <c r="B1694" s="380"/>
      <c r="C1694" s="380"/>
      <c r="D1694" s="380"/>
      <c r="E1694" s="380"/>
      <c r="F1694" s="378"/>
      <c r="G1694" s="380"/>
      <c r="H1694" s="380"/>
      <c r="I1694" s="383"/>
      <c r="J1694" s="380"/>
      <c r="K1694" s="382"/>
      <c r="L1694" s="380"/>
      <c r="M1694" s="380"/>
      <c r="N1694" s="380"/>
      <c r="O1694" s="380"/>
      <c r="P1694" s="380"/>
      <c r="Q1694" s="380"/>
    </row>
    <row r="1695" spans="1:17" x14ac:dyDescent="0.2">
      <c r="A1695" s="334" t="s">
        <v>1912</v>
      </c>
      <c r="B1695" s="380"/>
      <c r="C1695" s="380"/>
      <c r="D1695" s="380"/>
      <c r="E1695" s="380"/>
      <c r="F1695" s="378"/>
      <c r="G1695" s="380"/>
      <c r="H1695" s="380"/>
      <c r="I1695" s="383"/>
      <c r="J1695" s="380"/>
      <c r="K1695" s="382"/>
      <c r="L1695" s="380"/>
      <c r="M1695" s="380"/>
      <c r="N1695" s="380"/>
      <c r="O1695" s="380"/>
      <c r="P1695" s="380"/>
      <c r="Q1695" s="380"/>
    </row>
    <row r="1696" spans="1:17" x14ac:dyDescent="0.2">
      <c r="A1696" s="380"/>
      <c r="B1696" s="380"/>
      <c r="C1696" s="384" t="s">
        <v>2122</v>
      </c>
      <c r="D1696" s="380"/>
      <c r="E1696" s="384"/>
      <c r="F1696" s="378"/>
      <c r="G1696" s="380"/>
      <c r="H1696" s="380"/>
      <c r="I1696" s="383"/>
      <c r="J1696" s="380"/>
      <c r="K1696" s="382"/>
      <c r="L1696" s="380"/>
      <c r="M1696" s="380"/>
      <c r="N1696" s="380"/>
      <c r="O1696" s="380"/>
      <c r="P1696" s="380"/>
      <c r="Q1696" s="380"/>
    </row>
    <row r="1697" spans="1:17" x14ac:dyDescent="0.2">
      <c r="A1697" s="380"/>
      <c r="B1697" s="380"/>
      <c r="C1697" s="380"/>
      <c r="D1697" s="380"/>
      <c r="E1697" s="380"/>
      <c r="F1697" s="378"/>
      <c r="G1697" s="380"/>
      <c r="H1697" s="380"/>
      <c r="I1697" s="383"/>
      <c r="J1697" s="380"/>
      <c r="K1697" s="382"/>
      <c r="L1697" s="380"/>
      <c r="M1697" s="380"/>
      <c r="N1697" s="380"/>
      <c r="O1697" s="380"/>
      <c r="P1697" s="380"/>
      <c r="Q1697" s="380"/>
    </row>
    <row r="1698" spans="1:17" x14ac:dyDescent="0.2">
      <c r="A1698" s="334" t="s">
        <v>1574</v>
      </c>
      <c r="B1698" s="380"/>
      <c r="C1698" s="334" t="s">
        <v>1880</v>
      </c>
      <c r="D1698" s="334" t="s">
        <v>181</v>
      </c>
      <c r="E1698" s="380"/>
      <c r="F1698" s="378"/>
      <c r="G1698" s="380"/>
      <c r="H1698" s="380"/>
      <c r="I1698" s="383"/>
      <c r="J1698" s="334" t="s">
        <v>181</v>
      </c>
      <c r="K1698" s="382"/>
      <c r="L1698" s="380"/>
      <c r="M1698" s="380"/>
      <c r="N1698" s="380"/>
      <c r="O1698" s="380"/>
      <c r="P1698" s="380"/>
      <c r="Q1698" s="380"/>
    </row>
    <row r="1699" spans="1:17" x14ac:dyDescent="0.2">
      <c r="A1699" s="380"/>
      <c r="B1699" s="380"/>
      <c r="C1699" s="380"/>
      <c r="D1699" s="431">
        <v>260000</v>
      </c>
      <c r="E1699" s="380"/>
      <c r="F1699" s="378"/>
      <c r="G1699" s="380"/>
      <c r="H1699" s="380"/>
      <c r="I1699" s="383"/>
      <c r="J1699" s="380"/>
      <c r="K1699" s="382"/>
      <c r="L1699" s="380"/>
      <c r="M1699" s="380"/>
      <c r="N1699" s="380"/>
      <c r="O1699" s="380"/>
      <c r="P1699" s="380"/>
      <c r="Q1699" s="380"/>
    </row>
    <row r="1700" spans="1:17" x14ac:dyDescent="0.2">
      <c r="A1700" s="334" t="s">
        <v>1909</v>
      </c>
      <c r="B1700" s="380"/>
      <c r="C1700" s="334" t="s">
        <v>700</v>
      </c>
      <c r="D1700" s="377"/>
      <c r="E1700" s="384"/>
      <c r="F1700" s="378"/>
      <c r="G1700" s="380"/>
      <c r="H1700" s="380"/>
      <c r="I1700" s="399"/>
      <c r="J1700" s="377">
        <v>260000</v>
      </c>
      <c r="K1700" s="382"/>
      <c r="L1700" s="380"/>
      <c r="M1700" s="380"/>
      <c r="N1700" s="380"/>
      <c r="O1700" s="380"/>
      <c r="P1700" s="380"/>
      <c r="Q1700" s="380"/>
    </row>
    <row r="1701" spans="1:17" x14ac:dyDescent="0.2">
      <c r="A1701" s="380"/>
      <c r="B1701" s="380"/>
      <c r="C1701" s="380"/>
      <c r="D1701" s="410" t="s">
        <v>342</v>
      </c>
      <c r="E1701" s="380"/>
      <c r="F1701" s="378"/>
      <c r="G1701" s="380"/>
      <c r="H1701" s="380"/>
      <c r="I1701" s="383"/>
      <c r="J1701" s="410" t="s">
        <v>342</v>
      </c>
      <c r="K1701" s="382"/>
      <c r="L1701" s="380"/>
      <c r="M1701" s="380"/>
      <c r="N1701" s="380"/>
      <c r="O1701" s="380"/>
      <c r="P1701" s="380"/>
      <c r="Q1701" s="380"/>
    </row>
    <row r="1702" spans="1:17" ht="15.75" x14ac:dyDescent="0.25">
      <c r="A1702" s="380"/>
      <c r="B1702" s="380"/>
      <c r="C1702" s="380"/>
      <c r="D1702" s="334">
        <f>SUM(D1699:D1701)</f>
        <v>260000</v>
      </c>
      <c r="E1702" s="380"/>
      <c r="F1702" s="378"/>
      <c r="G1702" s="380"/>
      <c r="H1702" s="380"/>
      <c r="I1702" s="409"/>
      <c r="J1702" s="334">
        <f>SUM(J1700:J1700)</f>
        <v>260000</v>
      </c>
      <c r="K1702" s="382"/>
      <c r="L1702" s="380"/>
      <c r="M1702" s="380"/>
      <c r="N1702" s="380"/>
      <c r="O1702" s="380"/>
      <c r="P1702" s="380"/>
      <c r="Q1702" s="380"/>
    </row>
    <row r="1703" spans="1:17" ht="15.75" thickTop="1" x14ac:dyDescent="0.2">
      <c r="A1703" s="380"/>
      <c r="B1703" s="380"/>
      <c r="C1703" s="380"/>
      <c r="D1703" s="395"/>
      <c r="E1703" s="380"/>
      <c r="F1703" s="378"/>
      <c r="G1703" s="380"/>
      <c r="H1703" s="380"/>
      <c r="I1703" s="383"/>
      <c r="J1703" s="395"/>
      <c r="K1703" s="382"/>
      <c r="L1703" s="380"/>
      <c r="M1703" s="380"/>
      <c r="N1703" s="380"/>
      <c r="O1703" s="380"/>
      <c r="P1703" s="380"/>
      <c r="Q1703" s="380"/>
    </row>
    <row r="1704" spans="1:17" ht="15.75" x14ac:dyDescent="0.25">
      <c r="A1704" s="377"/>
      <c r="B1704" s="377"/>
      <c r="C1704" s="377"/>
      <c r="D1704" s="377"/>
      <c r="E1704" s="377"/>
      <c r="F1704" s="378"/>
      <c r="G1704" s="377"/>
      <c r="H1704" s="377"/>
      <c r="I1704" s="397"/>
      <c r="J1704" s="377"/>
      <c r="K1704" s="382"/>
      <c r="L1704" s="380"/>
      <c r="M1704" s="380"/>
      <c r="N1704" s="380"/>
      <c r="O1704" s="380"/>
      <c r="P1704" s="380"/>
      <c r="Q1704" s="380"/>
    </row>
    <row r="1705" spans="1:17" x14ac:dyDescent="0.2">
      <c r="A1705" s="380"/>
      <c r="B1705" s="380"/>
      <c r="C1705" s="380"/>
      <c r="D1705" s="380"/>
      <c r="E1705" s="380"/>
      <c r="F1705" s="378"/>
      <c r="G1705" s="380"/>
      <c r="H1705" s="380"/>
      <c r="I1705" s="383"/>
      <c r="J1705" s="380"/>
      <c r="K1705" s="382"/>
      <c r="L1705" s="380"/>
      <c r="M1705" s="380"/>
      <c r="N1705" s="380"/>
      <c r="O1705" s="380"/>
      <c r="P1705" s="380"/>
      <c r="Q1705" s="380"/>
    </row>
    <row r="1706" spans="1:17" x14ac:dyDescent="0.2">
      <c r="A1706" s="334" t="s">
        <v>1794</v>
      </c>
      <c r="B1706" s="380"/>
      <c r="C1706" s="380"/>
      <c r="D1706" s="380"/>
      <c r="E1706" s="380"/>
      <c r="F1706" s="378"/>
      <c r="G1706" s="380"/>
      <c r="H1706" s="380"/>
      <c r="I1706" s="383"/>
      <c r="J1706" s="380"/>
      <c r="K1706" s="382"/>
      <c r="L1706" s="380"/>
      <c r="M1706" s="380"/>
      <c r="N1706" s="380"/>
      <c r="O1706" s="380"/>
      <c r="P1706" s="380"/>
      <c r="Q1706" s="380"/>
    </row>
    <row r="1707" spans="1:17" x14ac:dyDescent="0.2">
      <c r="A1707" s="380"/>
      <c r="B1707" s="380"/>
      <c r="C1707" s="384" t="s">
        <v>2123</v>
      </c>
      <c r="D1707" s="380"/>
      <c r="E1707" s="384"/>
      <c r="F1707" s="378"/>
      <c r="G1707" s="380"/>
      <c r="H1707" s="380"/>
      <c r="I1707" s="383"/>
      <c r="J1707" s="380"/>
      <c r="K1707" s="382"/>
      <c r="L1707" s="380"/>
      <c r="M1707" s="380"/>
      <c r="N1707" s="380"/>
      <c r="O1707" s="380"/>
      <c r="P1707" s="380"/>
      <c r="Q1707" s="380"/>
    </row>
    <row r="1708" spans="1:17" x14ac:dyDescent="0.2">
      <c r="A1708" s="380"/>
      <c r="B1708" s="380"/>
      <c r="C1708" s="380"/>
      <c r="D1708" s="380"/>
      <c r="E1708" s="377"/>
      <c r="F1708" s="378"/>
      <c r="G1708" s="380"/>
      <c r="H1708" s="380"/>
      <c r="I1708" s="383"/>
      <c r="J1708" s="380"/>
      <c r="K1708" s="382"/>
      <c r="L1708" s="380"/>
      <c r="M1708" s="380"/>
      <c r="N1708" s="380"/>
      <c r="O1708" s="380"/>
      <c r="P1708" s="380"/>
      <c r="Q1708" s="380"/>
    </row>
    <row r="1709" spans="1:17" x14ac:dyDescent="0.2">
      <c r="A1709" s="334" t="s">
        <v>1723</v>
      </c>
      <c r="B1709" s="380"/>
      <c r="C1709" s="428" t="s">
        <v>1880</v>
      </c>
      <c r="D1709" s="428" t="s">
        <v>181</v>
      </c>
      <c r="E1709" s="380"/>
      <c r="F1709" s="378"/>
      <c r="G1709" s="380"/>
      <c r="H1709" s="380"/>
      <c r="I1709" s="383"/>
      <c r="J1709" s="428" t="s">
        <v>181</v>
      </c>
      <c r="K1709" s="382"/>
      <c r="L1709" s="380"/>
      <c r="M1709" s="380"/>
      <c r="N1709" s="380"/>
      <c r="O1709" s="380"/>
      <c r="P1709" s="380"/>
      <c r="Q1709" s="380"/>
    </row>
    <row r="1710" spans="1:17" x14ac:dyDescent="0.2">
      <c r="A1710" s="334" t="s">
        <v>342</v>
      </c>
      <c r="B1710" s="380"/>
      <c r="C1710" s="334" t="s">
        <v>342</v>
      </c>
      <c r="D1710" s="334" t="s">
        <v>342</v>
      </c>
      <c r="E1710" s="380"/>
      <c r="F1710" s="378"/>
      <c r="G1710" s="380"/>
      <c r="H1710" s="380"/>
      <c r="I1710" s="383"/>
      <c r="J1710" s="334" t="s">
        <v>342</v>
      </c>
      <c r="K1710" s="382"/>
      <c r="L1710" s="380"/>
      <c r="M1710" s="380"/>
      <c r="N1710" s="380"/>
      <c r="O1710" s="380"/>
      <c r="P1710" s="380"/>
      <c r="Q1710" s="380"/>
    </row>
    <row r="1711" spans="1:17" x14ac:dyDescent="0.2">
      <c r="A1711" s="334" t="s">
        <v>1909</v>
      </c>
      <c r="B1711" s="380"/>
      <c r="C1711" s="334" t="s">
        <v>700</v>
      </c>
      <c r="D1711" s="379">
        <v>15000</v>
      </c>
      <c r="E1711" s="384"/>
      <c r="F1711" s="378"/>
      <c r="G1711" s="380"/>
      <c r="H1711" s="380"/>
      <c r="I1711" s="399"/>
      <c r="J1711" s="377">
        <v>15000</v>
      </c>
      <c r="K1711" s="382"/>
      <c r="L1711" s="380"/>
      <c r="M1711" s="380"/>
      <c r="N1711" s="380"/>
      <c r="O1711" s="380"/>
      <c r="P1711" s="380"/>
      <c r="Q1711" s="380"/>
    </row>
    <row r="1712" spans="1:17" x14ac:dyDescent="0.2">
      <c r="A1712" s="334" t="s">
        <v>342</v>
      </c>
      <c r="B1712" s="380"/>
      <c r="C1712" s="334" t="s">
        <v>342</v>
      </c>
      <c r="D1712" s="410" t="s">
        <v>342</v>
      </c>
      <c r="E1712" s="380"/>
      <c r="F1712" s="378"/>
      <c r="G1712" s="380"/>
      <c r="H1712" s="380"/>
      <c r="I1712" s="383"/>
      <c r="J1712" s="410" t="s">
        <v>342</v>
      </c>
      <c r="K1712" s="382"/>
      <c r="L1712" s="380"/>
      <c r="M1712" s="380"/>
      <c r="N1712" s="380"/>
      <c r="O1712" s="380"/>
      <c r="P1712" s="380"/>
      <c r="Q1712" s="380"/>
    </row>
    <row r="1713" spans="1:17" ht="15.75" x14ac:dyDescent="0.25">
      <c r="A1713" s="334" t="s">
        <v>342</v>
      </c>
      <c r="B1713" s="380"/>
      <c r="C1713" s="334" t="s">
        <v>342</v>
      </c>
      <c r="D1713" s="334">
        <f>SUM(D1711:D1711)</f>
        <v>15000</v>
      </c>
      <c r="E1713" s="380"/>
      <c r="F1713" s="378"/>
      <c r="G1713" s="380"/>
      <c r="H1713" s="380"/>
      <c r="I1713" s="409"/>
      <c r="J1713" s="334">
        <f>SUM(J1711:J1711)</f>
        <v>15000</v>
      </c>
      <c r="K1713" s="382"/>
      <c r="L1713" s="380"/>
      <c r="M1713" s="380"/>
      <c r="N1713" s="380"/>
      <c r="O1713" s="380"/>
      <c r="P1713" s="380"/>
      <c r="Q1713" s="380"/>
    </row>
    <row r="1714" spans="1:17" ht="15.75" thickTop="1" x14ac:dyDescent="0.2">
      <c r="A1714" s="334" t="s">
        <v>342</v>
      </c>
      <c r="B1714" s="380"/>
      <c r="C1714" s="334" t="s">
        <v>342</v>
      </c>
      <c r="D1714" s="400" t="s">
        <v>342</v>
      </c>
      <c r="E1714" s="380"/>
      <c r="F1714" s="378"/>
      <c r="G1714" s="380"/>
      <c r="H1714" s="380"/>
      <c r="I1714" s="383"/>
      <c r="J1714" s="400" t="s">
        <v>342</v>
      </c>
      <c r="K1714" s="382"/>
      <c r="L1714" s="380"/>
      <c r="M1714" s="380"/>
      <c r="N1714" s="380"/>
      <c r="O1714" s="380"/>
      <c r="P1714" s="380"/>
      <c r="Q1714" s="380"/>
    </row>
    <row r="1715" spans="1:17" ht="15.75" x14ac:dyDescent="0.25">
      <c r="A1715" s="334" t="s">
        <v>342</v>
      </c>
      <c r="B1715" s="377"/>
      <c r="C1715" s="334" t="s">
        <v>342</v>
      </c>
      <c r="D1715" s="334" t="s">
        <v>342</v>
      </c>
      <c r="E1715" s="377"/>
      <c r="F1715" s="378"/>
      <c r="G1715" s="377"/>
      <c r="H1715" s="377"/>
      <c r="I1715" s="397"/>
      <c r="J1715" s="334" t="s">
        <v>342</v>
      </c>
      <c r="K1715" s="382"/>
      <c r="L1715" s="380"/>
      <c r="M1715" s="380"/>
      <c r="N1715" s="380"/>
      <c r="O1715" s="380"/>
      <c r="P1715" s="380"/>
      <c r="Q1715" s="380"/>
    </row>
    <row r="1716" spans="1:17" x14ac:dyDescent="0.2">
      <c r="A1716" s="334" t="s">
        <v>342</v>
      </c>
      <c r="B1716" s="380"/>
      <c r="C1716" s="334" t="s">
        <v>342</v>
      </c>
      <c r="D1716" s="334" t="s">
        <v>342</v>
      </c>
      <c r="E1716" s="380"/>
      <c r="F1716" s="378"/>
      <c r="G1716" s="380"/>
      <c r="H1716" s="380"/>
      <c r="I1716" s="383"/>
      <c r="J1716" s="334" t="s">
        <v>342</v>
      </c>
      <c r="K1716" s="382"/>
      <c r="L1716" s="380"/>
      <c r="M1716" s="380"/>
      <c r="N1716" s="380"/>
      <c r="O1716" s="380"/>
      <c r="P1716" s="380"/>
      <c r="Q1716" s="380"/>
    </row>
    <row r="1717" spans="1:17" x14ac:dyDescent="0.2">
      <c r="A1717" s="334" t="s">
        <v>1795</v>
      </c>
      <c r="B1717" s="380"/>
      <c r="C1717" s="380"/>
      <c r="D1717" s="334" t="s">
        <v>342</v>
      </c>
      <c r="E1717" s="380"/>
      <c r="F1717" s="378"/>
      <c r="G1717" s="380"/>
      <c r="H1717" s="380"/>
      <c r="I1717" s="383"/>
      <c r="J1717" s="334" t="s">
        <v>342</v>
      </c>
      <c r="K1717" s="382"/>
      <c r="L1717" s="380"/>
      <c r="M1717" s="380"/>
      <c r="N1717" s="380"/>
      <c r="O1717" s="380"/>
      <c r="P1717" s="380"/>
      <c r="Q1717" s="380"/>
    </row>
    <row r="1718" spans="1:17" x14ac:dyDescent="0.2">
      <c r="A1718" s="334" t="s">
        <v>342</v>
      </c>
      <c r="B1718" s="380"/>
      <c r="C1718" s="384" t="s">
        <v>2124</v>
      </c>
      <c r="D1718" s="380"/>
      <c r="E1718" s="384"/>
      <c r="F1718" s="378"/>
      <c r="G1718" s="380"/>
      <c r="H1718" s="380"/>
      <c r="I1718" s="383"/>
      <c r="J1718" s="380"/>
      <c r="K1718" s="382"/>
      <c r="L1718" s="380"/>
      <c r="M1718" s="380"/>
      <c r="N1718" s="380"/>
      <c r="O1718" s="380"/>
      <c r="P1718" s="380"/>
      <c r="Q1718" s="380"/>
    </row>
    <row r="1719" spans="1:17" x14ac:dyDescent="0.2">
      <c r="A1719" s="334" t="s">
        <v>342</v>
      </c>
      <c r="B1719" s="380"/>
      <c r="C1719" s="334" t="s">
        <v>342</v>
      </c>
      <c r="D1719" s="334" t="s">
        <v>342</v>
      </c>
      <c r="E1719" s="380"/>
      <c r="F1719" s="378"/>
      <c r="G1719" s="380"/>
      <c r="H1719" s="380"/>
      <c r="I1719" s="383"/>
      <c r="J1719" s="334" t="s">
        <v>342</v>
      </c>
      <c r="K1719" s="382"/>
      <c r="L1719" s="380"/>
      <c r="M1719" s="380"/>
      <c r="N1719" s="380"/>
      <c r="O1719" s="380"/>
      <c r="P1719" s="380"/>
      <c r="Q1719" s="380"/>
    </row>
    <row r="1720" spans="1:17" x14ac:dyDescent="0.2">
      <c r="A1720" s="334" t="s">
        <v>1723</v>
      </c>
      <c r="B1720" s="380"/>
      <c r="C1720" s="334" t="s">
        <v>1880</v>
      </c>
      <c r="D1720" s="334" t="s">
        <v>181</v>
      </c>
      <c r="E1720" s="380"/>
      <c r="F1720" s="378"/>
      <c r="G1720" s="380"/>
      <c r="H1720" s="380"/>
      <c r="I1720" s="383"/>
      <c r="J1720" s="334" t="s">
        <v>181</v>
      </c>
      <c r="K1720" s="382"/>
      <c r="L1720" s="380"/>
      <c r="M1720" s="380"/>
      <c r="N1720" s="380"/>
      <c r="O1720" s="380"/>
      <c r="P1720" s="380"/>
      <c r="Q1720" s="380"/>
    </row>
    <row r="1721" spans="1:17" x14ac:dyDescent="0.2">
      <c r="A1721" s="334" t="s">
        <v>342</v>
      </c>
      <c r="B1721" s="380"/>
      <c r="C1721" s="334" t="s">
        <v>342</v>
      </c>
      <c r="D1721" s="334" t="s">
        <v>342</v>
      </c>
      <c r="E1721" s="380"/>
      <c r="F1721" s="378"/>
      <c r="G1721" s="380"/>
      <c r="H1721" s="380"/>
      <c r="I1721" s="383"/>
      <c r="J1721" s="334" t="s">
        <v>342</v>
      </c>
      <c r="K1721" s="382"/>
      <c r="L1721" s="380"/>
      <c r="M1721" s="380"/>
      <c r="N1721" s="380"/>
      <c r="O1721" s="380"/>
      <c r="P1721" s="380"/>
      <c r="Q1721" s="380"/>
    </row>
    <row r="1722" spans="1:17" x14ac:dyDescent="0.2">
      <c r="A1722" s="334" t="s">
        <v>1909</v>
      </c>
      <c r="B1722" s="380"/>
      <c r="C1722" s="334" t="s">
        <v>700</v>
      </c>
      <c r="D1722" s="379">
        <v>50000</v>
      </c>
      <c r="E1722" s="384"/>
      <c r="F1722" s="378"/>
      <c r="G1722" s="380"/>
      <c r="H1722" s="380"/>
      <c r="I1722" s="399"/>
      <c r="J1722" s="377">
        <v>50000</v>
      </c>
      <c r="K1722" s="382"/>
      <c r="L1722" s="380"/>
      <c r="M1722" s="380"/>
      <c r="N1722" s="380"/>
      <c r="O1722" s="380"/>
      <c r="P1722" s="380"/>
      <c r="Q1722" s="380"/>
    </row>
    <row r="1723" spans="1:17" x14ac:dyDescent="0.2">
      <c r="A1723" s="334" t="s">
        <v>342</v>
      </c>
      <c r="B1723" s="380"/>
      <c r="C1723" s="334" t="s">
        <v>342</v>
      </c>
      <c r="D1723" s="410" t="s">
        <v>342</v>
      </c>
      <c r="E1723" s="380"/>
      <c r="F1723" s="378"/>
      <c r="G1723" s="380"/>
      <c r="H1723" s="380"/>
      <c r="I1723" s="383"/>
      <c r="J1723" s="410" t="s">
        <v>342</v>
      </c>
      <c r="K1723" s="382"/>
      <c r="L1723" s="380"/>
      <c r="M1723" s="380"/>
      <c r="N1723" s="380"/>
      <c r="O1723" s="380"/>
      <c r="P1723" s="380"/>
      <c r="Q1723" s="380"/>
    </row>
    <row r="1724" spans="1:17" ht="15.75" x14ac:dyDescent="0.25">
      <c r="A1724" s="334" t="s">
        <v>342</v>
      </c>
      <c r="B1724" s="380"/>
      <c r="C1724" s="334" t="s">
        <v>342</v>
      </c>
      <c r="D1724" s="334">
        <f>SUM(D1722:D1722)</f>
        <v>50000</v>
      </c>
      <c r="E1724" s="380"/>
      <c r="F1724" s="378"/>
      <c r="G1724" s="380"/>
      <c r="H1724" s="380"/>
      <c r="I1724" s="409"/>
      <c r="J1724" s="334">
        <f>SUM(J1722:J1722)</f>
        <v>50000</v>
      </c>
      <c r="K1724" s="382"/>
      <c r="L1724" s="380"/>
      <c r="M1724" s="380"/>
      <c r="N1724" s="380"/>
      <c r="O1724" s="380"/>
      <c r="P1724" s="380"/>
      <c r="Q1724" s="380"/>
    </row>
    <row r="1725" spans="1:17" ht="15.75" thickTop="1" x14ac:dyDescent="0.2">
      <c r="A1725" s="334" t="s">
        <v>342</v>
      </c>
      <c r="B1725" s="380"/>
      <c r="C1725" s="334" t="s">
        <v>342</v>
      </c>
      <c r="D1725" s="400" t="s">
        <v>342</v>
      </c>
      <c r="E1725" s="380"/>
      <c r="F1725" s="378"/>
      <c r="G1725" s="380"/>
      <c r="H1725" s="380"/>
      <c r="I1725" s="383"/>
      <c r="J1725" s="400" t="s">
        <v>342</v>
      </c>
      <c r="K1725" s="382"/>
      <c r="L1725" s="380"/>
      <c r="M1725" s="380"/>
      <c r="N1725" s="380"/>
      <c r="O1725" s="380"/>
      <c r="P1725" s="380"/>
      <c r="Q1725" s="380"/>
    </row>
    <row r="1726" spans="1:17" x14ac:dyDescent="0.2">
      <c r="A1726" s="334" t="s">
        <v>342</v>
      </c>
      <c r="B1726" s="377"/>
      <c r="C1726" s="334" t="s">
        <v>342</v>
      </c>
      <c r="D1726" s="334" t="s">
        <v>365</v>
      </c>
      <c r="E1726" s="377"/>
      <c r="F1726" s="378"/>
      <c r="G1726" s="377"/>
      <c r="H1726" s="377"/>
      <c r="I1726" s="387"/>
      <c r="J1726" s="334" t="s">
        <v>365</v>
      </c>
      <c r="K1726" s="382"/>
      <c r="L1726" s="380"/>
      <c r="M1726" s="380"/>
      <c r="N1726" s="380"/>
      <c r="O1726" s="380"/>
      <c r="P1726" s="380"/>
      <c r="Q1726" s="380"/>
    </row>
    <row r="1727" spans="1:17" x14ac:dyDescent="0.2">
      <c r="A1727" s="334" t="s">
        <v>342</v>
      </c>
      <c r="B1727" s="380"/>
      <c r="C1727" s="334" t="s">
        <v>342</v>
      </c>
      <c r="D1727" s="334" t="s">
        <v>342</v>
      </c>
      <c r="E1727" s="380"/>
      <c r="F1727" s="378"/>
      <c r="G1727" s="380"/>
      <c r="H1727" s="380"/>
      <c r="I1727" s="383"/>
      <c r="J1727" s="334" t="s">
        <v>342</v>
      </c>
      <c r="K1727" s="382"/>
      <c r="L1727" s="380"/>
      <c r="M1727" s="380"/>
      <c r="N1727" s="380"/>
      <c r="O1727" s="380"/>
      <c r="P1727" s="380"/>
      <c r="Q1727" s="380"/>
    </row>
    <row r="1728" spans="1:17" x14ac:dyDescent="0.2">
      <c r="A1728" s="334" t="s">
        <v>1316</v>
      </c>
      <c r="B1728" s="380"/>
      <c r="C1728" s="380"/>
      <c r="D1728" s="380"/>
      <c r="E1728" s="380"/>
      <c r="F1728" s="378"/>
      <c r="G1728" s="380"/>
      <c r="H1728" s="380"/>
      <c r="I1728" s="383"/>
      <c r="J1728" s="380"/>
      <c r="K1728" s="382"/>
      <c r="L1728" s="380"/>
      <c r="M1728" s="380"/>
      <c r="N1728" s="380"/>
      <c r="O1728" s="380"/>
      <c r="P1728" s="380"/>
      <c r="Q1728" s="380"/>
    </row>
    <row r="1729" spans="1:17" x14ac:dyDescent="0.2">
      <c r="A1729" s="380"/>
      <c r="B1729" s="380"/>
      <c r="C1729" s="384" t="s">
        <v>2125</v>
      </c>
      <c r="D1729" s="380"/>
      <c r="E1729" s="384"/>
      <c r="F1729" s="378"/>
      <c r="G1729" s="380"/>
      <c r="H1729" s="380"/>
      <c r="I1729" s="383"/>
      <c r="J1729" s="380"/>
      <c r="K1729" s="382"/>
      <c r="L1729" s="380"/>
      <c r="M1729" s="380"/>
      <c r="N1729" s="380"/>
      <c r="O1729" s="380"/>
      <c r="P1729" s="380"/>
      <c r="Q1729" s="380"/>
    </row>
    <row r="1730" spans="1:17" x14ac:dyDescent="0.2">
      <c r="A1730" s="380"/>
      <c r="B1730" s="380"/>
      <c r="C1730" s="380"/>
      <c r="D1730" s="380"/>
      <c r="E1730" s="380"/>
      <c r="F1730" s="378"/>
      <c r="G1730" s="380"/>
      <c r="H1730" s="380"/>
      <c r="I1730" s="383"/>
      <c r="J1730" s="380"/>
      <c r="K1730" s="382"/>
      <c r="L1730" s="380"/>
      <c r="M1730" s="380"/>
      <c r="N1730" s="380"/>
      <c r="O1730" s="380"/>
      <c r="P1730" s="380"/>
      <c r="Q1730" s="380"/>
    </row>
    <row r="1731" spans="1:17" x14ac:dyDescent="0.2">
      <c r="A1731" s="334" t="s">
        <v>1723</v>
      </c>
      <c r="B1731" s="380"/>
      <c r="C1731" s="334" t="s">
        <v>1880</v>
      </c>
      <c r="D1731" s="334" t="s">
        <v>181</v>
      </c>
      <c r="E1731" s="380"/>
      <c r="F1731" s="378"/>
      <c r="G1731" s="380"/>
      <c r="H1731" s="380"/>
      <c r="I1731" s="383"/>
      <c r="J1731" s="334" t="s">
        <v>181</v>
      </c>
      <c r="K1731" s="382"/>
      <c r="L1731" s="380"/>
      <c r="M1731" s="380"/>
      <c r="N1731" s="380"/>
      <c r="O1731" s="380"/>
      <c r="P1731" s="380"/>
      <c r="Q1731" s="380"/>
    </row>
    <row r="1732" spans="1:17" x14ac:dyDescent="0.2">
      <c r="A1732" s="380"/>
      <c r="B1732" s="380"/>
      <c r="C1732" s="380"/>
      <c r="D1732" s="380"/>
      <c r="E1732" s="380"/>
      <c r="F1732" s="378"/>
      <c r="G1732" s="380"/>
      <c r="H1732" s="380"/>
      <c r="I1732" s="383"/>
      <c r="J1732" s="380"/>
      <c r="K1732" s="382"/>
      <c r="L1732" s="380"/>
      <c r="M1732" s="380"/>
      <c r="N1732" s="380"/>
      <c r="O1732" s="380"/>
      <c r="P1732" s="380"/>
      <c r="Q1732" s="380"/>
    </row>
    <row r="1733" spans="1:17" x14ac:dyDescent="0.2">
      <c r="A1733" s="384" t="s">
        <v>1724</v>
      </c>
      <c r="B1733" s="380"/>
      <c r="C1733" s="334" t="s">
        <v>1881</v>
      </c>
      <c r="D1733" s="377"/>
      <c r="E1733" s="384"/>
      <c r="F1733" s="378"/>
      <c r="G1733" s="380"/>
      <c r="H1733" s="380"/>
      <c r="I1733" s="399"/>
      <c r="J1733" s="377"/>
      <c r="K1733" s="382"/>
      <c r="L1733" s="380"/>
      <c r="M1733" s="380"/>
      <c r="N1733" s="380"/>
      <c r="O1733" s="380"/>
      <c r="P1733" s="380"/>
      <c r="Q1733" s="380"/>
    </row>
    <row r="1734" spans="1:17" x14ac:dyDescent="0.2">
      <c r="A1734" s="384" t="s">
        <v>1744</v>
      </c>
      <c r="B1734" s="380"/>
      <c r="C1734" s="334" t="s">
        <v>1254</v>
      </c>
      <c r="D1734" s="377"/>
      <c r="E1734" s="384"/>
      <c r="F1734" s="378"/>
      <c r="G1734" s="380"/>
      <c r="H1734" s="380"/>
      <c r="I1734" s="399"/>
      <c r="J1734" s="377"/>
      <c r="K1734" s="382"/>
      <c r="L1734" s="380"/>
      <c r="M1734" s="380"/>
      <c r="N1734" s="380"/>
      <c r="O1734" s="380"/>
      <c r="P1734" s="380"/>
      <c r="Q1734" s="380"/>
    </row>
    <row r="1735" spans="1:17" x14ac:dyDescent="0.2">
      <c r="A1735" s="384" t="s">
        <v>1725</v>
      </c>
      <c r="B1735" s="380"/>
      <c r="C1735" s="334" t="s">
        <v>1890</v>
      </c>
      <c r="D1735" s="377"/>
      <c r="E1735" s="384"/>
      <c r="F1735" s="378"/>
      <c r="G1735" s="380"/>
      <c r="H1735" s="380"/>
      <c r="I1735" s="399"/>
      <c r="J1735" s="377"/>
      <c r="K1735" s="382"/>
      <c r="L1735" s="380"/>
      <c r="M1735" s="380"/>
      <c r="N1735" s="380"/>
      <c r="O1735" s="380"/>
      <c r="P1735" s="380"/>
      <c r="Q1735" s="380"/>
    </row>
    <row r="1736" spans="1:17" x14ac:dyDescent="0.2">
      <c r="A1736" s="384" t="s">
        <v>1751</v>
      </c>
      <c r="B1736" s="380"/>
      <c r="C1736" s="334" t="s">
        <v>3138</v>
      </c>
      <c r="D1736" s="377"/>
      <c r="E1736" s="384"/>
      <c r="F1736" s="378"/>
      <c r="G1736" s="380"/>
      <c r="H1736" s="380"/>
      <c r="I1736" s="399"/>
      <c r="J1736" s="377"/>
      <c r="K1736" s="382"/>
      <c r="L1736" s="380"/>
      <c r="M1736" s="380"/>
      <c r="N1736" s="380"/>
      <c r="O1736" s="380"/>
      <c r="P1736" s="380"/>
      <c r="Q1736" s="380"/>
    </row>
    <row r="1737" spans="1:17" x14ac:dyDescent="0.2">
      <c r="A1737" s="384" t="s">
        <v>1738</v>
      </c>
      <c r="B1737" s="380"/>
      <c r="C1737" s="334" t="s">
        <v>1591</v>
      </c>
      <c r="D1737" s="377"/>
      <c r="E1737" s="384"/>
      <c r="F1737" s="378"/>
      <c r="G1737" s="380"/>
      <c r="H1737" s="380"/>
      <c r="I1737" s="399"/>
      <c r="J1737" s="377"/>
      <c r="K1737" s="382"/>
      <c r="L1737" s="380"/>
      <c r="M1737" s="380"/>
      <c r="N1737" s="380"/>
      <c r="O1737" s="380"/>
      <c r="P1737" s="380"/>
      <c r="Q1737" s="380"/>
    </row>
    <row r="1738" spans="1:17" x14ac:dyDescent="0.2">
      <c r="A1738" s="384" t="s">
        <v>1727</v>
      </c>
      <c r="B1738" s="380"/>
      <c r="C1738" s="334" t="s">
        <v>307</v>
      </c>
      <c r="D1738" s="377"/>
      <c r="E1738" s="384"/>
      <c r="F1738" s="378"/>
      <c r="G1738" s="380"/>
      <c r="H1738" s="380"/>
      <c r="I1738" s="399"/>
      <c r="J1738" s="377"/>
      <c r="K1738" s="382"/>
      <c r="L1738" s="380"/>
      <c r="M1738" s="380"/>
      <c r="N1738" s="380"/>
      <c r="O1738" s="380"/>
      <c r="P1738" s="380"/>
      <c r="Q1738" s="380"/>
    </row>
    <row r="1739" spans="1:17" x14ac:dyDescent="0.2">
      <c r="A1739" s="384" t="s">
        <v>1728</v>
      </c>
      <c r="B1739" s="380"/>
      <c r="C1739" s="334" t="s">
        <v>310</v>
      </c>
      <c r="D1739" s="377"/>
      <c r="E1739" s="384"/>
      <c r="F1739" s="378"/>
      <c r="G1739" s="380"/>
      <c r="H1739" s="380"/>
      <c r="I1739" s="399"/>
      <c r="J1739" s="377"/>
      <c r="K1739" s="382"/>
      <c r="L1739" s="380"/>
      <c r="M1739" s="380"/>
      <c r="N1739" s="380"/>
      <c r="O1739" s="380"/>
      <c r="P1739" s="380"/>
      <c r="Q1739" s="380"/>
    </row>
    <row r="1740" spans="1:17" x14ac:dyDescent="0.2">
      <c r="A1740" s="384" t="s">
        <v>1729</v>
      </c>
      <c r="B1740" s="380"/>
      <c r="C1740" s="380" t="s">
        <v>1551</v>
      </c>
      <c r="D1740" s="377">
        <v>-10000</v>
      </c>
      <c r="E1740" s="384"/>
      <c r="F1740" s="378"/>
      <c r="G1740" s="380"/>
      <c r="H1740" s="380"/>
      <c r="I1740" s="399"/>
      <c r="J1740" s="377">
        <v>50</v>
      </c>
      <c r="K1740" s="382"/>
      <c r="L1740" s="380"/>
      <c r="M1740" s="380"/>
      <c r="N1740" s="380"/>
      <c r="O1740" s="380"/>
      <c r="P1740" s="380"/>
      <c r="Q1740" s="380"/>
    </row>
    <row r="1741" spans="1:17" x14ac:dyDescent="0.2">
      <c r="A1741" s="384" t="s">
        <v>1735</v>
      </c>
      <c r="B1741" s="380"/>
      <c r="C1741" s="380" t="s">
        <v>194</v>
      </c>
      <c r="D1741" s="377"/>
      <c r="E1741" s="384"/>
      <c r="F1741" s="378"/>
      <c r="G1741" s="380"/>
      <c r="H1741" s="380"/>
      <c r="I1741" s="399"/>
      <c r="J1741" s="377"/>
      <c r="K1741" s="382"/>
      <c r="L1741" s="380"/>
      <c r="M1741" s="380"/>
      <c r="N1741" s="380"/>
      <c r="O1741" s="380"/>
      <c r="P1741" s="380"/>
      <c r="Q1741" s="380"/>
    </row>
    <row r="1742" spans="1:17" x14ac:dyDescent="0.2">
      <c r="A1742" s="391" t="s">
        <v>1754</v>
      </c>
      <c r="B1742" s="380"/>
      <c r="C1742" s="334" t="s">
        <v>1929</v>
      </c>
      <c r="D1742" s="377"/>
      <c r="E1742" s="384"/>
      <c r="F1742" s="378"/>
      <c r="G1742" s="380"/>
      <c r="H1742" s="380"/>
      <c r="I1742" s="399"/>
      <c r="J1742" s="377"/>
      <c r="K1742" s="382"/>
      <c r="L1742" s="380"/>
      <c r="M1742" s="380"/>
      <c r="N1742" s="380"/>
      <c r="O1742" s="380"/>
      <c r="P1742" s="380"/>
      <c r="Q1742" s="380"/>
    </row>
    <row r="1743" spans="1:17" x14ac:dyDescent="0.2">
      <c r="A1743" s="384" t="s">
        <v>1730</v>
      </c>
      <c r="B1743" s="380"/>
      <c r="C1743" s="334" t="s">
        <v>1985</v>
      </c>
      <c r="D1743" s="377">
        <v>20000</v>
      </c>
      <c r="E1743" s="384"/>
      <c r="F1743" s="378"/>
      <c r="G1743" s="380"/>
      <c r="H1743" s="380"/>
      <c r="I1743" s="399"/>
      <c r="J1743" s="377">
        <v>11000</v>
      </c>
      <c r="K1743" s="382"/>
      <c r="L1743" s="380"/>
      <c r="M1743" s="380"/>
      <c r="N1743" s="380"/>
      <c r="O1743" s="380"/>
      <c r="P1743" s="380"/>
      <c r="Q1743" s="380"/>
    </row>
    <row r="1744" spans="1:17" x14ac:dyDescent="0.2">
      <c r="A1744" s="384" t="s">
        <v>1566</v>
      </c>
      <c r="B1744" s="380"/>
      <c r="C1744" s="334" t="s">
        <v>366</v>
      </c>
      <c r="D1744" s="377">
        <v>5000</v>
      </c>
      <c r="E1744" s="384"/>
      <c r="F1744" s="378"/>
      <c r="G1744" s="380"/>
      <c r="H1744" s="380"/>
      <c r="I1744" s="399"/>
      <c r="J1744" s="377">
        <v>2000</v>
      </c>
      <c r="K1744" s="382"/>
      <c r="L1744" s="380"/>
      <c r="M1744" s="380"/>
      <c r="N1744" s="380"/>
      <c r="O1744" s="380"/>
      <c r="P1744" s="380"/>
      <c r="Q1744" s="380"/>
    </row>
    <row r="1745" spans="1:17" x14ac:dyDescent="0.2">
      <c r="A1745" s="384" t="s">
        <v>1962</v>
      </c>
      <c r="B1745" s="380"/>
      <c r="C1745" s="380" t="s">
        <v>572</v>
      </c>
      <c r="D1745" s="377"/>
      <c r="E1745" s="384"/>
      <c r="F1745" s="378"/>
      <c r="G1745" s="380"/>
      <c r="H1745" s="380"/>
      <c r="I1745" s="399"/>
      <c r="J1745" s="377"/>
      <c r="K1745" s="382"/>
      <c r="L1745" s="380"/>
      <c r="M1745" s="380"/>
      <c r="N1745" s="380"/>
      <c r="O1745" s="380"/>
      <c r="P1745" s="380"/>
      <c r="Q1745" s="380"/>
    </row>
    <row r="1746" spans="1:17" x14ac:dyDescent="0.2">
      <c r="A1746" s="384" t="s">
        <v>1569</v>
      </c>
      <c r="B1746" s="380"/>
      <c r="C1746" s="334" t="s">
        <v>1888</v>
      </c>
      <c r="D1746" s="377"/>
      <c r="E1746" s="384"/>
      <c r="F1746" s="378"/>
      <c r="G1746" s="380"/>
      <c r="H1746" s="380"/>
      <c r="I1746" s="399"/>
      <c r="J1746" s="377"/>
      <c r="K1746" s="382"/>
      <c r="L1746" s="380"/>
      <c r="M1746" s="380"/>
      <c r="N1746" s="380"/>
      <c r="O1746" s="380"/>
      <c r="P1746" s="380"/>
      <c r="Q1746" s="380"/>
    </row>
    <row r="1747" spans="1:17" x14ac:dyDescent="0.2">
      <c r="A1747" s="334" t="s">
        <v>342</v>
      </c>
      <c r="B1747" s="380"/>
      <c r="C1747" s="334" t="s">
        <v>342</v>
      </c>
      <c r="D1747" s="410" t="s">
        <v>342</v>
      </c>
      <c r="E1747" s="380"/>
      <c r="F1747" s="378"/>
      <c r="G1747" s="380"/>
      <c r="H1747" s="380"/>
      <c r="I1747" s="383"/>
      <c r="J1747" s="410" t="s">
        <v>342</v>
      </c>
      <c r="K1747" s="382"/>
      <c r="L1747" s="380"/>
      <c r="M1747" s="380"/>
      <c r="N1747" s="380"/>
      <c r="O1747" s="380"/>
      <c r="P1747" s="380"/>
      <c r="Q1747" s="380"/>
    </row>
    <row r="1748" spans="1:17" x14ac:dyDescent="0.2">
      <c r="A1748" s="380"/>
      <c r="B1748" s="380"/>
      <c r="C1748" s="334" t="s">
        <v>342</v>
      </c>
      <c r="D1748" s="334">
        <f>SUM(D1733:D1746)</f>
        <v>15000</v>
      </c>
      <c r="E1748" s="380"/>
      <c r="F1748" s="378"/>
      <c r="G1748" s="380"/>
      <c r="H1748" s="380"/>
      <c r="I1748" s="383"/>
      <c r="J1748" s="334">
        <f>SUM(J1733:J1746)</f>
        <v>13050</v>
      </c>
      <c r="K1748" s="382"/>
      <c r="L1748" s="380"/>
      <c r="M1748" s="380"/>
      <c r="N1748" s="380"/>
      <c r="O1748" s="380"/>
      <c r="P1748" s="380"/>
      <c r="Q1748" s="380"/>
    </row>
    <row r="1749" spans="1:17" ht="15.75" thickTop="1" x14ac:dyDescent="0.2">
      <c r="A1749" s="380"/>
      <c r="B1749" s="380"/>
      <c r="C1749" s="334" t="s">
        <v>342</v>
      </c>
      <c r="D1749" s="400">
        <f>D1748</f>
        <v>15000</v>
      </c>
      <c r="E1749" s="380"/>
      <c r="F1749" s="378"/>
      <c r="G1749" s="380"/>
      <c r="H1749" s="380"/>
      <c r="I1749" s="383"/>
      <c r="J1749" s="400">
        <f>J1748</f>
        <v>13050</v>
      </c>
      <c r="K1749" s="382"/>
      <c r="L1749" s="380"/>
      <c r="M1749" s="380"/>
      <c r="N1749" s="380"/>
      <c r="O1749" s="380"/>
      <c r="P1749" s="380"/>
      <c r="Q1749" s="380"/>
    </row>
    <row r="1750" spans="1:17" ht="15.75" x14ac:dyDescent="0.25">
      <c r="A1750" s="377"/>
      <c r="B1750" s="377"/>
      <c r="C1750" s="334" t="s">
        <v>342</v>
      </c>
      <c r="D1750" s="334" t="s">
        <v>342</v>
      </c>
      <c r="E1750" s="334" t="s">
        <v>342</v>
      </c>
      <c r="F1750" s="378"/>
      <c r="G1750" s="377"/>
      <c r="H1750" s="377"/>
      <c r="I1750" s="397"/>
      <c r="J1750" s="334" t="s">
        <v>342</v>
      </c>
      <c r="K1750" s="382"/>
      <c r="L1750" s="380"/>
      <c r="M1750" s="380"/>
      <c r="N1750" s="380"/>
      <c r="O1750" s="380"/>
      <c r="P1750" s="380"/>
      <c r="Q1750" s="380"/>
    </row>
    <row r="1751" spans="1:17" x14ac:dyDescent="0.2">
      <c r="A1751" s="380"/>
      <c r="B1751" s="380"/>
      <c r="C1751" s="334" t="s">
        <v>342</v>
      </c>
      <c r="D1751" s="334" t="s">
        <v>342</v>
      </c>
      <c r="E1751" s="380"/>
      <c r="F1751" s="378"/>
      <c r="G1751" s="380"/>
      <c r="H1751" s="380"/>
      <c r="I1751" s="383"/>
      <c r="J1751" s="334" t="s">
        <v>342</v>
      </c>
      <c r="K1751" s="382"/>
      <c r="L1751" s="380"/>
      <c r="M1751" s="380"/>
      <c r="N1751" s="380"/>
      <c r="O1751" s="380"/>
      <c r="P1751" s="380"/>
      <c r="Q1751" s="380"/>
    </row>
    <row r="1752" spans="1:17" x14ac:dyDescent="0.2">
      <c r="A1752" s="334" t="s">
        <v>1797</v>
      </c>
      <c r="B1752" s="380"/>
      <c r="C1752" s="380"/>
      <c r="D1752" s="380"/>
      <c r="E1752" s="380"/>
      <c r="F1752" s="378"/>
      <c r="G1752" s="380"/>
      <c r="H1752" s="380"/>
      <c r="I1752" s="383"/>
      <c r="J1752" s="380"/>
      <c r="K1752" s="382"/>
      <c r="L1752" s="380"/>
      <c r="M1752" s="380"/>
      <c r="N1752" s="380"/>
      <c r="O1752" s="380"/>
      <c r="P1752" s="380"/>
      <c r="Q1752" s="380"/>
    </row>
    <row r="1753" spans="1:17" x14ac:dyDescent="0.2">
      <c r="A1753" s="380"/>
      <c r="B1753" s="380"/>
      <c r="C1753" s="384" t="s">
        <v>2126</v>
      </c>
      <c r="D1753" s="380"/>
      <c r="E1753" s="380"/>
      <c r="F1753" s="378"/>
      <c r="G1753" s="380"/>
      <c r="H1753" s="380"/>
      <c r="I1753" s="383"/>
      <c r="J1753" s="380"/>
      <c r="K1753" s="382"/>
      <c r="L1753" s="380"/>
      <c r="M1753" s="380"/>
      <c r="N1753" s="380"/>
      <c r="O1753" s="380"/>
      <c r="P1753" s="380"/>
      <c r="Q1753" s="380"/>
    </row>
    <row r="1754" spans="1:17" x14ac:dyDescent="0.2">
      <c r="A1754" s="380"/>
      <c r="B1754" s="380"/>
      <c r="C1754" s="334" t="s">
        <v>342</v>
      </c>
      <c r="D1754" s="334" t="s">
        <v>342</v>
      </c>
      <c r="E1754" s="380"/>
      <c r="F1754" s="378"/>
      <c r="G1754" s="380"/>
      <c r="H1754" s="380"/>
      <c r="I1754" s="383"/>
      <c r="J1754" s="334" t="s">
        <v>342</v>
      </c>
      <c r="K1754" s="382"/>
      <c r="L1754" s="380"/>
      <c r="M1754" s="380"/>
      <c r="N1754" s="380"/>
      <c r="O1754" s="380"/>
      <c r="P1754" s="380"/>
      <c r="Q1754" s="380"/>
    </row>
    <row r="1755" spans="1:17" x14ac:dyDescent="0.2">
      <c r="A1755" s="334" t="s">
        <v>1723</v>
      </c>
      <c r="B1755" s="380"/>
      <c r="C1755" s="334" t="s">
        <v>1880</v>
      </c>
      <c r="D1755" s="334" t="s">
        <v>181</v>
      </c>
      <c r="E1755" s="380"/>
      <c r="F1755" s="378"/>
      <c r="G1755" s="380"/>
      <c r="H1755" s="380"/>
      <c r="I1755" s="383"/>
      <c r="J1755" s="334" t="s">
        <v>181</v>
      </c>
      <c r="K1755" s="382"/>
      <c r="L1755" s="380"/>
      <c r="M1755" s="380"/>
      <c r="N1755" s="380"/>
      <c r="O1755" s="380"/>
      <c r="P1755" s="380"/>
      <c r="Q1755" s="380"/>
    </row>
    <row r="1756" spans="1:17" x14ac:dyDescent="0.2">
      <c r="A1756" s="380"/>
      <c r="B1756" s="380"/>
      <c r="C1756" s="334" t="s">
        <v>342</v>
      </c>
      <c r="D1756" s="334" t="s">
        <v>342</v>
      </c>
      <c r="E1756" s="380"/>
      <c r="F1756" s="378"/>
      <c r="G1756" s="380"/>
      <c r="H1756" s="380"/>
      <c r="I1756" s="383"/>
      <c r="J1756" s="334" t="s">
        <v>342</v>
      </c>
      <c r="K1756" s="382"/>
      <c r="L1756" s="380"/>
      <c r="M1756" s="380"/>
      <c r="N1756" s="380"/>
      <c r="O1756" s="380"/>
      <c r="P1756" s="380"/>
      <c r="Q1756" s="380"/>
    </row>
    <row r="1757" spans="1:17" x14ac:dyDescent="0.2">
      <c r="A1757" s="334" t="s">
        <v>1798</v>
      </c>
      <c r="B1757" s="380"/>
      <c r="C1757" s="334" t="s">
        <v>21</v>
      </c>
      <c r="D1757" s="377"/>
      <c r="E1757" s="380"/>
      <c r="F1757" s="378"/>
      <c r="G1757" s="380"/>
      <c r="H1757" s="380"/>
      <c r="I1757" s="399"/>
      <c r="J1757" s="377"/>
      <c r="K1757" s="382"/>
      <c r="L1757" s="380"/>
      <c r="M1757" s="380"/>
      <c r="N1757" s="380"/>
      <c r="O1757" s="380"/>
      <c r="P1757" s="380"/>
      <c r="Q1757" s="380"/>
    </row>
    <row r="1758" spans="1:17" ht="16.5" thickBot="1" x14ac:dyDescent="0.3">
      <c r="A1758" s="380"/>
      <c r="B1758" s="380"/>
      <c r="C1758" s="334" t="s">
        <v>342</v>
      </c>
      <c r="D1758" s="402">
        <f>SUM(D1757:D1757)</f>
        <v>0</v>
      </c>
      <c r="E1758" s="380"/>
      <c r="F1758" s="378"/>
      <c r="G1758" s="380"/>
      <c r="H1758" s="380"/>
      <c r="I1758" s="409"/>
      <c r="J1758" s="402">
        <f>SUM(J1757:J1757)</f>
        <v>0</v>
      </c>
      <c r="K1758" s="382"/>
      <c r="L1758" s="380"/>
      <c r="M1758" s="380"/>
      <c r="N1758" s="380"/>
      <c r="O1758" s="380"/>
      <c r="P1758" s="380"/>
      <c r="Q1758" s="380"/>
    </row>
    <row r="1759" spans="1:17" x14ac:dyDescent="0.2">
      <c r="A1759" s="380"/>
      <c r="B1759" s="380"/>
      <c r="C1759" s="334" t="s">
        <v>342</v>
      </c>
      <c r="D1759" s="380"/>
      <c r="E1759" s="380"/>
      <c r="F1759" s="378"/>
      <c r="G1759" s="380"/>
      <c r="H1759" s="380"/>
      <c r="I1759" s="383"/>
      <c r="J1759" s="380"/>
      <c r="K1759" s="382"/>
      <c r="L1759" s="380"/>
      <c r="M1759" s="380"/>
      <c r="N1759" s="380"/>
      <c r="O1759" s="380"/>
      <c r="P1759" s="380"/>
      <c r="Q1759" s="380"/>
    </row>
    <row r="1760" spans="1:17" x14ac:dyDescent="0.2">
      <c r="A1760" s="380"/>
      <c r="B1760" s="380"/>
      <c r="C1760" s="334"/>
      <c r="D1760" s="380"/>
      <c r="E1760" s="380"/>
      <c r="F1760" s="378"/>
      <c r="G1760" s="380"/>
      <c r="H1760" s="380"/>
      <c r="I1760" s="383"/>
      <c r="J1760" s="380"/>
      <c r="K1760" s="382"/>
      <c r="L1760" s="380"/>
      <c r="M1760" s="380"/>
      <c r="N1760" s="380"/>
      <c r="O1760" s="380"/>
      <c r="P1760" s="380"/>
      <c r="Q1760" s="380"/>
    </row>
    <row r="1761" spans="1:17" x14ac:dyDescent="0.2">
      <c r="A1761" s="334" t="s">
        <v>2977</v>
      </c>
      <c r="B1761" s="380"/>
      <c r="C1761" s="380"/>
      <c r="D1761" s="380"/>
      <c r="E1761" s="380"/>
      <c r="F1761" s="378"/>
      <c r="G1761" s="380"/>
      <c r="H1761" s="380"/>
      <c r="I1761" s="383"/>
      <c r="J1761" s="380"/>
      <c r="K1761" s="382"/>
      <c r="L1761" s="380"/>
      <c r="M1761" s="380"/>
      <c r="N1761" s="380"/>
      <c r="O1761" s="380"/>
      <c r="P1761" s="380"/>
      <c r="Q1761" s="380"/>
    </row>
    <row r="1762" spans="1:17" x14ac:dyDescent="0.2">
      <c r="A1762" s="380"/>
      <c r="B1762" s="380"/>
      <c r="C1762" s="384" t="s">
        <v>2127</v>
      </c>
      <c r="D1762" s="429"/>
      <c r="E1762" s="384"/>
      <c r="F1762" s="378"/>
      <c r="G1762" s="380"/>
      <c r="H1762" s="380"/>
      <c r="I1762" s="383"/>
      <c r="J1762" s="429"/>
      <c r="K1762" s="382"/>
      <c r="L1762" s="380"/>
      <c r="M1762" s="380"/>
      <c r="N1762" s="380"/>
      <c r="O1762" s="380"/>
      <c r="P1762" s="380"/>
      <c r="Q1762" s="380"/>
    </row>
    <row r="1763" spans="1:17" x14ac:dyDescent="0.2">
      <c r="A1763" s="334" t="s">
        <v>342</v>
      </c>
      <c r="B1763" s="380"/>
      <c r="C1763" s="334" t="s">
        <v>342</v>
      </c>
      <c r="D1763" s="380"/>
      <c r="E1763" s="380"/>
      <c r="F1763" s="378"/>
      <c r="G1763" s="380"/>
      <c r="H1763" s="380"/>
      <c r="I1763" s="383"/>
      <c r="J1763" s="380"/>
      <c r="K1763" s="382"/>
      <c r="L1763" s="380"/>
      <c r="M1763" s="380"/>
      <c r="N1763" s="380"/>
      <c r="O1763" s="380"/>
      <c r="P1763" s="380"/>
      <c r="Q1763" s="380"/>
    </row>
    <row r="1764" spans="1:17" x14ac:dyDescent="0.2">
      <c r="A1764" s="334" t="s">
        <v>1723</v>
      </c>
      <c r="B1764" s="380"/>
      <c r="C1764" s="334" t="s">
        <v>1880</v>
      </c>
      <c r="D1764" s="334" t="s">
        <v>181</v>
      </c>
      <c r="E1764" s="380"/>
      <c r="F1764" s="378"/>
      <c r="G1764" s="380"/>
      <c r="H1764" s="380"/>
      <c r="I1764" s="383"/>
      <c r="J1764" s="334" t="s">
        <v>181</v>
      </c>
      <c r="K1764" s="382"/>
      <c r="L1764" s="380"/>
      <c r="M1764" s="380"/>
      <c r="N1764" s="380"/>
      <c r="O1764" s="380"/>
      <c r="P1764" s="380"/>
      <c r="Q1764" s="380"/>
    </row>
    <row r="1765" spans="1:17" x14ac:dyDescent="0.2">
      <c r="A1765" s="380"/>
      <c r="B1765" s="380"/>
      <c r="C1765" s="380"/>
      <c r="D1765" s="380"/>
      <c r="E1765" s="380"/>
      <c r="F1765" s="378"/>
      <c r="G1765" s="380"/>
      <c r="H1765" s="380"/>
      <c r="I1765" s="383"/>
      <c r="J1765" s="380"/>
      <c r="K1765" s="382"/>
      <c r="L1765" s="380"/>
      <c r="M1765" s="380"/>
      <c r="N1765" s="380"/>
      <c r="O1765" s="380"/>
      <c r="P1765" s="380"/>
      <c r="Q1765" s="380"/>
    </row>
    <row r="1766" spans="1:17" x14ac:dyDescent="0.2">
      <c r="A1766" s="334" t="s">
        <v>1568</v>
      </c>
      <c r="B1766" s="380"/>
      <c r="C1766" s="380" t="s">
        <v>1817</v>
      </c>
      <c r="D1766" s="377"/>
      <c r="E1766" s="384"/>
      <c r="F1766" s="378"/>
      <c r="G1766" s="380"/>
      <c r="H1766" s="380"/>
      <c r="I1766" s="399"/>
      <c r="J1766" s="377"/>
      <c r="K1766" s="382"/>
      <c r="L1766" s="380"/>
      <c r="M1766" s="380"/>
      <c r="N1766" s="380"/>
      <c r="O1766" s="380"/>
      <c r="P1766" s="380"/>
      <c r="Q1766" s="380"/>
    </row>
    <row r="1767" spans="1:17" x14ac:dyDescent="0.2">
      <c r="A1767" s="334" t="s">
        <v>1724</v>
      </c>
      <c r="B1767" s="380"/>
      <c r="C1767" s="334" t="s">
        <v>1881</v>
      </c>
      <c r="D1767" s="377">
        <v>600</v>
      </c>
      <c r="E1767" s="384"/>
      <c r="F1767" s="378"/>
      <c r="G1767" s="380"/>
      <c r="H1767" s="380"/>
      <c r="I1767" s="399"/>
      <c r="J1767" s="377">
        <v>600</v>
      </c>
      <c r="K1767" s="382"/>
      <c r="L1767" s="380"/>
      <c r="M1767" s="380"/>
      <c r="N1767" s="380"/>
      <c r="O1767" s="380"/>
      <c r="P1767" s="380"/>
      <c r="Q1767" s="380"/>
    </row>
    <row r="1768" spans="1:17" x14ac:dyDescent="0.2">
      <c r="A1768" s="334" t="s">
        <v>1736</v>
      </c>
      <c r="B1768" s="380"/>
      <c r="C1768" s="334" t="s">
        <v>1747</v>
      </c>
      <c r="D1768" s="377"/>
      <c r="E1768" s="384"/>
      <c r="F1768" s="378"/>
      <c r="G1768" s="380"/>
      <c r="H1768" s="380"/>
      <c r="I1768" s="399"/>
      <c r="J1768" s="377"/>
      <c r="K1768" s="382"/>
      <c r="L1768" s="380"/>
      <c r="M1768" s="380"/>
      <c r="N1768" s="380"/>
      <c r="O1768" s="380"/>
      <c r="P1768" s="380"/>
      <c r="Q1768" s="380"/>
    </row>
    <row r="1769" spans="1:17" x14ac:dyDescent="0.2">
      <c r="A1769" s="384" t="s">
        <v>1744</v>
      </c>
      <c r="B1769" s="380"/>
      <c r="C1769" s="334" t="s">
        <v>1254</v>
      </c>
      <c r="D1769" s="377">
        <v>700</v>
      </c>
      <c r="E1769" s="384"/>
      <c r="F1769" s="378"/>
      <c r="G1769" s="380"/>
      <c r="H1769" s="380"/>
      <c r="I1769" s="399"/>
      <c r="J1769" s="377">
        <v>700</v>
      </c>
      <c r="K1769" s="382"/>
      <c r="L1769" s="380"/>
      <c r="M1769" s="380"/>
      <c r="N1769" s="380"/>
      <c r="O1769" s="380"/>
      <c r="P1769" s="380"/>
      <c r="Q1769" s="380"/>
    </row>
    <row r="1770" spans="1:17" x14ac:dyDescent="0.2">
      <c r="A1770" s="384" t="s">
        <v>1582</v>
      </c>
      <c r="B1770" s="380"/>
      <c r="C1770" s="334" t="s">
        <v>3135</v>
      </c>
      <c r="D1770" s="377"/>
      <c r="E1770" s="384"/>
      <c r="F1770" s="378"/>
      <c r="G1770" s="380"/>
      <c r="H1770" s="380"/>
      <c r="I1770" s="399"/>
      <c r="J1770" s="377"/>
      <c r="K1770" s="382"/>
      <c r="L1770" s="380"/>
      <c r="M1770" s="380"/>
      <c r="N1770" s="380"/>
      <c r="O1770" s="380"/>
      <c r="P1770" s="380"/>
      <c r="Q1770" s="380"/>
    </row>
    <row r="1771" spans="1:17" x14ac:dyDescent="0.2">
      <c r="A1771" s="384" t="s">
        <v>1745</v>
      </c>
      <c r="B1771" s="380"/>
      <c r="C1771" s="334" t="s">
        <v>1887</v>
      </c>
      <c r="D1771" s="377">
        <v>200</v>
      </c>
      <c r="E1771" s="384"/>
      <c r="F1771" s="378"/>
      <c r="G1771" s="380"/>
      <c r="H1771" s="380"/>
      <c r="I1771" s="399"/>
      <c r="J1771" s="377"/>
      <c r="K1771" s="382"/>
      <c r="L1771" s="380"/>
      <c r="M1771" s="380"/>
      <c r="N1771" s="380"/>
      <c r="O1771" s="380"/>
      <c r="P1771" s="380"/>
      <c r="Q1771" s="380"/>
    </row>
    <row r="1772" spans="1:17" x14ac:dyDescent="0.2">
      <c r="A1772" s="334" t="s">
        <v>1565</v>
      </c>
      <c r="B1772" s="380"/>
      <c r="C1772" s="334" t="s">
        <v>1927</v>
      </c>
      <c r="D1772" s="377"/>
      <c r="E1772" s="384"/>
      <c r="F1772" s="378"/>
      <c r="G1772" s="380"/>
      <c r="H1772" s="380"/>
      <c r="I1772" s="399"/>
      <c r="J1772" s="377">
        <v>50</v>
      </c>
      <c r="K1772" s="382"/>
      <c r="L1772" s="380"/>
      <c r="M1772" s="380"/>
      <c r="N1772" s="380"/>
      <c r="O1772" s="380"/>
      <c r="P1772" s="380"/>
      <c r="Q1772" s="380"/>
    </row>
    <row r="1773" spans="1:17" x14ac:dyDescent="0.2">
      <c r="A1773" s="334" t="s">
        <v>1737</v>
      </c>
      <c r="B1773" s="380"/>
      <c r="C1773" s="334" t="s">
        <v>1984</v>
      </c>
      <c r="D1773" s="377">
        <v>200</v>
      </c>
      <c r="E1773" s="384"/>
      <c r="F1773" s="378"/>
      <c r="G1773" s="380"/>
      <c r="H1773" s="380"/>
      <c r="I1773" s="399"/>
      <c r="J1773" s="377">
        <v>50</v>
      </c>
      <c r="K1773" s="382"/>
      <c r="L1773" s="380"/>
      <c r="M1773" s="380"/>
      <c r="N1773" s="380"/>
      <c r="O1773" s="380"/>
      <c r="P1773" s="380"/>
      <c r="Q1773" s="380"/>
    </row>
    <row r="1774" spans="1:17" x14ac:dyDescent="0.2">
      <c r="A1774" s="334" t="s">
        <v>1726</v>
      </c>
      <c r="B1774" s="380"/>
      <c r="C1774" s="334" t="s">
        <v>1117</v>
      </c>
      <c r="D1774" s="377"/>
      <c r="E1774" s="384"/>
      <c r="F1774" s="378"/>
      <c r="G1774" s="380"/>
      <c r="H1774" s="380"/>
      <c r="I1774" s="399"/>
      <c r="J1774" s="377"/>
      <c r="K1774" s="382"/>
      <c r="L1774" s="380"/>
      <c r="M1774" s="380"/>
      <c r="N1774" s="380"/>
      <c r="O1774" s="380"/>
      <c r="P1774" s="380"/>
      <c r="Q1774" s="380"/>
    </row>
    <row r="1775" spans="1:17" x14ac:dyDescent="0.2">
      <c r="A1775" s="384" t="s">
        <v>1828</v>
      </c>
      <c r="B1775" s="380"/>
      <c r="C1775" s="334" t="s">
        <v>2712</v>
      </c>
      <c r="D1775" s="377"/>
      <c r="E1775" s="384"/>
      <c r="F1775" s="378"/>
      <c r="G1775" s="380"/>
      <c r="H1775" s="380"/>
      <c r="I1775" s="399"/>
      <c r="J1775" s="377"/>
      <c r="K1775" s="382"/>
      <c r="L1775" s="380"/>
      <c r="M1775" s="380"/>
      <c r="N1775" s="380"/>
      <c r="O1775" s="380"/>
      <c r="P1775" s="380"/>
      <c r="Q1775" s="380"/>
    </row>
    <row r="1776" spans="1:17" x14ac:dyDescent="0.2">
      <c r="A1776" s="384" t="s">
        <v>1751</v>
      </c>
      <c r="B1776" s="380"/>
      <c r="C1776" s="334" t="s">
        <v>3138</v>
      </c>
      <c r="D1776" s="377"/>
      <c r="E1776" s="384"/>
      <c r="F1776" s="378"/>
      <c r="G1776" s="380"/>
      <c r="H1776" s="380"/>
      <c r="I1776" s="399"/>
      <c r="J1776" s="377"/>
      <c r="K1776" s="382"/>
      <c r="L1776" s="380"/>
      <c r="M1776" s="380"/>
      <c r="N1776" s="380"/>
      <c r="O1776" s="380"/>
      <c r="P1776" s="380"/>
      <c r="Q1776" s="380"/>
    </row>
    <row r="1777" spans="1:17" x14ac:dyDescent="0.2">
      <c r="A1777" s="334" t="s">
        <v>1734</v>
      </c>
      <c r="B1777" s="380"/>
      <c r="C1777" s="334" t="s">
        <v>1746</v>
      </c>
      <c r="D1777" s="377"/>
      <c r="E1777" s="384"/>
      <c r="F1777" s="378"/>
      <c r="G1777" s="380"/>
      <c r="H1777" s="380"/>
      <c r="I1777" s="399"/>
      <c r="J1777" s="377"/>
      <c r="K1777" s="382"/>
      <c r="L1777" s="380"/>
      <c r="M1777" s="380"/>
      <c r="N1777" s="380"/>
      <c r="O1777" s="380"/>
      <c r="P1777" s="380"/>
      <c r="Q1777" s="380"/>
    </row>
    <row r="1778" spans="1:17" x14ac:dyDescent="0.2">
      <c r="A1778" s="384" t="s">
        <v>1578</v>
      </c>
      <c r="B1778" s="380"/>
      <c r="C1778" s="334" t="s">
        <v>22</v>
      </c>
      <c r="D1778" s="377"/>
      <c r="E1778" s="384"/>
      <c r="F1778" s="378"/>
      <c r="G1778" s="380"/>
      <c r="H1778" s="380"/>
      <c r="I1778" s="399"/>
      <c r="J1778" s="377"/>
      <c r="K1778" s="382"/>
      <c r="L1778" s="380"/>
      <c r="M1778" s="380"/>
      <c r="N1778" s="380"/>
      <c r="O1778" s="380"/>
      <c r="P1778" s="380"/>
      <c r="Q1778" s="380"/>
    </row>
    <row r="1779" spans="1:17" x14ac:dyDescent="0.2">
      <c r="A1779" s="334" t="s">
        <v>1738</v>
      </c>
      <c r="B1779" s="380"/>
      <c r="C1779" s="334" t="s">
        <v>1591</v>
      </c>
      <c r="D1779" s="377">
        <v>150</v>
      </c>
      <c r="E1779" s="384"/>
      <c r="F1779" s="378"/>
      <c r="G1779" s="380"/>
      <c r="H1779" s="380"/>
      <c r="I1779" s="399"/>
      <c r="J1779" s="377">
        <v>150</v>
      </c>
      <c r="K1779" s="382"/>
      <c r="L1779" s="380"/>
      <c r="M1779" s="380"/>
      <c r="N1779" s="380"/>
      <c r="O1779" s="380"/>
      <c r="P1779" s="380"/>
      <c r="Q1779" s="380"/>
    </row>
    <row r="1780" spans="1:17" x14ac:dyDescent="0.2">
      <c r="A1780" s="334" t="s">
        <v>1727</v>
      </c>
      <c r="B1780" s="380"/>
      <c r="C1780" s="334" t="s">
        <v>307</v>
      </c>
      <c r="D1780" s="377">
        <v>1500</v>
      </c>
      <c r="E1780" s="384"/>
      <c r="F1780" s="378"/>
      <c r="G1780" s="380"/>
      <c r="H1780" s="380"/>
      <c r="I1780" s="399"/>
      <c r="J1780" s="377">
        <v>1500</v>
      </c>
      <c r="K1780" s="382"/>
      <c r="L1780" s="380"/>
      <c r="M1780" s="380"/>
      <c r="N1780" s="380"/>
      <c r="O1780" s="380"/>
      <c r="P1780" s="380"/>
      <c r="Q1780" s="380"/>
    </row>
    <row r="1781" spans="1:17" x14ac:dyDescent="0.2">
      <c r="A1781" s="334" t="s">
        <v>1728</v>
      </c>
      <c r="B1781" s="380"/>
      <c r="C1781" s="334" t="s">
        <v>310</v>
      </c>
      <c r="D1781" s="377"/>
      <c r="E1781" s="384"/>
      <c r="F1781" s="378"/>
      <c r="G1781" s="380"/>
      <c r="H1781" s="380"/>
      <c r="I1781" s="399"/>
      <c r="J1781" s="377">
        <v>75</v>
      </c>
      <c r="K1781" s="382"/>
      <c r="L1781" s="380"/>
      <c r="M1781" s="380"/>
      <c r="N1781" s="380"/>
      <c r="O1781" s="380"/>
      <c r="P1781" s="380"/>
      <c r="Q1781" s="380"/>
    </row>
    <row r="1782" spans="1:17" x14ac:dyDescent="0.2">
      <c r="A1782" s="334" t="s">
        <v>1729</v>
      </c>
      <c r="B1782" s="380"/>
      <c r="C1782" s="380" t="s">
        <v>1551</v>
      </c>
      <c r="D1782" s="377">
        <v>-1370</v>
      </c>
      <c r="E1782" s="384"/>
      <c r="F1782" s="378"/>
      <c r="G1782" s="380"/>
      <c r="H1782" s="380"/>
      <c r="I1782" s="399"/>
      <c r="J1782" s="377">
        <v>200</v>
      </c>
      <c r="K1782" s="382"/>
      <c r="L1782" s="380"/>
      <c r="M1782" s="380"/>
      <c r="N1782" s="380"/>
      <c r="O1782" s="380"/>
      <c r="P1782" s="380"/>
      <c r="Q1782" s="380"/>
    </row>
    <row r="1783" spans="1:17" x14ac:dyDescent="0.2">
      <c r="A1783" s="334" t="s">
        <v>1735</v>
      </c>
      <c r="B1783" s="380"/>
      <c r="C1783" s="380" t="s">
        <v>194</v>
      </c>
      <c r="D1783" s="377"/>
      <c r="E1783" s="384"/>
      <c r="F1783" s="378"/>
      <c r="G1783" s="380"/>
      <c r="H1783" s="380"/>
      <c r="I1783" s="399"/>
      <c r="J1783" s="377">
        <v>50</v>
      </c>
      <c r="K1783" s="382"/>
      <c r="L1783" s="380"/>
      <c r="M1783" s="380"/>
      <c r="N1783" s="380"/>
      <c r="O1783" s="380"/>
      <c r="P1783" s="380"/>
      <c r="Q1783" s="380"/>
    </row>
    <row r="1784" spans="1:17" x14ac:dyDescent="0.2">
      <c r="A1784" s="334" t="s">
        <v>1741</v>
      </c>
      <c r="B1784" s="380"/>
      <c r="C1784" s="334" t="s">
        <v>1748</v>
      </c>
      <c r="D1784" s="377">
        <v>1500</v>
      </c>
      <c r="E1784" s="384"/>
      <c r="F1784" s="378"/>
      <c r="G1784" s="380"/>
      <c r="H1784" s="380"/>
      <c r="I1784" s="399"/>
      <c r="J1784" s="377">
        <v>1700</v>
      </c>
      <c r="K1784" s="382"/>
      <c r="L1784" s="380"/>
      <c r="M1784" s="380"/>
      <c r="N1784" s="380"/>
      <c r="O1784" s="380"/>
      <c r="P1784" s="380"/>
      <c r="Q1784" s="380"/>
    </row>
    <row r="1785" spans="1:17" x14ac:dyDescent="0.2">
      <c r="A1785" s="334" t="s">
        <v>1742</v>
      </c>
      <c r="B1785" s="380"/>
      <c r="C1785" s="334" t="s">
        <v>1553</v>
      </c>
      <c r="D1785" s="377"/>
      <c r="E1785" s="384"/>
      <c r="F1785" s="378"/>
      <c r="G1785" s="380"/>
      <c r="H1785" s="380"/>
      <c r="I1785" s="399"/>
      <c r="J1785" s="377"/>
      <c r="K1785" s="382"/>
      <c r="L1785" s="380"/>
      <c r="M1785" s="380"/>
      <c r="N1785" s="380"/>
      <c r="O1785" s="380"/>
      <c r="P1785" s="380"/>
      <c r="Q1785" s="380"/>
    </row>
    <row r="1786" spans="1:17" x14ac:dyDescent="0.2">
      <c r="A1786" s="334" t="s">
        <v>1580</v>
      </c>
      <c r="B1786" s="380"/>
      <c r="C1786" s="334" t="s">
        <v>1936</v>
      </c>
      <c r="D1786" s="377"/>
      <c r="E1786" s="384"/>
      <c r="F1786" s="378"/>
      <c r="G1786" s="380"/>
      <c r="H1786" s="380"/>
      <c r="I1786" s="399"/>
      <c r="J1786" s="377"/>
      <c r="K1786" s="382"/>
      <c r="L1786" s="380"/>
      <c r="M1786" s="380"/>
      <c r="N1786" s="380"/>
      <c r="O1786" s="380"/>
      <c r="P1786" s="380"/>
      <c r="Q1786" s="380"/>
    </row>
    <row r="1787" spans="1:17" x14ac:dyDescent="0.2">
      <c r="A1787" s="334" t="s">
        <v>1730</v>
      </c>
      <c r="B1787" s="380"/>
      <c r="C1787" s="334" t="s">
        <v>1985</v>
      </c>
      <c r="D1787" s="377">
        <v>2000</v>
      </c>
      <c r="E1787" s="384"/>
      <c r="F1787" s="378"/>
      <c r="G1787" s="380"/>
      <c r="H1787" s="380"/>
      <c r="I1787" s="399"/>
      <c r="J1787" s="377">
        <v>2000</v>
      </c>
      <c r="K1787" s="382"/>
      <c r="L1787" s="380"/>
      <c r="M1787" s="380"/>
      <c r="N1787" s="380"/>
      <c r="O1787" s="380"/>
      <c r="P1787" s="380"/>
      <c r="Q1787" s="380"/>
    </row>
    <row r="1788" spans="1:17" x14ac:dyDescent="0.2">
      <c r="A1788" s="389" t="s">
        <v>1566</v>
      </c>
      <c r="B1788" s="380"/>
      <c r="C1788" s="334" t="s">
        <v>366</v>
      </c>
      <c r="D1788" s="377"/>
      <c r="E1788" s="384"/>
      <c r="F1788" s="378"/>
      <c r="G1788" s="380"/>
      <c r="H1788" s="380"/>
      <c r="I1788" s="399"/>
      <c r="J1788" s="377">
        <v>0</v>
      </c>
      <c r="K1788" s="382"/>
      <c r="L1788" s="380"/>
      <c r="M1788" s="380"/>
      <c r="N1788" s="380"/>
      <c r="O1788" s="380"/>
      <c r="P1788" s="380"/>
      <c r="Q1788" s="380"/>
    </row>
    <row r="1789" spans="1:17" x14ac:dyDescent="0.2">
      <c r="A1789" s="384" t="s">
        <v>1962</v>
      </c>
      <c r="B1789" s="380"/>
      <c r="C1789" s="380" t="s">
        <v>572</v>
      </c>
      <c r="D1789" s="377"/>
      <c r="E1789" s="384"/>
      <c r="F1789" s="378"/>
      <c r="G1789" s="380"/>
      <c r="H1789" s="380"/>
      <c r="I1789" s="399"/>
      <c r="J1789" s="377"/>
      <c r="K1789" s="382"/>
      <c r="L1789" s="380"/>
      <c r="M1789" s="380"/>
      <c r="N1789" s="380"/>
      <c r="O1789" s="380"/>
      <c r="P1789" s="380"/>
      <c r="Q1789" s="380"/>
    </row>
    <row r="1790" spans="1:17" x14ac:dyDescent="0.2">
      <c r="A1790" s="380"/>
      <c r="B1790" s="380"/>
      <c r="C1790" s="334" t="s">
        <v>342</v>
      </c>
      <c r="D1790" s="432" t="s">
        <v>342</v>
      </c>
      <c r="E1790" s="380"/>
      <c r="F1790" s="378"/>
      <c r="G1790" s="380"/>
      <c r="H1790" s="380"/>
      <c r="I1790" s="383"/>
      <c r="J1790" s="432" t="s">
        <v>342</v>
      </c>
      <c r="K1790" s="382"/>
      <c r="L1790" s="380"/>
      <c r="M1790" s="380"/>
      <c r="N1790" s="380"/>
      <c r="O1790" s="380"/>
      <c r="P1790" s="380"/>
      <c r="Q1790" s="380"/>
    </row>
    <row r="1791" spans="1:17" ht="15.75" thickBot="1" x14ac:dyDescent="0.25">
      <c r="A1791" s="377"/>
      <c r="B1791" s="377"/>
      <c r="C1791" s="334" t="s">
        <v>342</v>
      </c>
      <c r="D1791" s="411">
        <f>SUM(D1766:D1790)</f>
        <v>5480</v>
      </c>
      <c r="E1791" s="377"/>
      <c r="F1791" s="378"/>
      <c r="G1791" s="377"/>
      <c r="H1791" s="377"/>
      <c r="I1791" s="387"/>
      <c r="J1791" s="411">
        <f>SUM(J1766:J1790)</f>
        <v>7075</v>
      </c>
      <c r="K1791" s="382"/>
      <c r="L1791" s="380"/>
      <c r="M1791" s="380"/>
      <c r="N1791" s="380"/>
      <c r="O1791" s="380"/>
      <c r="P1791" s="380"/>
      <c r="Q1791" s="380"/>
    </row>
    <row r="1792" spans="1:17" x14ac:dyDescent="0.2">
      <c r="A1792" s="380"/>
      <c r="B1792" s="380"/>
      <c r="C1792" s="334" t="s">
        <v>342</v>
      </c>
      <c r="D1792" s="334" t="s">
        <v>342</v>
      </c>
      <c r="E1792" s="380"/>
      <c r="F1792" s="378"/>
      <c r="G1792" s="380"/>
      <c r="H1792" s="380"/>
      <c r="I1792" s="383"/>
      <c r="J1792" s="334" t="s">
        <v>342</v>
      </c>
      <c r="K1792" s="382"/>
      <c r="L1792" s="380"/>
      <c r="M1792" s="380"/>
      <c r="N1792" s="380"/>
      <c r="O1792" s="380"/>
      <c r="P1792" s="380"/>
      <c r="Q1792" s="380"/>
    </row>
    <row r="1793" spans="1:17" ht="15.75" x14ac:dyDescent="0.25">
      <c r="A1793" s="334" t="s">
        <v>2973</v>
      </c>
      <c r="B1793" s="380"/>
      <c r="C1793" s="380"/>
      <c r="D1793" s="380"/>
      <c r="E1793" s="380"/>
      <c r="F1793" s="378"/>
      <c r="G1793" s="380"/>
      <c r="H1793" s="380"/>
      <c r="I1793" s="409"/>
      <c r="J1793" s="380"/>
      <c r="K1793" s="382"/>
      <c r="L1793" s="380"/>
      <c r="M1793" s="380"/>
      <c r="N1793" s="380"/>
      <c r="O1793" s="380"/>
      <c r="P1793" s="380"/>
      <c r="Q1793" s="380"/>
    </row>
    <row r="1794" spans="1:17" x14ac:dyDescent="0.2">
      <c r="A1794" s="380"/>
      <c r="B1794" s="380"/>
      <c r="C1794" s="384" t="s">
        <v>2128</v>
      </c>
      <c r="D1794" s="429"/>
      <c r="E1794" s="384"/>
      <c r="F1794" s="378"/>
      <c r="G1794" s="429"/>
      <c r="H1794" s="429"/>
      <c r="I1794" s="383"/>
      <c r="J1794" s="429"/>
      <c r="K1794" s="382"/>
      <c r="L1794" s="380"/>
      <c r="M1794" s="380"/>
      <c r="N1794" s="380"/>
      <c r="O1794" s="380"/>
      <c r="P1794" s="380"/>
      <c r="Q1794" s="380"/>
    </row>
    <row r="1795" spans="1:17" x14ac:dyDescent="0.2">
      <c r="A1795" s="334" t="s">
        <v>342</v>
      </c>
      <c r="B1795" s="380"/>
      <c r="C1795" s="334" t="s">
        <v>342</v>
      </c>
      <c r="D1795" s="380"/>
      <c r="E1795" s="382"/>
      <c r="F1795" s="416"/>
      <c r="G1795" s="382"/>
      <c r="H1795" s="382"/>
      <c r="I1795" s="383"/>
      <c r="J1795" s="380"/>
      <c r="K1795" s="382"/>
      <c r="L1795" s="380"/>
      <c r="M1795" s="380"/>
      <c r="N1795" s="380"/>
      <c r="O1795" s="380"/>
      <c r="P1795" s="380"/>
      <c r="Q1795" s="380"/>
    </row>
    <row r="1796" spans="1:17" x14ac:dyDescent="0.2">
      <c r="A1796" s="334" t="s">
        <v>1723</v>
      </c>
      <c r="B1796" s="380"/>
      <c r="C1796" s="334" t="s">
        <v>1880</v>
      </c>
      <c r="D1796" s="334" t="s">
        <v>181</v>
      </c>
      <c r="E1796" s="385"/>
      <c r="F1796" s="415"/>
      <c r="G1796" s="385"/>
      <c r="H1796" s="385"/>
      <c r="I1796" s="383"/>
      <c r="J1796" s="334" t="s">
        <v>181</v>
      </c>
      <c r="K1796" s="382"/>
      <c r="L1796" s="380"/>
      <c r="M1796" s="380"/>
      <c r="N1796" s="380"/>
      <c r="O1796" s="380"/>
      <c r="P1796" s="380"/>
      <c r="Q1796" s="380"/>
    </row>
    <row r="1797" spans="1:17" x14ac:dyDescent="0.2">
      <c r="A1797" s="380"/>
      <c r="B1797" s="380"/>
      <c r="C1797" s="380"/>
      <c r="D1797" s="380"/>
      <c r="E1797" s="382"/>
      <c r="F1797" s="416"/>
      <c r="G1797" s="382"/>
      <c r="H1797" s="382"/>
      <c r="I1797" s="383"/>
      <c r="J1797" s="380"/>
      <c r="K1797" s="382"/>
      <c r="L1797" s="380"/>
      <c r="M1797" s="380"/>
      <c r="N1797" s="380"/>
      <c r="O1797" s="380"/>
      <c r="P1797" s="380"/>
      <c r="Q1797" s="380"/>
    </row>
    <row r="1798" spans="1:17" x14ac:dyDescent="0.2">
      <c r="A1798" s="334" t="s">
        <v>1568</v>
      </c>
      <c r="B1798" s="380"/>
      <c r="C1798" s="380" t="s">
        <v>1817</v>
      </c>
      <c r="D1798" s="377"/>
      <c r="E1798" s="384"/>
      <c r="F1798" s="416"/>
      <c r="G1798" s="399"/>
      <c r="H1798" s="399"/>
      <c r="I1798" s="399"/>
      <c r="J1798" s="377"/>
      <c r="K1798" s="382"/>
      <c r="L1798" s="380"/>
      <c r="M1798" s="380"/>
      <c r="N1798" s="380"/>
      <c r="O1798" s="380"/>
      <c r="P1798" s="380"/>
      <c r="Q1798" s="380"/>
    </row>
    <row r="1799" spans="1:17" x14ac:dyDescent="0.2">
      <c r="A1799" s="384" t="s">
        <v>1569</v>
      </c>
      <c r="B1799" s="380"/>
      <c r="C1799" s="334" t="s">
        <v>1888</v>
      </c>
      <c r="D1799" s="377"/>
      <c r="E1799" s="384"/>
      <c r="F1799" s="416"/>
      <c r="G1799" s="399"/>
      <c r="H1799" s="399"/>
      <c r="I1799" s="399"/>
      <c r="J1799" s="377"/>
      <c r="K1799" s="382"/>
      <c r="L1799" s="380"/>
      <c r="M1799" s="380"/>
      <c r="N1799" s="380"/>
      <c r="O1799" s="380"/>
      <c r="P1799" s="380"/>
      <c r="Q1799" s="380"/>
    </row>
    <row r="1800" spans="1:17" x14ac:dyDescent="0.2">
      <c r="A1800" s="334" t="s">
        <v>1724</v>
      </c>
      <c r="B1800" s="380"/>
      <c r="C1800" s="334" t="s">
        <v>1881</v>
      </c>
      <c r="D1800" s="427">
        <v>3000</v>
      </c>
      <c r="E1800" s="334"/>
      <c r="F1800" s="416"/>
      <c r="G1800" s="399"/>
      <c r="H1800" s="399"/>
      <c r="I1800" s="399"/>
      <c r="J1800" s="377">
        <v>2000</v>
      </c>
      <c r="K1800" s="433">
        <v>2000</v>
      </c>
      <c r="L1800" s="434" t="s">
        <v>2942</v>
      </c>
      <c r="M1800" s="380"/>
      <c r="N1800" s="380"/>
      <c r="O1800" s="380"/>
      <c r="P1800" s="380"/>
      <c r="Q1800" s="380"/>
    </row>
    <row r="1801" spans="1:17" x14ac:dyDescent="0.2">
      <c r="A1801" s="334" t="s">
        <v>1736</v>
      </c>
      <c r="B1801" s="380"/>
      <c r="C1801" s="334" t="s">
        <v>1747</v>
      </c>
      <c r="D1801" s="427">
        <v>1500</v>
      </c>
      <c r="E1801" s="384"/>
      <c r="F1801" s="416"/>
      <c r="G1801" s="399"/>
      <c r="H1801" s="399"/>
      <c r="I1801" s="399"/>
      <c r="J1801" s="377">
        <v>1000</v>
      </c>
      <c r="K1801" s="433">
        <v>1000</v>
      </c>
      <c r="L1801" s="384"/>
      <c r="M1801" s="380"/>
      <c r="N1801" s="380"/>
      <c r="O1801" s="380"/>
      <c r="P1801" s="380"/>
      <c r="Q1801" s="380"/>
    </row>
    <row r="1802" spans="1:17" x14ac:dyDescent="0.2">
      <c r="A1802" s="384" t="s">
        <v>1744</v>
      </c>
      <c r="B1802" s="380"/>
      <c r="C1802" s="334" t="s">
        <v>1254</v>
      </c>
      <c r="D1802" s="427">
        <v>3000</v>
      </c>
      <c r="E1802" s="384"/>
      <c r="F1802" s="416"/>
      <c r="G1802" s="399"/>
      <c r="H1802" s="399"/>
      <c r="I1802" s="399"/>
      <c r="J1802" s="377">
        <v>800</v>
      </c>
      <c r="K1802" s="433"/>
      <c r="L1802" s="384"/>
      <c r="M1802" s="380"/>
      <c r="N1802" s="380"/>
      <c r="O1802" s="380"/>
      <c r="P1802" s="380"/>
      <c r="Q1802" s="380"/>
    </row>
    <row r="1803" spans="1:17" x14ac:dyDescent="0.2">
      <c r="A1803" s="384" t="s">
        <v>1582</v>
      </c>
      <c r="B1803" s="380"/>
      <c r="C1803" s="334" t="s">
        <v>3135</v>
      </c>
      <c r="D1803" s="427"/>
      <c r="E1803" s="384"/>
      <c r="F1803" s="416"/>
      <c r="G1803" s="399"/>
      <c r="H1803" s="399"/>
      <c r="I1803" s="399"/>
      <c r="J1803" s="377"/>
      <c r="K1803" s="433">
        <v>800</v>
      </c>
      <c r="L1803" s="384"/>
      <c r="M1803" s="380"/>
      <c r="N1803" s="380"/>
      <c r="O1803" s="380"/>
      <c r="P1803" s="380"/>
      <c r="Q1803" s="380"/>
    </row>
    <row r="1804" spans="1:17" x14ac:dyDescent="0.2">
      <c r="A1804" s="384" t="s">
        <v>1575</v>
      </c>
      <c r="B1804" s="380"/>
      <c r="C1804" s="334" t="s">
        <v>1889</v>
      </c>
      <c r="D1804" s="427"/>
      <c r="E1804" s="384"/>
      <c r="F1804" s="416"/>
      <c r="G1804" s="399"/>
      <c r="H1804" s="399"/>
      <c r="I1804" s="399"/>
      <c r="J1804" s="377"/>
      <c r="K1804" s="433"/>
      <c r="L1804" s="384"/>
      <c r="M1804" s="380"/>
      <c r="N1804" s="380"/>
      <c r="O1804" s="380"/>
      <c r="P1804" s="380"/>
      <c r="Q1804" s="380"/>
    </row>
    <row r="1805" spans="1:17" x14ac:dyDescent="0.2">
      <c r="A1805" s="334" t="s">
        <v>1725</v>
      </c>
      <c r="B1805" s="380"/>
      <c r="C1805" s="334" t="s">
        <v>1890</v>
      </c>
      <c r="D1805" s="427"/>
      <c r="E1805" s="384"/>
      <c r="F1805" s="416"/>
      <c r="G1805" s="399"/>
      <c r="H1805" s="399"/>
      <c r="I1805" s="399"/>
      <c r="J1805" s="377"/>
      <c r="K1805" s="433"/>
      <c r="L1805" s="384"/>
      <c r="M1805" s="380"/>
      <c r="N1805" s="380"/>
      <c r="O1805" s="380"/>
      <c r="P1805" s="380"/>
      <c r="Q1805" s="380"/>
    </row>
    <row r="1806" spans="1:17" x14ac:dyDescent="0.2">
      <c r="A1806" s="384" t="s">
        <v>1906</v>
      </c>
      <c r="B1806" s="380"/>
      <c r="C1806" s="334" t="s">
        <v>39</v>
      </c>
      <c r="D1806" s="427"/>
      <c r="E1806" s="384"/>
      <c r="F1806" s="416"/>
      <c r="G1806" s="399"/>
      <c r="H1806" s="399"/>
      <c r="I1806" s="399"/>
      <c r="J1806" s="377"/>
      <c r="K1806" s="433"/>
      <c r="L1806" s="384"/>
      <c r="M1806" s="380"/>
      <c r="N1806" s="380"/>
      <c r="O1806" s="380"/>
      <c r="P1806" s="380"/>
      <c r="Q1806" s="380"/>
    </row>
    <row r="1807" spans="1:17" x14ac:dyDescent="0.2">
      <c r="A1807" s="403" t="s">
        <v>1587</v>
      </c>
      <c r="B1807" s="380"/>
      <c r="C1807" s="334" t="s">
        <v>34</v>
      </c>
      <c r="D1807" s="427"/>
      <c r="E1807" s="384"/>
      <c r="F1807" s="416"/>
      <c r="G1807" s="399"/>
      <c r="H1807" s="399"/>
      <c r="I1807" s="399"/>
      <c r="J1807" s="377">
        <v>100</v>
      </c>
      <c r="K1807" s="433">
        <v>100</v>
      </c>
      <c r="L1807" s="384"/>
      <c r="M1807" s="380"/>
      <c r="N1807" s="380"/>
      <c r="O1807" s="380"/>
      <c r="P1807" s="380"/>
      <c r="Q1807" s="380"/>
    </row>
    <row r="1808" spans="1:17" x14ac:dyDescent="0.2">
      <c r="A1808" s="403" t="s">
        <v>1576</v>
      </c>
      <c r="B1808" s="380"/>
      <c r="C1808" s="334" t="s">
        <v>1590</v>
      </c>
      <c r="D1808" s="427">
        <v>1000</v>
      </c>
      <c r="E1808" s="384"/>
      <c r="F1808" s="416"/>
      <c r="G1808" s="399"/>
      <c r="H1808" s="399"/>
      <c r="I1808" s="399"/>
      <c r="J1808" s="377">
        <v>1000</v>
      </c>
      <c r="K1808" s="433">
        <v>1000</v>
      </c>
      <c r="L1808" s="384"/>
      <c r="M1808" s="380"/>
      <c r="N1808" s="380"/>
      <c r="O1808" s="380"/>
      <c r="P1808" s="380"/>
      <c r="Q1808" s="380"/>
    </row>
    <row r="1809" spans="1:17" x14ac:dyDescent="0.2">
      <c r="A1809" s="334" t="s">
        <v>1565</v>
      </c>
      <c r="B1809" s="380"/>
      <c r="C1809" s="334" t="s">
        <v>1927</v>
      </c>
      <c r="D1809" s="427">
        <v>500</v>
      </c>
      <c r="E1809" s="384"/>
      <c r="F1809" s="416"/>
      <c r="G1809" s="399"/>
      <c r="H1809" s="399"/>
      <c r="I1809" s="399"/>
      <c r="J1809" s="377">
        <v>450</v>
      </c>
      <c r="K1809" s="433">
        <v>450</v>
      </c>
      <c r="L1809" s="384"/>
      <c r="M1809" s="380"/>
      <c r="N1809" s="380"/>
      <c r="O1809" s="380"/>
      <c r="P1809" s="380"/>
      <c r="Q1809" s="380"/>
    </row>
    <row r="1810" spans="1:17" x14ac:dyDescent="0.2">
      <c r="A1810" s="334" t="s">
        <v>1737</v>
      </c>
      <c r="B1810" s="380"/>
      <c r="C1810" s="334" t="s">
        <v>1984</v>
      </c>
      <c r="D1810" s="427">
        <v>500</v>
      </c>
      <c r="E1810" s="384"/>
      <c r="F1810" s="416"/>
      <c r="G1810" s="399"/>
      <c r="H1810" s="399"/>
      <c r="I1810" s="399"/>
      <c r="J1810" s="377"/>
      <c r="K1810" s="433"/>
      <c r="L1810" s="384"/>
      <c r="M1810" s="380"/>
      <c r="N1810" s="380"/>
      <c r="O1810" s="380"/>
      <c r="P1810" s="380"/>
      <c r="Q1810" s="380"/>
    </row>
    <row r="1811" spans="1:17" x14ac:dyDescent="0.2">
      <c r="A1811" s="334" t="s">
        <v>1726</v>
      </c>
      <c r="B1811" s="380"/>
      <c r="C1811" s="334" t="s">
        <v>1117</v>
      </c>
      <c r="D1811" s="427"/>
      <c r="E1811" s="384"/>
      <c r="F1811" s="416"/>
      <c r="G1811" s="399"/>
      <c r="H1811" s="399"/>
      <c r="I1811" s="399"/>
      <c r="J1811" s="377"/>
      <c r="K1811" s="433"/>
      <c r="L1811" s="384"/>
      <c r="M1811" s="380"/>
      <c r="N1811" s="380"/>
      <c r="O1811" s="380"/>
      <c r="P1811" s="380"/>
      <c r="Q1811" s="380"/>
    </row>
    <row r="1812" spans="1:17" x14ac:dyDescent="0.2">
      <c r="A1812" s="384" t="s">
        <v>1828</v>
      </c>
      <c r="B1812" s="380"/>
      <c r="C1812" s="334" t="s">
        <v>2712</v>
      </c>
      <c r="D1812" s="427">
        <v>4500</v>
      </c>
      <c r="E1812" s="384"/>
      <c r="F1812" s="416"/>
      <c r="G1812" s="399"/>
      <c r="H1812" s="399"/>
      <c r="I1812" s="399"/>
      <c r="J1812" s="377">
        <v>3500</v>
      </c>
      <c r="K1812" s="433">
        <v>3500</v>
      </c>
      <c r="L1812" s="384"/>
      <c r="M1812" s="380"/>
      <c r="N1812" s="380"/>
      <c r="O1812" s="380"/>
      <c r="P1812" s="380"/>
      <c r="Q1812" s="380"/>
    </row>
    <row r="1813" spans="1:17" x14ac:dyDescent="0.2">
      <c r="A1813" s="384" t="s">
        <v>1751</v>
      </c>
      <c r="B1813" s="380"/>
      <c r="C1813" s="334" t="s">
        <v>3138</v>
      </c>
      <c r="D1813" s="427">
        <v>3000</v>
      </c>
      <c r="E1813" s="384"/>
      <c r="F1813" s="416"/>
      <c r="G1813" s="399"/>
      <c r="H1813" s="399"/>
      <c r="I1813" s="399"/>
      <c r="J1813" s="377">
        <v>3000</v>
      </c>
      <c r="K1813" s="433">
        <v>3000</v>
      </c>
      <c r="L1813" s="384"/>
      <c r="M1813" s="380"/>
      <c r="N1813" s="380"/>
      <c r="O1813" s="380"/>
      <c r="P1813" s="380"/>
      <c r="Q1813" s="380"/>
    </row>
    <row r="1814" spans="1:17" x14ac:dyDescent="0.2">
      <c r="A1814" s="384" t="s">
        <v>1952</v>
      </c>
      <c r="B1814" s="380"/>
      <c r="C1814" s="334" t="s">
        <v>1251</v>
      </c>
      <c r="D1814" s="427"/>
      <c r="E1814" s="384"/>
      <c r="F1814" s="416"/>
      <c r="G1814" s="399"/>
      <c r="H1814" s="399"/>
      <c r="I1814" s="399"/>
      <c r="J1814" s="377"/>
      <c r="K1814" s="433"/>
      <c r="L1814" s="384"/>
      <c r="M1814" s="380"/>
      <c r="N1814" s="380"/>
      <c r="O1814" s="380"/>
      <c r="P1814" s="380"/>
      <c r="Q1814" s="380"/>
    </row>
    <row r="1815" spans="1:17" x14ac:dyDescent="0.2">
      <c r="A1815" s="384" t="s">
        <v>1577</v>
      </c>
      <c r="B1815" s="380"/>
      <c r="C1815" s="334" t="s">
        <v>1815</v>
      </c>
      <c r="D1815" s="427"/>
      <c r="E1815" s="384"/>
      <c r="F1815" s="416"/>
      <c r="G1815" s="399"/>
      <c r="H1815" s="399"/>
      <c r="I1815" s="399"/>
      <c r="J1815" s="377">
        <v>500</v>
      </c>
      <c r="K1815" s="433">
        <v>500</v>
      </c>
      <c r="L1815" s="384"/>
      <c r="M1815" s="380"/>
      <c r="N1815" s="380"/>
      <c r="O1815" s="380"/>
      <c r="P1815" s="380"/>
      <c r="Q1815" s="380"/>
    </row>
    <row r="1816" spans="1:17" x14ac:dyDescent="0.2">
      <c r="A1816" s="334" t="s">
        <v>1734</v>
      </c>
      <c r="B1816" s="380"/>
      <c r="C1816" s="334" t="s">
        <v>1746</v>
      </c>
      <c r="D1816" s="427">
        <v>500</v>
      </c>
      <c r="E1816" s="384"/>
      <c r="F1816" s="416"/>
      <c r="G1816" s="399"/>
      <c r="H1816" s="399"/>
      <c r="I1816" s="399"/>
      <c r="J1816" s="377"/>
      <c r="K1816" s="433"/>
      <c r="L1816" s="384"/>
      <c r="M1816" s="380"/>
      <c r="N1816" s="380"/>
      <c r="O1816" s="380"/>
      <c r="P1816" s="380"/>
      <c r="Q1816" s="380"/>
    </row>
    <row r="1817" spans="1:17" x14ac:dyDescent="0.2">
      <c r="A1817" s="384" t="s">
        <v>1571</v>
      </c>
      <c r="B1817" s="380"/>
      <c r="C1817" s="334" t="s">
        <v>3</v>
      </c>
      <c r="D1817" s="427"/>
      <c r="E1817" s="384"/>
      <c r="F1817" s="416"/>
      <c r="G1817" s="399"/>
      <c r="H1817" s="399"/>
      <c r="I1817" s="399"/>
      <c r="J1817" s="377"/>
      <c r="K1817" s="433"/>
      <c r="L1817" s="384"/>
      <c r="M1817" s="380"/>
      <c r="N1817" s="380"/>
      <c r="O1817" s="380"/>
      <c r="P1817" s="380"/>
      <c r="Q1817" s="380"/>
    </row>
    <row r="1818" spans="1:17" x14ac:dyDescent="0.2">
      <c r="A1818" s="384" t="s">
        <v>1578</v>
      </c>
      <c r="B1818" s="380"/>
      <c r="C1818" s="334" t="s">
        <v>22</v>
      </c>
      <c r="D1818" s="427"/>
      <c r="E1818" s="384"/>
      <c r="F1818" s="416"/>
      <c r="G1818" s="399"/>
      <c r="H1818" s="399"/>
      <c r="I1818" s="399"/>
      <c r="J1818" s="377"/>
      <c r="K1818" s="433"/>
      <c r="L1818" s="384"/>
      <c r="M1818" s="380"/>
      <c r="N1818" s="380"/>
      <c r="O1818" s="380"/>
      <c r="P1818" s="380"/>
      <c r="Q1818" s="380"/>
    </row>
    <row r="1819" spans="1:17" x14ac:dyDescent="0.2">
      <c r="A1819" s="334" t="s">
        <v>1738</v>
      </c>
      <c r="B1819" s="380"/>
      <c r="C1819" s="334" t="s">
        <v>1591</v>
      </c>
      <c r="D1819" s="427">
        <v>2000</v>
      </c>
      <c r="E1819" s="384"/>
      <c r="F1819" s="416"/>
      <c r="G1819" s="399"/>
      <c r="H1819" s="399"/>
      <c r="I1819" s="399"/>
      <c r="J1819" s="377">
        <v>3000</v>
      </c>
      <c r="K1819" s="433">
        <v>3000</v>
      </c>
      <c r="L1819" s="384"/>
      <c r="M1819" s="380"/>
      <c r="N1819" s="380"/>
      <c r="O1819" s="380"/>
      <c r="P1819" s="380"/>
      <c r="Q1819" s="380"/>
    </row>
    <row r="1820" spans="1:17" x14ac:dyDescent="0.2">
      <c r="A1820" s="334" t="s">
        <v>1727</v>
      </c>
      <c r="B1820" s="380"/>
      <c r="C1820" s="334" t="s">
        <v>307</v>
      </c>
      <c r="D1820" s="427">
        <v>1000</v>
      </c>
      <c r="E1820" s="384"/>
      <c r="F1820" s="416"/>
      <c r="G1820" s="399"/>
      <c r="H1820" s="399"/>
      <c r="I1820" s="399"/>
      <c r="J1820" s="377">
        <v>2000</v>
      </c>
      <c r="K1820" s="433">
        <v>2000</v>
      </c>
      <c r="L1820" s="384"/>
      <c r="M1820" s="380"/>
      <c r="N1820" s="380"/>
      <c r="O1820" s="380"/>
      <c r="P1820" s="380"/>
      <c r="Q1820" s="380"/>
    </row>
    <row r="1821" spans="1:17" x14ac:dyDescent="0.2">
      <c r="A1821" s="334" t="s">
        <v>1728</v>
      </c>
      <c r="B1821" s="380"/>
      <c r="C1821" s="334" t="s">
        <v>310</v>
      </c>
      <c r="D1821" s="427">
        <v>6000</v>
      </c>
      <c r="E1821" s="384"/>
      <c r="F1821" s="416"/>
      <c r="G1821" s="399"/>
      <c r="H1821" s="399"/>
      <c r="I1821" s="399"/>
      <c r="J1821" s="377">
        <v>2000</v>
      </c>
      <c r="K1821" s="433">
        <v>2000</v>
      </c>
      <c r="L1821" s="384"/>
      <c r="M1821" s="380"/>
      <c r="N1821" s="380"/>
      <c r="O1821" s="380"/>
      <c r="P1821" s="380"/>
      <c r="Q1821" s="380"/>
    </row>
    <row r="1822" spans="1:17" x14ac:dyDescent="0.2">
      <c r="A1822" s="334" t="s">
        <v>1729</v>
      </c>
      <c r="B1822" s="380"/>
      <c r="C1822" s="380" t="s">
        <v>1551</v>
      </c>
      <c r="D1822" s="427">
        <v>-6465</v>
      </c>
      <c r="E1822" s="384"/>
      <c r="F1822" s="416"/>
      <c r="G1822" s="399"/>
      <c r="H1822" s="399"/>
      <c r="I1822" s="399"/>
      <c r="J1822" s="377">
        <v>2000</v>
      </c>
      <c r="K1822" s="433"/>
      <c r="L1822" s="384"/>
      <c r="M1822" s="380"/>
      <c r="N1822" s="380"/>
      <c r="O1822" s="380"/>
      <c r="P1822" s="380"/>
      <c r="Q1822" s="380"/>
    </row>
    <row r="1823" spans="1:17" x14ac:dyDescent="0.2">
      <c r="A1823" s="334" t="s">
        <v>1735</v>
      </c>
      <c r="B1823" s="380"/>
      <c r="C1823" s="380" t="s">
        <v>194</v>
      </c>
      <c r="D1823" s="427"/>
      <c r="E1823" s="384"/>
      <c r="F1823" s="416"/>
      <c r="G1823" s="399"/>
      <c r="H1823" s="399"/>
      <c r="I1823" s="399"/>
      <c r="J1823" s="377">
        <v>500</v>
      </c>
      <c r="K1823" s="433"/>
      <c r="L1823" s="384"/>
      <c r="M1823" s="380"/>
      <c r="N1823" s="380"/>
      <c r="O1823" s="380"/>
      <c r="P1823" s="380"/>
      <c r="Q1823" s="380"/>
    </row>
    <row r="1824" spans="1:17" x14ac:dyDescent="0.2">
      <c r="A1824" s="334" t="s">
        <v>1741</v>
      </c>
      <c r="B1824" s="380"/>
      <c r="C1824" s="334" t="s">
        <v>1748</v>
      </c>
      <c r="D1824" s="427">
        <v>1500</v>
      </c>
      <c r="E1824" s="384"/>
      <c r="F1824" s="416"/>
      <c r="G1824" s="399"/>
      <c r="H1824" s="399"/>
      <c r="I1824" s="399"/>
      <c r="J1824" s="377">
        <v>200</v>
      </c>
      <c r="K1824" s="433">
        <v>200</v>
      </c>
      <c r="L1824" s="384"/>
      <c r="M1824" s="380"/>
      <c r="N1824" s="380"/>
      <c r="O1824" s="380"/>
      <c r="P1824" s="380"/>
      <c r="Q1824" s="380"/>
    </row>
    <row r="1825" spans="1:17" x14ac:dyDescent="0.2">
      <c r="A1825" s="334" t="s">
        <v>1742</v>
      </c>
      <c r="B1825" s="380"/>
      <c r="C1825" s="334" t="s">
        <v>1553</v>
      </c>
      <c r="D1825" s="427"/>
      <c r="E1825" s="384"/>
      <c r="F1825" s="416"/>
      <c r="G1825" s="399"/>
      <c r="H1825" s="399"/>
      <c r="I1825" s="399"/>
      <c r="J1825" s="377"/>
      <c r="K1825" s="433"/>
      <c r="L1825" s="384"/>
      <c r="M1825" s="380"/>
      <c r="N1825" s="380"/>
      <c r="O1825" s="380"/>
      <c r="P1825" s="380"/>
      <c r="Q1825" s="380"/>
    </row>
    <row r="1826" spans="1:17" x14ac:dyDescent="0.2">
      <c r="A1826" s="391" t="s">
        <v>1754</v>
      </c>
      <c r="B1826" s="380"/>
      <c r="C1826" s="334" t="s">
        <v>1929</v>
      </c>
      <c r="D1826" s="427">
        <v>2500</v>
      </c>
      <c r="E1826" s="384"/>
      <c r="F1826" s="416"/>
      <c r="G1826" s="399"/>
      <c r="H1826" s="399"/>
      <c r="I1826" s="399"/>
      <c r="J1826" s="377">
        <v>2000</v>
      </c>
      <c r="K1826" s="433">
        <v>2000</v>
      </c>
      <c r="L1826" s="384"/>
      <c r="M1826" s="380"/>
      <c r="N1826" s="380"/>
      <c r="O1826" s="380"/>
      <c r="P1826" s="380"/>
      <c r="Q1826" s="380"/>
    </row>
    <row r="1827" spans="1:17" x14ac:dyDescent="0.2">
      <c r="A1827" s="334" t="s">
        <v>1580</v>
      </c>
      <c r="B1827" s="380"/>
      <c r="C1827" s="334" t="s">
        <v>1936</v>
      </c>
      <c r="D1827" s="427"/>
      <c r="E1827" s="384"/>
      <c r="F1827" s="416"/>
      <c r="G1827" s="399"/>
      <c r="H1827" s="399"/>
      <c r="I1827" s="399"/>
      <c r="J1827" s="377"/>
      <c r="K1827" s="433"/>
      <c r="L1827" s="384"/>
      <c r="M1827" s="380"/>
      <c r="N1827" s="380"/>
      <c r="O1827" s="380"/>
      <c r="P1827" s="380"/>
      <c r="Q1827" s="380"/>
    </row>
    <row r="1828" spans="1:17" x14ac:dyDescent="0.2">
      <c r="A1828" s="384" t="s">
        <v>1572</v>
      </c>
      <c r="B1828" s="380"/>
      <c r="C1828" s="334" t="s">
        <v>3134</v>
      </c>
      <c r="D1828" s="427"/>
      <c r="E1828" s="384"/>
      <c r="F1828" s="416"/>
      <c r="G1828" s="399"/>
      <c r="H1828" s="399"/>
      <c r="I1828" s="399"/>
      <c r="J1828" s="377"/>
      <c r="K1828" s="433"/>
      <c r="L1828" s="384"/>
      <c r="M1828" s="380"/>
      <c r="N1828" s="380"/>
      <c r="O1828" s="380"/>
      <c r="P1828" s="380"/>
      <c r="Q1828" s="380"/>
    </row>
    <row r="1829" spans="1:17" x14ac:dyDescent="0.2">
      <c r="A1829" s="334" t="s">
        <v>1730</v>
      </c>
      <c r="B1829" s="380"/>
      <c r="C1829" s="334" t="s">
        <v>1985</v>
      </c>
      <c r="D1829" s="427">
        <v>3000</v>
      </c>
      <c r="E1829" s="384"/>
      <c r="F1829" s="416"/>
      <c r="G1829" s="399"/>
      <c r="H1829" s="399"/>
      <c r="I1829" s="399"/>
      <c r="J1829" s="377">
        <v>3000</v>
      </c>
      <c r="K1829" s="433">
        <v>3000</v>
      </c>
      <c r="L1829" s="384"/>
      <c r="M1829" s="380"/>
      <c r="N1829" s="380"/>
      <c r="O1829" s="380"/>
      <c r="P1829" s="380"/>
      <c r="Q1829" s="380"/>
    </row>
    <row r="1830" spans="1:17" x14ac:dyDescent="0.2">
      <c r="A1830" s="403" t="s">
        <v>1566</v>
      </c>
      <c r="B1830" s="380"/>
      <c r="C1830" s="334" t="s">
        <v>366</v>
      </c>
      <c r="D1830" s="427">
        <v>6000</v>
      </c>
      <c r="E1830" s="384"/>
      <c r="F1830" s="416"/>
      <c r="G1830" s="399"/>
      <c r="H1830" s="399"/>
      <c r="I1830" s="399"/>
      <c r="J1830" s="377">
        <v>2000</v>
      </c>
      <c r="K1830" s="433">
        <v>2000</v>
      </c>
      <c r="L1830" s="384"/>
      <c r="M1830" s="380"/>
      <c r="N1830" s="380"/>
      <c r="O1830" s="380"/>
      <c r="P1830" s="380"/>
      <c r="Q1830" s="380"/>
    </row>
    <row r="1831" spans="1:17" x14ac:dyDescent="0.2">
      <c r="A1831" s="403" t="s">
        <v>1587</v>
      </c>
      <c r="B1831" s="380"/>
      <c r="C1831" s="334" t="s">
        <v>34</v>
      </c>
      <c r="D1831" s="427">
        <v>100</v>
      </c>
      <c r="E1831" s="384"/>
      <c r="F1831" s="416"/>
      <c r="G1831" s="399"/>
      <c r="H1831" s="399"/>
      <c r="I1831" s="399"/>
      <c r="J1831" s="377"/>
      <c r="K1831" s="433"/>
      <c r="L1831" s="384"/>
      <c r="M1831" s="380"/>
      <c r="N1831" s="380"/>
      <c r="O1831" s="380"/>
      <c r="P1831" s="380"/>
      <c r="Q1831" s="380"/>
    </row>
    <row r="1832" spans="1:17" x14ac:dyDescent="0.2">
      <c r="A1832" s="403" t="s">
        <v>1588</v>
      </c>
      <c r="B1832" s="380"/>
      <c r="C1832" s="334" t="s">
        <v>191</v>
      </c>
      <c r="D1832" s="427">
        <v>1500</v>
      </c>
      <c r="E1832" s="384"/>
      <c r="F1832" s="416"/>
      <c r="G1832" s="399"/>
      <c r="H1832" s="399"/>
      <c r="I1832" s="399"/>
      <c r="J1832" s="377">
        <v>1000</v>
      </c>
      <c r="K1832" s="433">
        <v>1000</v>
      </c>
      <c r="L1832" s="384"/>
      <c r="M1832" s="380"/>
      <c r="N1832" s="380"/>
      <c r="O1832" s="380"/>
      <c r="P1832" s="380"/>
      <c r="Q1832" s="380"/>
    </row>
    <row r="1833" spans="1:17" x14ac:dyDescent="0.2">
      <c r="A1833" s="384" t="s">
        <v>1962</v>
      </c>
      <c r="B1833" s="380"/>
      <c r="C1833" s="380" t="s">
        <v>572</v>
      </c>
      <c r="D1833" s="427">
        <v>2000</v>
      </c>
      <c r="E1833" s="384"/>
      <c r="F1833" s="416"/>
      <c r="G1833" s="399"/>
      <c r="H1833" s="399"/>
      <c r="I1833" s="399"/>
      <c r="J1833" s="377">
        <v>2000</v>
      </c>
      <c r="K1833" s="376">
        <v>2000</v>
      </c>
      <c r="L1833" s="384"/>
      <c r="M1833" s="380"/>
      <c r="N1833" s="380"/>
      <c r="O1833" s="380"/>
      <c r="P1833" s="380"/>
      <c r="Q1833" s="380"/>
    </row>
    <row r="1834" spans="1:17" x14ac:dyDescent="0.2">
      <c r="A1834" s="334" t="s">
        <v>342</v>
      </c>
      <c r="B1834" s="380"/>
      <c r="C1834" s="334" t="s">
        <v>342</v>
      </c>
      <c r="D1834" s="410" t="s">
        <v>342</v>
      </c>
      <c r="E1834" s="385"/>
      <c r="F1834" s="416"/>
      <c r="G1834" s="382"/>
      <c r="H1834" s="382"/>
      <c r="I1834" s="383"/>
      <c r="J1834" s="410" t="s">
        <v>342</v>
      </c>
      <c r="K1834" s="435" t="s">
        <v>342</v>
      </c>
      <c r="L1834" s="380"/>
      <c r="M1834" s="380"/>
      <c r="N1834" s="380"/>
      <c r="O1834" s="380"/>
      <c r="P1834" s="380"/>
      <c r="Q1834" s="380"/>
    </row>
    <row r="1835" spans="1:17" x14ac:dyDescent="0.2">
      <c r="A1835" s="380"/>
      <c r="B1835" s="380"/>
      <c r="C1835" s="380"/>
      <c r="D1835" s="334">
        <f>SUM(D1798:D1833)</f>
        <v>36635</v>
      </c>
      <c r="E1835" s="385"/>
      <c r="F1835" s="415"/>
      <c r="G1835" s="385"/>
      <c r="H1835" s="385"/>
      <c r="I1835" s="383"/>
      <c r="J1835" s="334">
        <f>SUM(J1798:J1833)</f>
        <v>32050</v>
      </c>
      <c r="K1835" s="434">
        <f>SUM(K1798:K1833)</f>
        <v>29550</v>
      </c>
      <c r="L1835" s="380"/>
      <c r="M1835" s="380"/>
      <c r="N1835" s="380"/>
      <c r="O1835" s="380"/>
      <c r="P1835" s="380"/>
      <c r="Q1835" s="380"/>
    </row>
    <row r="1836" spans="1:17" ht="15.75" thickTop="1" x14ac:dyDescent="0.2">
      <c r="A1836" s="380"/>
      <c r="B1836" s="380"/>
      <c r="C1836" s="380"/>
      <c r="D1836" s="395"/>
      <c r="E1836" s="399"/>
      <c r="F1836" s="416"/>
      <c r="G1836" s="399"/>
      <c r="H1836" s="399"/>
      <c r="I1836" s="383"/>
      <c r="J1836" s="395"/>
      <c r="K1836" s="382"/>
      <c r="L1836" s="380"/>
      <c r="M1836" s="380"/>
      <c r="N1836" s="380"/>
      <c r="O1836" s="380"/>
      <c r="P1836" s="380"/>
      <c r="Q1836" s="380"/>
    </row>
    <row r="1837" spans="1:17" ht="15.75" x14ac:dyDescent="0.25">
      <c r="A1837" s="377"/>
      <c r="B1837" s="377"/>
      <c r="C1837" s="377"/>
      <c r="D1837" s="377"/>
      <c r="E1837" s="377"/>
      <c r="F1837" s="378"/>
      <c r="G1837" s="377"/>
      <c r="H1837" s="377"/>
      <c r="I1837" s="409"/>
      <c r="J1837" s="382"/>
      <c r="K1837" s="382"/>
      <c r="L1837" s="380"/>
      <c r="M1837" s="380"/>
      <c r="N1837" s="380"/>
      <c r="O1837" s="380"/>
      <c r="P1837" s="380"/>
      <c r="Q1837" s="380"/>
    </row>
    <row r="1838" spans="1:17" x14ac:dyDescent="0.2">
      <c r="A1838" s="380"/>
      <c r="B1838" s="380"/>
      <c r="C1838" s="380"/>
      <c r="D1838" s="380"/>
      <c r="E1838" s="380"/>
      <c r="F1838" s="378"/>
      <c r="G1838" s="380"/>
      <c r="H1838" s="380"/>
      <c r="I1838" s="382"/>
      <c r="J1838" s="382"/>
      <c r="K1838" s="382"/>
      <c r="L1838" s="380"/>
      <c r="M1838" s="380"/>
      <c r="N1838" s="380"/>
      <c r="O1838" s="380"/>
      <c r="P1838" s="380"/>
      <c r="Q1838" s="380"/>
    </row>
    <row r="1839" spans="1:17" x14ac:dyDescent="0.2">
      <c r="A1839" s="334" t="s">
        <v>2968</v>
      </c>
      <c r="B1839" s="380"/>
      <c r="C1839" s="380"/>
      <c r="D1839" s="380"/>
      <c r="E1839" s="334" t="s">
        <v>2030</v>
      </c>
      <c r="F1839" s="378"/>
      <c r="G1839" s="380"/>
      <c r="H1839" s="380"/>
      <c r="I1839" s="382"/>
      <c r="J1839" s="382"/>
      <c r="K1839" s="382"/>
      <c r="L1839" s="380"/>
      <c r="M1839" s="380"/>
      <c r="N1839" s="380"/>
      <c r="O1839" s="380"/>
      <c r="P1839" s="380"/>
      <c r="Q1839" s="380"/>
    </row>
    <row r="1840" spans="1:17" x14ac:dyDescent="0.2">
      <c r="A1840" s="334" t="s">
        <v>1799</v>
      </c>
      <c r="B1840" s="380"/>
      <c r="C1840" s="384" t="s">
        <v>2129</v>
      </c>
      <c r="D1840" s="380"/>
      <c r="E1840" s="384" t="s">
        <v>2922</v>
      </c>
      <c r="F1840" s="378"/>
      <c r="G1840" s="380"/>
      <c r="H1840" s="380"/>
      <c r="I1840" s="382"/>
      <c r="J1840" s="382"/>
      <c r="K1840" s="382"/>
      <c r="L1840" s="380"/>
      <c r="M1840" s="380"/>
      <c r="N1840" s="380"/>
      <c r="O1840" s="380"/>
      <c r="P1840" s="380"/>
      <c r="Q1840" s="380"/>
    </row>
    <row r="1841" spans="1:17" x14ac:dyDescent="0.2">
      <c r="A1841" s="380"/>
      <c r="B1841" s="380"/>
      <c r="C1841" s="380"/>
      <c r="D1841" s="380"/>
      <c r="E1841" s="380"/>
      <c r="F1841" s="378"/>
      <c r="G1841" s="380"/>
      <c r="H1841" s="380"/>
      <c r="I1841" s="382"/>
      <c r="J1841" s="382"/>
      <c r="K1841" s="382"/>
      <c r="L1841" s="380"/>
      <c r="M1841" s="380"/>
      <c r="N1841" s="380"/>
      <c r="O1841" s="380"/>
      <c r="P1841" s="380"/>
      <c r="Q1841" s="380"/>
    </row>
    <row r="1842" spans="1:17" x14ac:dyDescent="0.2">
      <c r="A1842" s="334" t="s">
        <v>1723</v>
      </c>
      <c r="B1842" s="380"/>
      <c r="C1842" s="334" t="s">
        <v>1880</v>
      </c>
      <c r="D1842" s="334" t="s">
        <v>181</v>
      </c>
      <c r="E1842" s="334" t="s">
        <v>181</v>
      </c>
      <c r="F1842" s="378"/>
      <c r="G1842" s="380"/>
      <c r="H1842" s="380"/>
      <c r="I1842" s="385"/>
      <c r="J1842" s="334" t="s">
        <v>181</v>
      </c>
      <c r="K1842" s="334" t="s">
        <v>181</v>
      </c>
      <c r="L1842" s="380"/>
      <c r="M1842" s="380"/>
      <c r="N1842" s="380"/>
      <c r="O1842" s="380"/>
      <c r="P1842" s="380"/>
      <c r="Q1842" s="380"/>
    </row>
    <row r="1843" spans="1:17" x14ac:dyDescent="0.2">
      <c r="A1843" s="380"/>
      <c r="B1843" s="380"/>
      <c r="C1843" s="380"/>
      <c r="D1843" s="334" t="s">
        <v>342</v>
      </c>
      <c r="E1843" s="334" t="s">
        <v>342</v>
      </c>
      <c r="F1843" s="412" t="s">
        <v>342</v>
      </c>
      <c r="G1843" s="334"/>
      <c r="H1843" s="380"/>
      <c r="I1843" s="385"/>
      <c r="J1843" s="334" t="s">
        <v>342</v>
      </c>
      <c r="K1843" s="334" t="s">
        <v>342</v>
      </c>
      <c r="L1843" s="380"/>
      <c r="M1843" s="380"/>
      <c r="N1843" s="380"/>
      <c r="O1843" s="380"/>
      <c r="P1843" s="380"/>
      <c r="Q1843" s="380"/>
    </row>
    <row r="1844" spans="1:17" x14ac:dyDescent="0.2">
      <c r="A1844" s="384" t="s">
        <v>1569</v>
      </c>
      <c r="B1844" s="380"/>
      <c r="C1844" s="334" t="s">
        <v>1888</v>
      </c>
      <c r="D1844" s="377"/>
      <c r="E1844" s="384"/>
      <c r="F1844" s="412"/>
      <c r="G1844" s="334"/>
      <c r="H1844" s="380"/>
      <c r="I1844" s="399"/>
      <c r="J1844" s="377"/>
      <c r="K1844" s="384"/>
      <c r="L1844" s="380"/>
      <c r="M1844" s="380"/>
      <c r="N1844" s="380"/>
      <c r="O1844" s="380"/>
      <c r="P1844" s="380"/>
      <c r="Q1844" s="380"/>
    </row>
    <row r="1845" spans="1:17" x14ac:dyDescent="0.2">
      <c r="A1845" s="334" t="s">
        <v>1724</v>
      </c>
      <c r="B1845" s="380"/>
      <c r="C1845" s="380" t="s">
        <v>1881</v>
      </c>
      <c r="D1845" s="379">
        <f>850+100</f>
        <v>950</v>
      </c>
      <c r="E1845" s="377">
        <v>400</v>
      </c>
      <c r="F1845" s="412"/>
      <c r="G1845" s="334"/>
      <c r="H1845" s="380"/>
      <c r="I1845" s="399"/>
      <c r="J1845" s="377">
        <v>850</v>
      </c>
      <c r="K1845" s="377">
        <v>400</v>
      </c>
      <c r="L1845" s="380"/>
      <c r="M1845" s="380"/>
      <c r="N1845" s="380"/>
      <c r="O1845" s="380"/>
      <c r="P1845" s="380"/>
      <c r="Q1845" s="380"/>
    </row>
    <row r="1846" spans="1:17" x14ac:dyDescent="0.2">
      <c r="A1846" s="384" t="s">
        <v>1736</v>
      </c>
      <c r="B1846" s="380"/>
      <c r="C1846" s="380" t="s">
        <v>1747</v>
      </c>
      <c r="D1846" s="379">
        <v>250</v>
      </c>
      <c r="E1846" s="377">
        <v>1000</v>
      </c>
      <c r="F1846" s="412"/>
      <c r="G1846" s="334"/>
      <c r="H1846" s="380"/>
      <c r="I1846" s="399"/>
      <c r="J1846" s="377">
        <v>250</v>
      </c>
      <c r="K1846" s="377">
        <v>1000</v>
      </c>
      <c r="L1846" s="380"/>
      <c r="M1846" s="380"/>
      <c r="N1846" s="380"/>
      <c r="O1846" s="380"/>
      <c r="P1846" s="380"/>
      <c r="Q1846" s="380"/>
    </row>
    <row r="1847" spans="1:17" x14ac:dyDescent="0.2">
      <c r="A1847" s="384" t="s">
        <v>1744</v>
      </c>
      <c r="B1847" s="380"/>
      <c r="C1847" s="334" t="s">
        <v>1254</v>
      </c>
      <c r="D1847" s="379">
        <v>500</v>
      </c>
      <c r="E1847" s="377">
        <v>300</v>
      </c>
      <c r="F1847" s="412"/>
      <c r="G1847" s="334"/>
      <c r="H1847" s="380"/>
      <c r="I1847" s="399"/>
      <c r="J1847" s="377">
        <v>500</v>
      </c>
      <c r="K1847" s="377">
        <v>300</v>
      </c>
      <c r="L1847" s="380"/>
      <c r="M1847" s="380"/>
      <c r="N1847" s="380"/>
      <c r="O1847" s="380"/>
      <c r="P1847" s="380"/>
      <c r="Q1847" s="380"/>
    </row>
    <row r="1848" spans="1:17" x14ac:dyDescent="0.2">
      <c r="A1848" s="384" t="s">
        <v>1582</v>
      </c>
      <c r="B1848" s="380"/>
      <c r="C1848" s="334" t="s">
        <v>3135</v>
      </c>
      <c r="D1848" s="379"/>
      <c r="E1848" s="377">
        <v>350</v>
      </c>
      <c r="F1848" s="412"/>
      <c r="G1848" s="334"/>
      <c r="H1848" s="380"/>
      <c r="I1848" s="399"/>
      <c r="J1848" s="377"/>
      <c r="K1848" s="377"/>
      <c r="L1848" s="380"/>
      <c r="M1848" s="380"/>
      <c r="N1848" s="380"/>
      <c r="O1848" s="380"/>
      <c r="P1848" s="380"/>
      <c r="Q1848" s="380"/>
    </row>
    <row r="1849" spans="1:17" x14ac:dyDescent="0.2">
      <c r="A1849" s="384" t="s">
        <v>1725</v>
      </c>
      <c r="B1849" s="380"/>
      <c r="C1849" s="334" t="s">
        <v>1890</v>
      </c>
      <c r="D1849" s="379">
        <v>100</v>
      </c>
      <c r="E1849" s="377">
        <v>100</v>
      </c>
      <c r="F1849" s="412"/>
      <c r="G1849" s="334"/>
      <c r="H1849" s="380"/>
      <c r="I1849" s="399"/>
      <c r="J1849" s="377">
        <v>100</v>
      </c>
      <c r="K1849" s="377">
        <v>100</v>
      </c>
      <c r="L1849" s="380"/>
      <c r="M1849" s="380"/>
      <c r="N1849" s="380"/>
      <c r="O1849" s="380"/>
      <c r="P1849" s="380"/>
      <c r="Q1849" s="380"/>
    </row>
    <row r="1850" spans="1:17" x14ac:dyDescent="0.2">
      <c r="A1850" s="403" t="s">
        <v>1576</v>
      </c>
      <c r="B1850" s="380"/>
      <c r="C1850" s="334" t="s">
        <v>1590</v>
      </c>
      <c r="D1850" s="379"/>
      <c r="E1850" s="377">
        <v>100</v>
      </c>
      <c r="F1850" s="412"/>
      <c r="G1850" s="334"/>
      <c r="H1850" s="380"/>
      <c r="I1850" s="399"/>
      <c r="J1850" s="377"/>
      <c r="K1850" s="377">
        <v>100</v>
      </c>
      <c r="L1850" s="380"/>
      <c r="M1850" s="380"/>
      <c r="N1850" s="380"/>
      <c r="O1850" s="380"/>
      <c r="P1850" s="380"/>
      <c r="Q1850" s="380"/>
    </row>
    <row r="1851" spans="1:17" x14ac:dyDescent="0.2">
      <c r="A1851" s="384" t="s">
        <v>1737</v>
      </c>
      <c r="B1851" s="380"/>
      <c r="C1851" s="334" t="s">
        <v>1984</v>
      </c>
      <c r="D1851" s="379">
        <v>450</v>
      </c>
      <c r="E1851" s="377">
        <v>50</v>
      </c>
      <c r="F1851" s="412"/>
      <c r="G1851" s="334"/>
      <c r="H1851" s="380"/>
      <c r="I1851" s="399"/>
      <c r="J1851" s="377">
        <v>450</v>
      </c>
      <c r="K1851" s="377">
        <v>50</v>
      </c>
      <c r="L1851" s="380"/>
      <c r="M1851" s="380"/>
      <c r="N1851" s="380"/>
      <c r="O1851" s="380"/>
      <c r="P1851" s="380"/>
      <c r="Q1851" s="380"/>
    </row>
    <row r="1852" spans="1:17" x14ac:dyDescent="0.2">
      <c r="A1852" s="334" t="s">
        <v>1738</v>
      </c>
      <c r="B1852" s="380"/>
      <c r="C1852" s="334" t="s">
        <v>1591</v>
      </c>
      <c r="D1852" s="379"/>
      <c r="E1852" s="377">
        <v>400</v>
      </c>
      <c r="F1852" s="412"/>
      <c r="G1852" s="334"/>
      <c r="H1852" s="380"/>
      <c r="I1852" s="399"/>
      <c r="J1852" s="377"/>
      <c r="K1852" s="377">
        <v>400</v>
      </c>
      <c r="L1852" s="380"/>
      <c r="M1852" s="380"/>
      <c r="N1852" s="380"/>
      <c r="O1852" s="380"/>
      <c r="P1852" s="380"/>
      <c r="Q1852" s="380"/>
    </row>
    <row r="1853" spans="1:17" x14ac:dyDescent="0.2">
      <c r="A1853" s="384" t="s">
        <v>1727</v>
      </c>
      <c r="B1853" s="380"/>
      <c r="C1853" s="334" t="s">
        <v>307</v>
      </c>
      <c r="D1853" s="379">
        <v>500</v>
      </c>
      <c r="E1853" s="377">
        <v>550</v>
      </c>
      <c r="F1853" s="412"/>
      <c r="G1853" s="334"/>
      <c r="H1853" s="380"/>
      <c r="I1853" s="399"/>
      <c r="J1853" s="377">
        <v>500</v>
      </c>
      <c r="K1853" s="377">
        <v>550</v>
      </c>
      <c r="L1853" s="380"/>
      <c r="M1853" s="380"/>
      <c r="N1853" s="380"/>
      <c r="O1853" s="380"/>
      <c r="P1853" s="380"/>
      <c r="Q1853" s="380"/>
    </row>
    <row r="1854" spans="1:17" x14ac:dyDescent="0.2">
      <c r="A1854" s="334" t="s">
        <v>1728</v>
      </c>
      <c r="B1854" s="380"/>
      <c r="C1854" s="334" t="s">
        <v>310</v>
      </c>
      <c r="D1854" s="379"/>
      <c r="E1854" s="377">
        <v>100</v>
      </c>
      <c r="F1854" s="412"/>
      <c r="G1854" s="334"/>
      <c r="H1854" s="380"/>
      <c r="I1854" s="399"/>
      <c r="J1854" s="377"/>
      <c r="K1854" s="377">
        <v>100</v>
      </c>
      <c r="L1854" s="380"/>
      <c r="M1854" s="380"/>
      <c r="N1854" s="380"/>
      <c r="O1854" s="380"/>
      <c r="P1854" s="380"/>
      <c r="Q1854" s="380"/>
    </row>
    <row r="1855" spans="1:17" x14ac:dyDescent="0.2">
      <c r="A1855" s="384" t="s">
        <v>1729</v>
      </c>
      <c r="B1855" s="380"/>
      <c r="C1855" s="380" t="s">
        <v>1551</v>
      </c>
      <c r="D1855" s="379">
        <v>-4270</v>
      </c>
      <c r="E1855" s="377"/>
      <c r="F1855" s="412"/>
      <c r="G1855" s="334"/>
      <c r="H1855" s="380"/>
      <c r="I1855" s="399"/>
      <c r="J1855" s="377">
        <v>100</v>
      </c>
      <c r="K1855" s="377">
        <v>50</v>
      </c>
      <c r="L1855" s="380"/>
      <c r="M1855" s="380"/>
      <c r="N1855" s="380"/>
      <c r="O1855" s="380"/>
      <c r="P1855" s="380"/>
      <c r="Q1855" s="380"/>
    </row>
    <row r="1856" spans="1:17" x14ac:dyDescent="0.2">
      <c r="A1856" s="334" t="s">
        <v>1735</v>
      </c>
      <c r="B1856" s="380"/>
      <c r="C1856" s="380" t="s">
        <v>194</v>
      </c>
      <c r="D1856" s="379"/>
      <c r="E1856" s="377"/>
      <c r="F1856" s="412"/>
      <c r="G1856" s="334"/>
      <c r="H1856" s="380"/>
      <c r="I1856" s="399"/>
      <c r="J1856" s="377"/>
      <c r="K1856" s="377">
        <v>200</v>
      </c>
      <c r="L1856" s="380"/>
      <c r="M1856" s="380"/>
      <c r="N1856" s="380"/>
      <c r="O1856" s="380"/>
      <c r="P1856" s="380"/>
      <c r="Q1856" s="380"/>
    </row>
    <row r="1857" spans="1:17" x14ac:dyDescent="0.2">
      <c r="A1857" s="391" t="s">
        <v>1754</v>
      </c>
      <c r="B1857" s="380"/>
      <c r="C1857" s="334" t="s">
        <v>1929</v>
      </c>
      <c r="D1857" s="379"/>
      <c r="E1857" s="377">
        <v>2000</v>
      </c>
      <c r="F1857" s="412"/>
      <c r="G1857" s="334"/>
      <c r="H1857" s="380"/>
      <c r="I1857" s="399"/>
      <c r="J1857" s="377"/>
      <c r="K1857" s="377">
        <v>450</v>
      </c>
      <c r="L1857" s="380"/>
      <c r="M1857" s="380"/>
      <c r="N1857" s="380"/>
      <c r="O1857" s="380"/>
      <c r="P1857" s="380"/>
      <c r="Q1857" s="380"/>
    </row>
    <row r="1858" spans="1:17" x14ac:dyDescent="0.2">
      <c r="A1858" s="334" t="s">
        <v>1730</v>
      </c>
      <c r="B1858" s="380"/>
      <c r="C1858" s="334" t="s">
        <v>1985</v>
      </c>
      <c r="D1858" s="379">
        <v>2500</v>
      </c>
      <c r="E1858" s="377">
        <v>11000</v>
      </c>
      <c r="F1858" s="412" t="s">
        <v>342</v>
      </c>
      <c r="G1858" s="334"/>
      <c r="H1858" s="380"/>
      <c r="I1858" s="399"/>
      <c r="J1858" s="377">
        <v>2500</v>
      </c>
      <c r="K1858" s="377">
        <v>11000</v>
      </c>
      <c r="L1858" s="380"/>
      <c r="M1858" s="380"/>
      <c r="N1858" s="380"/>
      <c r="O1858" s="380"/>
      <c r="P1858" s="380"/>
      <c r="Q1858" s="380"/>
    </row>
    <row r="1859" spans="1:17" x14ac:dyDescent="0.2">
      <c r="A1859" s="384" t="s">
        <v>1566</v>
      </c>
      <c r="B1859" s="380"/>
      <c r="C1859" s="334" t="s">
        <v>366</v>
      </c>
      <c r="D1859" s="379"/>
      <c r="E1859" s="377">
        <v>2500</v>
      </c>
      <c r="F1859" s="412"/>
      <c r="G1859" s="334"/>
      <c r="H1859" s="380"/>
      <c r="I1859" s="399"/>
      <c r="J1859" s="377"/>
      <c r="K1859" s="377">
        <v>2500</v>
      </c>
      <c r="L1859" s="380"/>
      <c r="M1859" s="380"/>
      <c r="N1859" s="380"/>
      <c r="O1859" s="380"/>
      <c r="P1859" s="380"/>
      <c r="Q1859" s="380"/>
    </row>
    <row r="1860" spans="1:17" x14ac:dyDescent="0.2">
      <c r="A1860" s="384" t="s">
        <v>1962</v>
      </c>
      <c r="B1860" s="380"/>
      <c r="C1860" s="380" t="s">
        <v>572</v>
      </c>
      <c r="D1860" s="379"/>
      <c r="E1860" s="377"/>
      <c r="F1860" s="412"/>
      <c r="G1860" s="334"/>
      <c r="H1860" s="380"/>
      <c r="I1860" s="399"/>
      <c r="J1860" s="377"/>
      <c r="K1860" s="377">
        <v>350</v>
      </c>
      <c r="L1860" s="380"/>
      <c r="M1860" s="380"/>
      <c r="N1860" s="380"/>
      <c r="O1860" s="380"/>
      <c r="P1860" s="380"/>
      <c r="Q1860" s="380"/>
    </row>
    <row r="1861" spans="1:17" x14ac:dyDescent="0.2">
      <c r="A1861" s="384" t="s">
        <v>1569</v>
      </c>
      <c r="B1861" s="380"/>
      <c r="C1861" s="334" t="s">
        <v>3190</v>
      </c>
      <c r="D1861" s="379"/>
      <c r="E1861" s="377">
        <v>2500</v>
      </c>
      <c r="F1861" s="412" t="s">
        <v>342</v>
      </c>
      <c r="G1861" s="334"/>
      <c r="H1861" s="380"/>
      <c r="I1861" s="399"/>
      <c r="J1861" s="377"/>
      <c r="K1861" s="377"/>
      <c r="L1861" s="380"/>
      <c r="M1861" s="380"/>
      <c r="N1861" s="380"/>
      <c r="O1861" s="380"/>
      <c r="P1861" s="380"/>
      <c r="Q1861" s="380"/>
    </row>
    <row r="1862" spans="1:17" x14ac:dyDescent="0.2">
      <c r="A1862" s="380"/>
      <c r="B1862" s="380"/>
      <c r="C1862" s="380"/>
      <c r="D1862" s="410" t="s">
        <v>342</v>
      </c>
      <c r="E1862" s="410"/>
      <c r="F1862" s="378"/>
      <c r="G1862" s="380"/>
      <c r="H1862" s="380"/>
      <c r="I1862" s="385"/>
      <c r="J1862" s="410" t="s">
        <v>342</v>
      </c>
      <c r="K1862" s="410"/>
      <c r="L1862" s="380"/>
      <c r="M1862" s="380"/>
      <c r="N1862" s="380"/>
      <c r="O1862" s="380"/>
      <c r="P1862" s="380"/>
      <c r="Q1862" s="380"/>
    </row>
    <row r="1863" spans="1:17" x14ac:dyDescent="0.2">
      <c r="A1863" s="380"/>
      <c r="B1863" s="380"/>
      <c r="C1863" s="380"/>
      <c r="D1863" s="334">
        <f>SUM(D1844:D1861)</f>
        <v>980</v>
      </c>
      <c r="E1863" s="334">
        <f>SUM(E1844:E1861)</f>
        <v>21350</v>
      </c>
      <c r="F1863" s="378"/>
      <c r="G1863" s="380"/>
      <c r="H1863" s="380"/>
      <c r="I1863" s="385"/>
      <c r="J1863" s="334">
        <f>SUM(J1844:J1861)</f>
        <v>5250</v>
      </c>
      <c r="K1863" s="334">
        <f>SUM(K1844:K1861)</f>
        <v>17550</v>
      </c>
      <c r="L1863" s="380"/>
      <c r="M1863" s="380"/>
      <c r="N1863" s="380"/>
      <c r="O1863" s="380"/>
      <c r="P1863" s="380"/>
      <c r="Q1863" s="380"/>
    </row>
    <row r="1864" spans="1:17" ht="15.75" thickTop="1" x14ac:dyDescent="0.2">
      <c r="A1864" s="334" t="s">
        <v>342</v>
      </c>
      <c r="B1864" s="380"/>
      <c r="C1864" s="334" t="s">
        <v>342</v>
      </c>
      <c r="D1864" s="400" t="s">
        <v>342</v>
      </c>
      <c r="E1864" s="400" t="s">
        <v>342</v>
      </c>
      <c r="F1864" s="412" t="s">
        <v>342</v>
      </c>
      <c r="G1864" s="334"/>
      <c r="H1864" s="334" t="s">
        <v>342</v>
      </c>
      <c r="I1864" s="385"/>
      <c r="J1864" s="382"/>
      <c r="K1864" s="382"/>
      <c r="L1864" s="380"/>
      <c r="M1864" s="380"/>
      <c r="N1864" s="380"/>
      <c r="O1864" s="380"/>
      <c r="P1864" s="380"/>
      <c r="Q1864" s="380"/>
    </row>
    <row r="1865" spans="1:17" x14ac:dyDescent="0.2">
      <c r="A1865" s="334"/>
      <c r="B1865" s="380"/>
      <c r="C1865" s="334"/>
      <c r="D1865" s="385"/>
      <c r="E1865" s="334"/>
      <c r="F1865" s="412"/>
      <c r="G1865" s="334"/>
      <c r="H1865" s="334"/>
      <c r="I1865" s="385"/>
      <c r="J1865" s="382"/>
      <c r="K1865" s="382"/>
      <c r="L1865" s="380"/>
      <c r="M1865" s="380"/>
      <c r="N1865" s="380"/>
      <c r="O1865" s="380"/>
      <c r="P1865" s="380"/>
      <c r="Q1865" s="380"/>
    </row>
    <row r="1866" spans="1:17" x14ac:dyDescent="0.2">
      <c r="A1866" s="334" t="s">
        <v>1114</v>
      </c>
      <c r="B1866" s="380"/>
      <c r="C1866" s="334"/>
      <c r="D1866" s="385"/>
      <c r="E1866" s="334"/>
      <c r="F1866" s="412"/>
      <c r="G1866" s="334"/>
      <c r="H1866" s="334"/>
      <c r="I1866" s="385"/>
      <c r="J1866" s="382"/>
      <c r="K1866" s="382"/>
      <c r="L1866" s="380"/>
      <c r="M1866" s="380"/>
      <c r="N1866" s="380"/>
      <c r="O1866" s="380"/>
      <c r="P1866" s="380"/>
      <c r="Q1866" s="380"/>
    </row>
    <row r="1867" spans="1:17" x14ac:dyDescent="0.2">
      <c r="A1867" s="334"/>
      <c r="B1867" s="380"/>
      <c r="C1867" s="384" t="s">
        <v>2130</v>
      </c>
      <c r="D1867" s="385"/>
      <c r="E1867" s="384"/>
      <c r="F1867" s="412"/>
      <c r="G1867" s="334"/>
      <c r="H1867" s="334"/>
      <c r="I1867" s="385"/>
      <c r="J1867" s="382"/>
      <c r="K1867" s="382"/>
      <c r="L1867" s="380"/>
      <c r="M1867" s="380"/>
      <c r="N1867" s="380"/>
      <c r="O1867" s="380"/>
      <c r="P1867" s="380"/>
      <c r="Q1867" s="380"/>
    </row>
    <row r="1868" spans="1:17" x14ac:dyDescent="0.2">
      <c r="A1868" s="334"/>
      <c r="B1868" s="380"/>
      <c r="C1868" s="334"/>
      <c r="D1868" s="385"/>
      <c r="E1868" s="334"/>
      <c r="F1868" s="412"/>
      <c r="G1868" s="334"/>
      <c r="H1868" s="334"/>
      <c r="I1868" s="385"/>
      <c r="J1868" s="382"/>
      <c r="K1868" s="382"/>
      <c r="L1868" s="380"/>
      <c r="M1868" s="380"/>
      <c r="N1868" s="380"/>
      <c r="O1868" s="380"/>
      <c r="P1868" s="380"/>
      <c r="Q1868" s="380"/>
    </row>
    <row r="1869" spans="1:17" x14ac:dyDescent="0.2">
      <c r="A1869" s="334" t="s">
        <v>1723</v>
      </c>
      <c r="B1869" s="380"/>
      <c r="C1869" s="334" t="s">
        <v>1880</v>
      </c>
      <c r="D1869" s="385" t="s">
        <v>181</v>
      </c>
      <c r="E1869" s="334"/>
      <c r="F1869" s="412"/>
      <c r="G1869" s="334"/>
      <c r="H1869" s="334"/>
      <c r="I1869" s="385"/>
      <c r="J1869" s="385" t="s">
        <v>181</v>
      </c>
      <c r="K1869" s="382"/>
      <c r="L1869" s="380"/>
      <c r="M1869" s="380"/>
      <c r="N1869" s="380"/>
      <c r="O1869" s="380"/>
      <c r="P1869" s="380"/>
      <c r="Q1869" s="380"/>
    </row>
    <row r="1870" spans="1:17" x14ac:dyDescent="0.2">
      <c r="A1870" s="334"/>
      <c r="B1870" s="380"/>
      <c r="C1870" s="334"/>
      <c r="D1870" s="385"/>
      <c r="E1870" s="334"/>
      <c r="F1870" s="412"/>
      <c r="G1870" s="334"/>
      <c r="H1870" s="334"/>
      <c r="I1870" s="385"/>
      <c r="J1870" s="385"/>
      <c r="K1870" s="382"/>
      <c r="L1870" s="380"/>
      <c r="M1870" s="380"/>
      <c r="N1870" s="380"/>
      <c r="O1870" s="380"/>
      <c r="P1870" s="380"/>
      <c r="Q1870" s="380"/>
    </row>
    <row r="1871" spans="1:17" x14ac:dyDescent="0.2">
      <c r="A1871" s="384" t="s">
        <v>1724</v>
      </c>
      <c r="B1871" s="380"/>
      <c r="C1871" s="334" t="s">
        <v>1881</v>
      </c>
      <c r="D1871" s="379">
        <f>500+50</f>
        <v>550</v>
      </c>
      <c r="E1871" s="384"/>
      <c r="F1871" s="412"/>
      <c r="G1871" s="334"/>
      <c r="H1871" s="334"/>
      <c r="I1871" s="399"/>
      <c r="J1871" s="377">
        <v>500</v>
      </c>
      <c r="K1871" s="382"/>
      <c r="L1871" s="380"/>
      <c r="M1871" s="380"/>
      <c r="N1871" s="380"/>
      <c r="O1871" s="380"/>
      <c r="P1871" s="380"/>
      <c r="Q1871" s="380"/>
    </row>
    <row r="1872" spans="1:17" x14ac:dyDescent="0.2">
      <c r="A1872" s="334" t="s">
        <v>1736</v>
      </c>
      <c r="B1872" s="380"/>
      <c r="C1872" s="334" t="s">
        <v>1747</v>
      </c>
      <c r="D1872" s="379">
        <v>2500</v>
      </c>
      <c r="E1872" s="384"/>
      <c r="F1872" s="412"/>
      <c r="G1872" s="334"/>
      <c r="H1872" s="334"/>
      <c r="I1872" s="399"/>
      <c r="J1872" s="377">
        <v>2500</v>
      </c>
      <c r="K1872" s="382"/>
      <c r="L1872" s="380"/>
      <c r="M1872" s="380"/>
      <c r="N1872" s="380"/>
      <c r="O1872" s="380"/>
      <c r="P1872" s="380"/>
      <c r="Q1872" s="380"/>
    </row>
    <row r="1873" spans="1:17" x14ac:dyDescent="0.2">
      <c r="A1873" s="334" t="s">
        <v>1744</v>
      </c>
      <c r="B1873" s="380"/>
      <c r="C1873" s="334" t="s">
        <v>1254</v>
      </c>
      <c r="D1873" s="379"/>
      <c r="E1873" s="384"/>
      <c r="F1873" s="412"/>
      <c r="G1873" s="334"/>
      <c r="H1873" s="334"/>
      <c r="I1873" s="399"/>
      <c r="J1873" s="377"/>
      <c r="K1873" s="382"/>
      <c r="L1873" s="380"/>
      <c r="M1873" s="380"/>
      <c r="N1873" s="380"/>
      <c r="O1873" s="380"/>
      <c r="P1873" s="380"/>
      <c r="Q1873" s="380"/>
    </row>
    <row r="1874" spans="1:17" x14ac:dyDescent="0.2">
      <c r="A1874" s="334" t="s">
        <v>1582</v>
      </c>
      <c r="B1874" s="380"/>
      <c r="C1874" s="334" t="s">
        <v>3135</v>
      </c>
      <c r="D1874" s="379"/>
      <c r="E1874" s="384"/>
      <c r="F1874" s="412"/>
      <c r="G1874" s="334"/>
      <c r="H1874" s="334"/>
      <c r="I1874" s="399"/>
      <c r="J1874" s="377"/>
      <c r="K1874" s="382"/>
      <c r="L1874" s="380"/>
      <c r="M1874" s="380"/>
      <c r="N1874" s="380"/>
      <c r="O1874" s="380"/>
      <c r="P1874" s="380"/>
      <c r="Q1874" s="380"/>
    </row>
    <row r="1875" spans="1:17" x14ac:dyDescent="0.2">
      <c r="A1875" s="334" t="s">
        <v>1575</v>
      </c>
      <c r="B1875" s="380"/>
      <c r="C1875" s="334" t="s">
        <v>1889</v>
      </c>
      <c r="D1875" s="379"/>
      <c r="E1875" s="384"/>
      <c r="F1875" s="412"/>
      <c r="G1875" s="334"/>
      <c r="H1875" s="334"/>
      <c r="I1875" s="399"/>
      <c r="J1875" s="377"/>
      <c r="K1875" s="382"/>
      <c r="L1875" s="380"/>
      <c r="M1875" s="380"/>
      <c r="N1875" s="380"/>
      <c r="O1875" s="380"/>
      <c r="P1875" s="380"/>
      <c r="Q1875" s="380"/>
    </row>
    <row r="1876" spans="1:17" x14ac:dyDescent="0.2">
      <c r="A1876" s="334" t="s">
        <v>1725</v>
      </c>
      <c r="B1876" s="380"/>
      <c r="C1876" s="334" t="s">
        <v>1890</v>
      </c>
      <c r="D1876" s="379">
        <v>500</v>
      </c>
      <c r="E1876" s="384"/>
      <c r="F1876" s="412"/>
      <c r="G1876" s="334"/>
      <c r="H1876" s="334"/>
      <c r="I1876" s="399"/>
      <c r="J1876" s="377">
        <v>500</v>
      </c>
      <c r="K1876" s="382"/>
      <c r="L1876" s="380"/>
      <c r="M1876" s="380"/>
      <c r="N1876" s="380"/>
      <c r="O1876" s="380"/>
      <c r="P1876" s="380"/>
      <c r="Q1876" s="380"/>
    </row>
    <row r="1877" spans="1:17" x14ac:dyDescent="0.2">
      <c r="A1877" s="384" t="s">
        <v>1745</v>
      </c>
      <c r="B1877" s="380"/>
      <c r="C1877" s="334" t="s">
        <v>1887</v>
      </c>
      <c r="D1877" s="379"/>
      <c r="E1877" s="384"/>
      <c r="F1877" s="412"/>
      <c r="G1877" s="334"/>
      <c r="H1877" s="334"/>
      <c r="I1877" s="399"/>
      <c r="J1877" s="377"/>
      <c r="K1877" s="382"/>
      <c r="L1877" s="380"/>
      <c r="M1877" s="380"/>
      <c r="N1877" s="380"/>
      <c r="O1877" s="380"/>
      <c r="P1877" s="380"/>
      <c r="Q1877" s="380"/>
    </row>
    <row r="1878" spans="1:17" x14ac:dyDescent="0.2">
      <c r="A1878" s="334" t="s">
        <v>1737</v>
      </c>
      <c r="B1878" s="380"/>
      <c r="C1878" s="334" t="s">
        <v>1984</v>
      </c>
      <c r="D1878" s="379"/>
      <c r="E1878" s="384"/>
      <c r="F1878" s="412"/>
      <c r="G1878" s="334"/>
      <c r="H1878" s="334"/>
      <c r="I1878" s="399"/>
      <c r="J1878" s="377"/>
      <c r="K1878" s="382"/>
      <c r="L1878" s="380"/>
      <c r="M1878" s="380"/>
      <c r="N1878" s="380"/>
      <c r="O1878" s="380"/>
      <c r="P1878" s="380"/>
      <c r="Q1878" s="380"/>
    </row>
    <row r="1879" spans="1:17" x14ac:dyDescent="0.2">
      <c r="A1879" s="334" t="s">
        <v>1726</v>
      </c>
      <c r="B1879" s="380"/>
      <c r="C1879" s="334" t="s">
        <v>1117</v>
      </c>
      <c r="D1879" s="379"/>
      <c r="E1879" s="384"/>
      <c r="F1879" s="412"/>
      <c r="G1879" s="334"/>
      <c r="H1879" s="334"/>
      <c r="I1879" s="399"/>
      <c r="J1879" s="377"/>
      <c r="K1879" s="382"/>
      <c r="L1879" s="380"/>
      <c r="M1879" s="380"/>
      <c r="N1879" s="380"/>
      <c r="O1879" s="380"/>
      <c r="P1879" s="380"/>
      <c r="Q1879" s="380"/>
    </row>
    <row r="1880" spans="1:17" x14ac:dyDescent="0.2">
      <c r="A1880" s="334" t="s">
        <v>1760</v>
      </c>
      <c r="B1880" s="380"/>
      <c r="C1880" s="334" t="s">
        <v>40</v>
      </c>
      <c r="D1880" s="379">
        <v>10000</v>
      </c>
      <c r="E1880" s="384"/>
      <c r="F1880" s="412"/>
      <c r="G1880" s="334"/>
      <c r="H1880" s="334"/>
      <c r="I1880" s="399"/>
      <c r="J1880" s="377">
        <v>10000</v>
      </c>
      <c r="K1880" s="382"/>
      <c r="L1880" s="380"/>
      <c r="M1880" s="380"/>
      <c r="N1880" s="380"/>
      <c r="O1880" s="380"/>
      <c r="P1880" s="380"/>
      <c r="Q1880" s="380"/>
    </row>
    <row r="1881" spans="1:17" x14ac:dyDescent="0.2">
      <c r="A1881" s="334" t="s">
        <v>1577</v>
      </c>
      <c r="B1881" s="380"/>
      <c r="C1881" s="334" t="s">
        <v>1815</v>
      </c>
      <c r="D1881" s="379"/>
      <c r="E1881" s="384"/>
      <c r="F1881" s="412"/>
      <c r="G1881" s="334"/>
      <c r="H1881" s="334"/>
      <c r="I1881" s="399"/>
      <c r="J1881" s="377"/>
      <c r="K1881" s="382"/>
      <c r="L1881" s="380"/>
      <c r="M1881" s="380"/>
      <c r="N1881" s="380"/>
      <c r="O1881" s="380"/>
      <c r="P1881" s="380"/>
      <c r="Q1881" s="380"/>
    </row>
    <row r="1882" spans="1:17" x14ac:dyDescent="0.2">
      <c r="A1882" s="334" t="s">
        <v>1734</v>
      </c>
      <c r="B1882" s="380"/>
      <c r="C1882" s="334" t="s">
        <v>1746</v>
      </c>
      <c r="D1882" s="379"/>
      <c r="E1882" s="384"/>
      <c r="F1882" s="412"/>
      <c r="G1882" s="334"/>
      <c r="H1882" s="334"/>
      <c r="I1882" s="399"/>
      <c r="J1882" s="377"/>
      <c r="K1882" s="382"/>
      <c r="L1882" s="380"/>
      <c r="M1882" s="380"/>
      <c r="N1882" s="380"/>
      <c r="O1882" s="380"/>
      <c r="P1882" s="380"/>
      <c r="Q1882" s="380"/>
    </row>
    <row r="1883" spans="1:17" x14ac:dyDescent="0.2">
      <c r="A1883" s="334" t="s">
        <v>1571</v>
      </c>
      <c r="B1883" s="380"/>
      <c r="C1883" s="334" t="s">
        <v>3</v>
      </c>
      <c r="D1883" s="379"/>
      <c r="E1883" s="384"/>
      <c r="F1883" s="412"/>
      <c r="G1883" s="334"/>
      <c r="H1883" s="334"/>
      <c r="I1883" s="399"/>
      <c r="J1883" s="377"/>
      <c r="K1883" s="382"/>
      <c r="L1883" s="380"/>
      <c r="M1883" s="380"/>
      <c r="N1883" s="380"/>
      <c r="O1883" s="380"/>
      <c r="P1883" s="380"/>
      <c r="Q1883" s="380"/>
    </row>
    <row r="1884" spans="1:17" x14ac:dyDescent="0.2">
      <c r="A1884" s="384" t="s">
        <v>1578</v>
      </c>
      <c r="B1884" s="380"/>
      <c r="C1884" s="334" t="s">
        <v>22</v>
      </c>
      <c r="D1884" s="379"/>
      <c r="E1884" s="384"/>
      <c r="F1884" s="412"/>
      <c r="G1884" s="334"/>
      <c r="H1884" s="334"/>
      <c r="I1884" s="399"/>
      <c r="J1884" s="377"/>
      <c r="K1884" s="382"/>
      <c r="L1884" s="380"/>
      <c r="M1884" s="380"/>
      <c r="N1884" s="380"/>
      <c r="O1884" s="380"/>
      <c r="P1884" s="380"/>
      <c r="Q1884" s="380"/>
    </row>
    <row r="1885" spans="1:17" x14ac:dyDescent="0.2">
      <c r="A1885" s="334" t="s">
        <v>1738</v>
      </c>
      <c r="B1885" s="380"/>
      <c r="C1885" s="334" t="s">
        <v>1591</v>
      </c>
      <c r="D1885" s="379">
        <v>250</v>
      </c>
      <c r="E1885" s="384"/>
      <c r="F1885" s="412"/>
      <c r="G1885" s="334"/>
      <c r="H1885" s="334"/>
      <c r="I1885" s="399"/>
      <c r="J1885" s="377">
        <v>250</v>
      </c>
      <c r="K1885" s="382"/>
      <c r="L1885" s="380"/>
      <c r="M1885" s="380"/>
      <c r="N1885" s="380"/>
      <c r="O1885" s="380"/>
      <c r="P1885" s="380"/>
      <c r="Q1885" s="380"/>
    </row>
    <row r="1886" spans="1:17" x14ac:dyDescent="0.2">
      <c r="A1886" s="334" t="s">
        <v>1727</v>
      </c>
      <c r="B1886" s="380"/>
      <c r="C1886" s="334" t="s">
        <v>307</v>
      </c>
      <c r="D1886" s="379">
        <v>250</v>
      </c>
      <c r="E1886" s="384"/>
      <c r="F1886" s="412"/>
      <c r="G1886" s="334"/>
      <c r="H1886" s="334"/>
      <c r="I1886" s="399"/>
      <c r="J1886" s="377">
        <v>250</v>
      </c>
      <c r="K1886" s="382"/>
      <c r="L1886" s="380"/>
      <c r="M1886" s="380"/>
      <c r="N1886" s="380"/>
      <c r="O1886" s="380"/>
      <c r="P1886" s="380"/>
      <c r="Q1886" s="380"/>
    </row>
    <row r="1887" spans="1:17" x14ac:dyDescent="0.2">
      <c r="A1887" s="334" t="s">
        <v>1728</v>
      </c>
      <c r="B1887" s="380"/>
      <c r="C1887" s="334" t="s">
        <v>310</v>
      </c>
      <c r="D1887" s="379">
        <v>250</v>
      </c>
      <c r="E1887" s="384"/>
      <c r="F1887" s="412"/>
      <c r="G1887" s="334"/>
      <c r="H1887" s="334"/>
      <c r="I1887" s="399"/>
      <c r="J1887" s="377">
        <v>250</v>
      </c>
      <c r="K1887" s="382"/>
      <c r="L1887" s="380"/>
      <c r="M1887" s="380"/>
      <c r="N1887" s="380"/>
      <c r="O1887" s="380"/>
      <c r="P1887" s="380"/>
      <c r="Q1887" s="380"/>
    </row>
    <row r="1888" spans="1:17" x14ac:dyDescent="0.2">
      <c r="A1888" s="334" t="s">
        <v>1729</v>
      </c>
      <c r="B1888" s="380"/>
      <c r="C1888" s="380" t="s">
        <v>1551</v>
      </c>
      <c r="D1888" s="379">
        <v>-7370</v>
      </c>
      <c r="E1888" s="384"/>
      <c r="F1888" s="412"/>
      <c r="G1888" s="334"/>
      <c r="H1888" s="334"/>
      <c r="I1888" s="399"/>
      <c r="J1888" s="377">
        <v>50</v>
      </c>
      <c r="K1888" s="382"/>
      <c r="L1888" s="380"/>
      <c r="M1888" s="380"/>
      <c r="N1888" s="380"/>
      <c r="O1888" s="380"/>
      <c r="P1888" s="380"/>
      <c r="Q1888" s="380"/>
    </row>
    <row r="1889" spans="1:17" x14ac:dyDescent="0.2">
      <c r="A1889" s="334" t="s">
        <v>1735</v>
      </c>
      <c r="B1889" s="380"/>
      <c r="C1889" s="380" t="s">
        <v>194</v>
      </c>
      <c r="D1889" s="379">
        <v>50</v>
      </c>
      <c r="E1889" s="384"/>
      <c r="F1889" s="412"/>
      <c r="G1889" s="334"/>
      <c r="H1889" s="334"/>
      <c r="I1889" s="399"/>
      <c r="J1889" s="377">
        <v>50</v>
      </c>
      <c r="K1889" s="382"/>
      <c r="L1889" s="380"/>
      <c r="M1889" s="380"/>
      <c r="N1889" s="380"/>
      <c r="O1889" s="380"/>
      <c r="P1889" s="380"/>
      <c r="Q1889" s="380"/>
    </row>
    <row r="1890" spans="1:17" x14ac:dyDescent="0.2">
      <c r="A1890" s="334" t="s">
        <v>1580</v>
      </c>
      <c r="B1890" s="380"/>
      <c r="C1890" s="334" t="s">
        <v>1936</v>
      </c>
      <c r="D1890" s="379"/>
      <c r="E1890" s="384"/>
      <c r="F1890" s="412"/>
      <c r="G1890" s="334"/>
      <c r="H1890" s="334"/>
      <c r="I1890" s="399"/>
      <c r="J1890" s="377"/>
      <c r="K1890" s="382"/>
      <c r="L1890" s="380"/>
      <c r="M1890" s="380"/>
      <c r="N1890" s="380"/>
      <c r="O1890" s="380"/>
      <c r="P1890" s="380"/>
      <c r="Q1890" s="380"/>
    </row>
    <row r="1891" spans="1:17" x14ac:dyDescent="0.2">
      <c r="A1891" s="334" t="s">
        <v>1572</v>
      </c>
      <c r="B1891" s="380"/>
      <c r="C1891" s="334" t="s">
        <v>3134</v>
      </c>
      <c r="D1891" s="379"/>
      <c r="E1891" s="384"/>
      <c r="F1891" s="412"/>
      <c r="G1891" s="334"/>
      <c r="H1891" s="334"/>
      <c r="I1891" s="399"/>
      <c r="J1891" s="377"/>
      <c r="K1891" s="382"/>
      <c r="L1891" s="380"/>
      <c r="M1891" s="380"/>
      <c r="N1891" s="380"/>
      <c r="O1891" s="380"/>
      <c r="P1891" s="380"/>
      <c r="Q1891" s="380"/>
    </row>
    <row r="1892" spans="1:17" x14ac:dyDescent="0.2">
      <c r="A1892" s="334" t="s">
        <v>1730</v>
      </c>
      <c r="B1892" s="380"/>
      <c r="C1892" s="334" t="s">
        <v>1985</v>
      </c>
      <c r="D1892" s="379">
        <v>4000</v>
      </c>
      <c r="E1892" s="384"/>
      <c r="F1892" s="412"/>
      <c r="G1892" s="334"/>
      <c r="H1892" s="334"/>
      <c r="I1892" s="399"/>
      <c r="J1892" s="377">
        <v>4000</v>
      </c>
      <c r="K1892" s="382"/>
      <c r="L1892" s="380"/>
      <c r="M1892" s="380"/>
      <c r="N1892" s="380"/>
      <c r="O1892" s="380"/>
      <c r="P1892" s="380"/>
      <c r="Q1892" s="380"/>
    </row>
    <row r="1893" spans="1:17" x14ac:dyDescent="0.2">
      <c r="A1893" s="334" t="s">
        <v>1566</v>
      </c>
      <c r="B1893" s="380"/>
      <c r="C1893" s="334" t="s">
        <v>366</v>
      </c>
      <c r="D1893" s="379">
        <v>6000</v>
      </c>
      <c r="E1893" s="384"/>
      <c r="F1893" s="412"/>
      <c r="G1893" s="334"/>
      <c r="H1893" s="334"/>
      <c r="I1893" s="399"/>
      <c r="J1893" s="377">
        <v>6000</v>
      </c>
      <c r="K1893" s="382"/>
      <c r="L1893" s="380"/>
      <c r="M1893" s="380"/>
      <c r="N1893" s="380"/>
      <c r="O1893" s="380"/>
      <c r="P1893" s="380"/>
      <c r="Q1893" s="380"/>
    </row>
    <row r="1894" spans="1:17" x14ac:dyDescent="0.2">
      <c r="A1894" s="334" t="s">
        <v>1755</v>
      </c>
      <c r="B1894" s="380"/>
      <c r="C1894" s="380" t="s">
        <v>1986</v>
      </c>
      <c r="D1894" s="379"/>
      <c r="E1894" s="384"/>
      <c r="F1894" s="412"/>
      <c r="G1894" s="334"/>
      <c r="H1894" s="334"/>
      <c r="I1894" s="399"/>
      <c r="J1894" s="377"/>
      <c r="K1894" s="382"/>
      <c r="L1894" s="380"/>
      <c r="M1894" s="380"/>
      <c r="N1894" s="380"/>
      <c r="O1894" s="380"/>
      <c r="P1894" s="380"/>
      <c r="Q1894" s="380"/>
    </row>
    <row r="1895" spans="1:17" x14ac:dyDescent="0.2">
      <c r="A1895" s="384" t="s">
        <v>1962</v>
      </c>
      <c r="B1895" s="380"/>
      <c r="C1895" s="380" t="s">
        <v>572</v>
      </c>
      <c r="D1895" s="379"/>
      <c r="E1895" s="384"/>
      <c r="F1895" s="412"/>
      <c r="G1895" s="334"/>
      <c r="H1895" s="334"/>
      <c r="I1895" s="399"/>
      <c r="J1895" s="377"/>
      <c r="K1895" s="382"/>
      <c r="L1895" s="380"/>
      <c r="M1895" s="380"/>
      <c r="N1895" s="380"/>
      <c r="O1895" s="380"/>
      <c r="P1895" s="380"/>
      <c r="Q1895" s="380"/>
    </row>
    <row r="1896" spans="1:17" x14ac:dyDescent="0.2">
      <c r="A1896" s="384" t="s">
        <v>1569</v>
      </c>
      <c r="B1896" s="380"/>
      <c r="C1896" s="334" t="s">
        <v>1888</v>
      </c>
      <c r="D1896" s="379"/>
      <c r="E1896" s="384"/>
      <c r="F1896" s="412"/>
      <c r="G1896" s="334"/>
      <c r="H1896" s="334"/>
      <c r="I1896" s="399"/>
      <c r="J1896" s="377"/>
      <c r="K1896" s="382"/>
      <c r="L1896" s="380"/>
      <c r="M1896" s="380"/>
      <c r="N1896" s="380"/>
      <c r="O1896" s="380"/>
      <c r="P1896" s="380"/>
      <c r="Q1896" s="380"/>
    </row>
    <row r="1897" spans="1:17" x14ac:dyDescent="0.2">
      <c r="A1897" s="384" t="s">
        <v>1743</v>
      </c>
      <c r="B1897" s="380"/>
      <c r="C1897" s="334" t="s">
        <v>1886</v>
      </c>
      <c r="D1897" s="379">
        <v>12500</v>
      </c>
      <c r="E1897" s="384"/>
      <c r="F1897" s="412"/>
      <c r="G1897" s="334"/>
      <c r="H1897" s="334"/>
      <c r="I1897" s="399"/>
      <c r="J1897" s="377">
        <v>12500</v>
      </c>
      <c r="K1897" s="382"/>
      <c r="L1897" s="380"/>
      <c r="M1897" s="380"/>
      <c r="N1897" s="380"/>
      <c r="O1897" s="380"/>
      <c r="P1897" s="380"/>
      <c r="Q1897" s="380"/>
    </row>
    <row r="1898" spans="1:17" x14ac:dyDescent="0.2">
      <c r="A1898" s="384"/>
      <c r="B1898" s="380"/>
      <c r="C1898" s="334"/>
      <c r="D1898" s="436"/>
      <c r="E1898" s="334"/>
      <c r="F1898" s="412"/>
      <c r="G1898" s="334"/>
      <c r="H1898" s="334"/>
      <c r="I1898" s="399"/>
      <c r="J1898" s="437"/>
      <c r="K1898" s="382"/>
      <c r="L1898" s="380"/>
      <c r="M1898" s="380"/>
      <c r="N1898" s="380"/>
      <c r="O1898" s="380"/>
      <c r="P1898" s="380"/>
      <c r="Q1898" s="380"/>
    </row>
    <row r="1899" spans="1:17" ht="15.75" thickBot="1" x14ac:dyDescent="0.25">
      <c r="A1899" s="334"/>
      <c r="B1899" s="380"/>
      <c r="C1899" s="334"/>
      <c r="D1899" s="438">
        <f>SUM(D1871:D1898)</f>
        <v>29480</v>
      </c>
      <c r="E1899" s="334"/>
      <c r="F1899" s="412"/>
      <c r="G1899" s="334"/>
      <c r="H1899" s="334"/>
      <c r="I1899" s="385"/>
      <c r="J1899" s="411">
        <f>SUM(J1871:J1898)</f>
        <v>36850</v>
      </c>
      <c r="K1899" s="382"/>
      <c r="L1899" s="380"/>
      <c r="M1899" s="380"/>
      <c r="N1899" s="380"/>
      <c r="O1899" s="380"/>
      <c r="P1899" s="380"/>
      <c r="Q1899" s="380"/>
    </row>
    <row r="1900" spans="1:17" ht="15" customHeight="1" thickTop="1" x14ac:dyDescent="0.2">
      <c r="A1900" s="334" t="s">
        <v>342</v>
      </c>
      <c r="B1900" s="377"/>
      <c r="C1900" s="334" t="s">
        <v>342</v>
      </c>
      <c r="D1900" s="334" t="s">
        <v>342</v>
      </c>
      <c r="E1900" s="334" t="s">
        <v>342</v>
      </c>
      <c r="F1900" s="412" t="s">
        <v>342</v>
      </c>
      <c r="G1900" s="334"/>
      <c r="H1900" s="334" t="s">
        <v>342</v>
      </c>
      <c r="I1900" s="385"/>
      <c r="J1900" s="334" t="s">
        <v>342</v>
      </c>
      <c r="K1900" s="382"/>
      <c r="L1900" s="380"/>
      <c r="M1900" s="380"/>
      <c r="N1900" s="380"/>
      <c r="O1900" s="380"/>
      <c r="P1900" s="380"/>
      <c r="Q1900" s="380"/>
    </row>
    <row r="1901" spans="1:17" x14ac:dyDescent="0.2">
      <c r="A1901" s="334" t="s">
        <v>342</v>
      </c>
      <c r="B1901" s="380"/>
      <c r="C1901" s="334" t="s">
        <v>342</v>
      </c>
      <c r="D1901" s="334" t="s">
        <v>342</v>
      </c>
      <c r="E1901" s="334" t="s">
        <v>342</v>
      </c>
      <c r="F1901" s="412" t="s">
        <v>342</v>
      </c>
      <c r="G1901" s="334"/>
      <c r="H1901" s="334" t="s">
        <v>342</v>
      </c>
      <c r="I1901" s="385"/>
      <c r="J1901" s="334" t="s">
        <v>342</v>
      </c>
      <c r="K1901" s="382"/>
      <c r="L1901" s="380"/>
      <c r="M1901" s="380"/>
      <c r="N1901" s="380"/>
      <c r="O1901" s="380"/>
      <c r="P1901" s="380"/>
      <c r="Q1901" s="380"/>
    </row>
    <row r="1902" spans="1:17" x14ac:dyDescent="0.2">
      <c r="A1902" s="334" t="s">
        <v>1800</v>
      </c>
      <c r="B1902" s="380"/>
      <c r="C1902" s="380"/>
      <c r="D1902" s="380"/>
      <c r="E1902" s="380"/>
      <c r="F1902" s="412" t="s">
        <v>342</v>
      </c>
      <c r="G1902" s="334"/>
      <c r="H1902" s="334" t="s">
        <v>342</v>
      </c>
      <c r="I1902" s="382"/>
      <c r="J1902" s="380"/>
      <c r="K1902" s="382"/>
      <c r="L1902" s="380"/>
      <c r="M1902" s="380"/>
      <c r="N1902" s="380"/>
      <c r="O1902" s="380"/>
      <c r="P1902" s="380"/>
      <c r="Q1902" s="380"/>
    </row>
    <row r="1903" spans="1:17" x14ac:dyDescent="0.2">
      <c r="A1903" s="334" t="s">
        <v>342</v>
      </c>
      <c r="B1903" s="380"/>
      <c r="C1903" s="384" t="s">
        <v>2131</v>
      </c>
      <c r="D1903" s="380"/>
      <c r="E1903" s="384"/>
      <c r="F1903" s="412" t="s">
        <v>342</v>
      </c>
      <c r="G1903" s="334"/>
      <c r="H1903" s="334" t="s">
        <v>342</v>
      </c>
      <c r="I1903" s="382"/>
      <c r="J1903" s="380"/>
      <c r="K1903" s="382"/>
      <c r="L1903" s="380"/>
      <c r="M1903" s="380"/>
      <c r="N1903" s="380"/>
      <c r="O1903" s="380"/>
      <c r="P1903" s="380"/>
      <c r="Q1903" s="380"/>
    </row>
    <row r="1904" spans="1:17" x14ac:dyDescent="0.2">
      <c r="A1904" s="334" t="s">
        <v>342</v>
      </c>
      <c r="B1904" s="380"/>
      <c r="C1904" s="334" t="s">
        <v>342</v>
      </c>
      <c r="D1904" s="334" t="s">
        <v>342</v>
      </c>
      <c r="E1904" s="334"/>
      <c r="F1904" s="412" t="s">
        <v>342</v>
      </c>
      <c r="G1904" s="334"/>
      <c r="H1904" s="334" t="s">
        <v>342</v>
      </c>
      <c r="I1904" s="385"/>
      <c r="J1904" s="334" t="s">
        <v>342</v>
      </c>
      <c r="K1904" s="382"/>
      <c r="L1904" s="380"/>
      <c r="M1904" s="380"/>
      <c r="N1904" s="380"/>
      <c r="O1904" s="380"/>
      <c r="P1904" s="380"/>
      <c r="Q1904" s="380"/>
    </row>
    <row r="1905" spans="1:17" x14ac:dyDescent="0.2">
      <c r="A1905" s="334" t="s">
        <v>1723</v>
      </c>
      <c r="B1905" s="380"/>
      <c r="C1905" s="334" t="s">
        <v>1880</v>
      </c>
      <c r="D1905" s="334" t="s">
        <v>181</v>
      </c>
      <c r="E1905" s="334"/>
      <c r="F1905" s="412" t="s">
        <v>342</v>
      </c>
      <c r="G1905" s="334"/>
      <c r="H1905" s="334" t="s">
        <v>342</v>
      </c>
      <c r="I1905" s="385"/>
      <c r="J1905" s="334" t="s">
        <v>181</v>
      </c>
      <c r="K1905" s="382"/>
      <c r="L1905" s="380"/>
      <c r="M1905" s="380"/>
      <c r="N1905" s="380"/>
      <c r="O1905" s="380"/>
      <c r="P1905" s="380"/>
      <c r="Q1905" s="380"/>
    </row>
    <row r="1906" spans="1:17" x14ac:dyDescent="0.2">
      <c r="A1906" s="334" t="s">
        <v>342</v>
      </c>
      <c r="B1906" s="380"/>
      <c r="C1906" s="334" t="s">
        <v>342</v>
      </c>
      <c r="D1906" s="334" t="s">
        <v>342</v>
      </c>
      <c r="E1906" s="334"/>
      <c r="F1906" s="412" t="s">
        <v>342</v>
      </c>
      <c r="G1906" s="334"/>
      <c r="H1906" s="334" t="s">
        <v>342</v>
      </c>
      <c r="I1906" s="385"/>
      <c r="J1906" s="334" t="s">
        <v>342</v>
      </c>
      <c r="K1906" s="382"/>
      <c r="L1906" s="380"/>
      <c r="M1906" s="380"/>
      <c r="N1906" s="380"/>
      <c r="O1906" s="380"/>
      <c r="P1906" s="380"/>
      <c r="Q1906" s="380"/>
    </row>
    <row r="1907" spans="1:17" x14ac:dyDescent="0.2">
      <c r="A1907" s="334" t="s">
        <v>1724</v>
      </c>
      <c r="B1907" s="380"/>
      <c r="C1907" s="334" t="s">
        <v>1881</v>
      </c>
      <c r="D1907" s="377"/>
      <c r="E1907" s="384"/>
      <c r="F1907" s="412" t="s">
        <v>342</v>
      </c>
      <c r="G1907" s="334"/>
      <c r="H1907" s="334" t="s">
        <v>342</v>
      </c>
      <c r="I1907" s="399"/>
      <c r="J1907" s="377"/>
      <c r="K1907" s="382"/>
      <c r="L1907" s="380"/>
      <c r="M1907" s="380"/>
      <c r="N1907" s="380"/>
      <c r="O1907" s="380"/>
      <c r="P1907" s="380"/>
      <c r="Q1907" s="380"/>
    </row>
    <row r="1908" spans="1:17" x14ac:dyDescent="0.2">
      <c r="A1908" s="334" t="s">
        <v>1736</v>
      </c>
      <c r="B1908" s="380"/>
      <c r="C1908" s="334" t="s">
        <v>1747</v>
      </c>
      <c r="D1908" s="377"/>
      <c r="E1908" s="384"/>
      <c r="F1908" s="412" t="s">
        <v>342</v>
      </c>
      <c r="G1908" s="334"/>
      <c r="H1908" s="334" t="s">
        <v>342</v>
      </c>
      <c r="I1908" s="399"/>
      <c r="J1908" s="377"/>
      <c r="K1908" s="382"/>
      <c r="L1908" s="380"/>
      <c r="M1908" s="380"/>
      <c r="N1908" s="380"/>
      <c r="O1908" s="380"/>
      <c r="P1908" s="380"/>
      <c r="Q1908" s="380"/>
    </row>
    <row r="1909" spans="1:17" x14ac:dyDescent="0.2">
      <c r="A1909" s="334" t="s">
        <v>1744</v>
      </c>
      <c r="B1909" s="380"/>
      <c r="C1909" s="334" t="s">
        <v>1254</v>
      </c>
      <c r="D1909" s="377"/>
      <c r="E1909" s="384"/>
      <c r="F1909" s="412" t="s">
        <v>342</v>
      </c>
      <c r="G1909" s="334"/>
      <c r="H1909" s="334" t="s">
        <v>342</v>
      </c>
      <c r="I1909" s="399"/>
      <c r="J1909" s="377"/>
      <c r="K1909" s="382"/>
      <c r="L1909" s="380"/>
      <c r="M1909" s="380"/>
      <c r="N1909" s="380"/>
      <c r="O1909" s="380"/>
      <c r="P1909" s="380"/>
      <c r="Q1909" s="380"/>
    </row>
    <row r="1910" spans="1:17" x14ac:dyDescent="0.2">
      <c r="A1910" s="334" t="s">
        <v>1582</v>
      </c>
      <c r="B1910" s="380"/>
      <c r="C1910" s="334" t="s">
        <v>3135</v>
      </c>
      <c r="D1910" s="377"/>
      <c r="E1910" s="384"/>
      <c r="F1910" s="412" t="s">
        <v>342</v>
      </c>
      <c r="G1910" s="334"/>
      <c r="H1910" s="334" t="s">
        <v>342</v>
      </c>
      <c r="I1910" s="399"/>
      <c r="J1910" s="377"/>
      <c r="K1910" s="382"/>
      <c r="L1910" s="380"/>
      <c r="M1910" s="380"/>
      <c r="N1910" s="380"/>
      <c r="O1910" s="380"/>
      <c r="P1910" s="380"/>
      <c r="Q1910" s="380"/>
    </row>
    <row r="1911" spans="1:17" x14ac:dyDescent="0.2">
      <c r="A1911" s="334" t="s">
        <v>1575</v>
      </c>
      <c r="B1911" s="380"/>
      <c r="C1911" s="334" t="s">
        <v>1889</v>
      </c>
      <c r="D1911" s="377"/>
      <c r="E1911" s="384"/>
      <c r="F1911" s="412" t="s">
        <v>342</v>
      </c>
      <c r="G1911" s="334"/>
      <c r="H1911" s="334" t="s">
        <v>342</v>
      </c>
      <c r="I1911" s="399"/>
      <c r="J1911" s="377"/>
      <c r="K1911" s="382"/>
      <c r="L1911" s="380"/>
      <c r="M1911" s="380"/>
      <c r="N1911" s="380"/>
      <c r="O1911" s="380"/>
      <c r="P1911" s="380"/>
      <c r="Q1911" s="380"/>
    </row>
    <row r="1912" spans="1:17" x14ac:dyDescent="0.2">
      <c r="A1912" s="334" t="s">
        <v>1725</v>
      </c>
      <c r="B1912" s="380"/>
      <c r="C1912" s="334" t="s">
        <v>1890</v>
      </c>
      <c r="D1912" s="377"/>
      <c r="E1912" s="384"/>
      <c r="F1912" s="412" t="s">
        <v>342</v>
      </c>
      <c r="G1912" s="334"/>
      <c r="H1912" s="334" t="s">
        <v>342</v>
      </c>
      <c r="I1912" s="399"/>
      <c r="J1912" s="377"/>
      <c r="K1912" s="382"/>
      <c r="L1912" s="380"/>
      <c r="M1912" s="380"/>
      <c r="N1912" s="380"/>
      <c r="O1912" s="380"/>
      <c r="P1912" s="380"/>
      <c r="Q1912" s="380"/>
    </row>
    <row r="1913" spans="1:17" x14ac:dyDescent="0.2">
      <c r="A1913" s="384" t="s">
        <v>1745</v>
      </c>
      <c r="B1913" s="380"/>
      <c r="C1913" s="334" t="s">
        <v>1887</v>
      </c>
      <c r="D1913" s="377"/>
      <c r="E1913" s="384"/>
      <c r="F1913" s="412"/>
      <c r="G1913" s="334"/>
      <c r="H1913" s="334"/>
      <c r="I1913" s="399"/>
      <c r="J1913" s="377"/>
      <c r="K1913" s="382"/>
      <c r="L1913" s="380"/>
      <c r="M1913" s="380"/>
      <c r="N1913" s="380"/>
      <c r="O1913" s="380"/>
      <c r="P1913" s="380"/>
      <c r="Q1913" s="380"/>
    </row>
    <row r="1914" spans="1:17" x14ac:dyDescent="0.2">
      <c r="A1914" s="334" t="s">
        <v>1737</v>
      </c>
      <c r="B1914" s="380"/>
      <c r="C1914" s="334" t="s">
        <v>1984</v>
      </c>
      <c r="D1914" s="377"/>
      <c r="E1914" s="384"/>
      <c r="F1914" s="412" t="s">
        <v>342</v>
      </c>
      <c r="G1914" s="334"/>
      <c r="H1914" s="334" t="s">
        <v>342</v>
      </c>
      <c r="I1914" s="399"/>
      <c r="J1914" s="377"/>
      <c r="K1914" s="382"/>
      <c r="L1914" s="380"/>
      <c r="M1914" s="380"/>
      <c r="N1914" s="380"/>
      <c r="O1914" s="380"/>
      <c r="P1914" s="380"/>
      <c r="Q1914" s="380"/>
    </row>
    <row r="1915" spans="1:17" x14ac:dyDescent="0.2">
      <c r="A1915" s="334" t="s">
        <v>1726</v>
      </c>
      <c r="B1915" s="380"/>
      <c r="C1915" s="334" t="s">
        <v>1117</v>
      </c>
      <c r="D1915" s="377"/>
      <c r="E1915" s="384"/>
      <c r="F1915" s="412" t="s">
        <v>342</v>
      </c>
      <c r="G1915" s="334"/>
      <c r="H1915" s="334" t="s">
        <v>342</v>
      </c>
      <c r="I1915" s="399"/>
      <c r="J1915" s="377"/>
      <c r="K1915" s="382"/>
      <c r="L1915" s="380"/>
      <c r="M1915" s="380"/>
      <c r="N1915" s="380"/>
      <c r="O1915" s="380"/>
      <c r="P1915" s="380"/>
      <c r="Q1915" s="380"/>
    </row>
    <row r="1916" spans="1:17" x14ac:dyDescent="0.2">
      <c r="A1916" s="334" t="s">
        <v>1577</v>
      </c>
      <c r="B1916" s="380"/>
      <c r="C1916" s="334" t="s">
        <v>1815</v>
      </c>
      <c r="D1916" s="377"/>
      <c r="E1916" s="384"/>
      <c r="F1916" s="412"/>
      <c r="G1916" s="334"/>
      <c r="H1916" s="334"/>
      <c r="I1916" s="399"/>
      <c r="J1916" s="377"/>
      <c r="K1916" s="382"/>
      <c r="L1916" s="380"/>
      <c r="M1916" s="380"/>
      <c r="N1916" s="380"/>
      <c r="O1916" s="380"/>
      <c r="P1916" s="380"/>
      <c r="Q1916" s="380"/>
    </row>
    <row r="1917" spans="1:17" x14ac:dyDescent="0.2">
      <c r="A1917" s="334" t="s">
        <v>1734</v>
      </c>
      <c r="B1917" s="380"/>
      <c r="C1917" s="334" t="s">
        <v>1746</v>
      </c>
      <c r="D1917" s="377"/>
      <c r="E1917" s="384"/>
      <c r="F1917" s="412" t="s">
        <v>342</v>
      </c>
      <c r="G1917" s="334"/>
      <c r="H1917" s="334" t="s">
        <v>342</v>
      </c>
      <c r="I1917" s="399"/>
      <c r="J1917" s="377"/>
      <c r="K1917" s="382"/>
      <c r="L1917" s="380"/>
      <c r="M1917" s="380"/>
      <c r="N1917" s="380"/>
      <c r="O1917" s="380"/>
      <c r="P1917" s="380"/>
      <c r="Q1917" s="380"/>
    </row>
    <row r="1918" spans="1:17" x14ac:dyDescent="0.2">
      <c r="A1918" s="334" t="s">
        <v>1571</v>
      </c>
      <c r="B1918" s="380"/>
      <c r="C1918" s="334" t="s">
        <v>3</v>
      </c>
      <c r="D1918" s="377"/>
      <c r="E1918" s="384"/>
      <c r="F1918" s="412" t="s">
        <v>342</v>
      </c>
      <c r="G1918" s="334"/>
      <c r="H1918" s="334" t="s">
        <v>342</v>
      </c>
      <c r="I1918" s="399"/>
      <c r="J1918" s="377"/>
      <c r="K1918" s="382"/>
      <c r="L1918" s="380"/>
      <c r="M1918" s="380"/>
      <c r="N1918" s="380"/>
      <c r="O1918" s="380"/>
      <c r="P1918" s="380"/>
      <c r="Q1918" s="380"/>
    </row>
    <row r="1919" spans="1:17" x14ac:dyDescent="0.2">
      <c r="A1919" s="384" t="s">
        <v>1578</v>
      </c>
      <c r="B1919" s="380"/>
      <c r="C1919" s="334" t="s">
        <v>22</v>
      </c>
      <c r="D1919" s="377"/>
      <c r="E1919" s="384"/>
      <c r="F1919" s="412"/>
      <c r="G1919" s="334"/>
      <c r="H1919" s="334"/>
      <c r="I1919" s="399"/>
      <c r="J1919" s="377"/>
      <c r="K1919" s="382"/>
      <c r="L1919" s="380"/>
      <c r="M1919" s="380"/>
      <c r="N1919" s="380"/>
      <c r="O1919" s="380"/>
      <c r="P1919" s="380"/>
      <c r="Q1919" s="380"/>
    </row>
    <row r="1920" spans="1:17" x14ac:dyDescent="0.2">
      <c r="A1920" s="334" t="s">
        <v>1738</v>
      </c>
      <c r="B1920" s="380"/>
      <c r="C1920" s="334" t="s">
        <v>1591</v>
      </c>
      <c r="D1920" s="377"/>
      <c r="E1920" s="384"/>
      <c r="F1920" s="412"/>
      <c r="G1920" s="334"/>
      <c r="H1920" s="334"/>
      <c r="I1920" s="399"/>
      <c r="J1920" s="377"/>
      <c r="K1920" s="382"/>
      <c r="L1920" s="380"/>
      <c r="M1920" s="380"/>
      <c r="N1920" s="380"/>
      <c r="O1920" s="380"/>
      <c r="P1920" s="380"/>
      <c r="Q1920" s="380"/>
    </row>
    <row r="1921" spans="1:17" x14ac:dyDescent="0.2">
      <c r="A1921" s="334" t="s">
        <v>1727</v>
      </c>
      <c r="B1921" s="380"/>
      <c r="C1921" s="334" t="s">
        <v>307</v>
      </c>
      <c r="D1921" s="377"/>
      <c r="E1921" s="384"/>
      <c r="F1921" s="412" t="s">
        <v>342</v>
      </c>
      <c r="G1921" s="334"/>
      <c r="H1921" s="334" t="s">
        <v>342</v>
      </c>
      <c r="I1921" s="399"/>
      <c r="J1921" s="377"/>
      <c r="K1921" s="382"/>
      <c r="L1921" s="380"/>
      <c r="M1921" s="380"/>
      <c r="N1921" s="380"/>
      <c r="O1921" s="380"/>
      <c r="P1921" s="380"/>
      <c r="Q1921" s="380"/>
    </row>
    <row r="1922" spans="1:17" x14ac:dyDescent="0.2">
      <c r="A1922" s="334" t="s">
        <v>1728</v>
      </c>
      <c r="B1922" s="380"/>
      <c r="C1922" s="334" t="s">
        <v>310</v>
      </c>
      <c r="D1922" s="377"/>
      <c r="E1922" s="384"/>
      <c r="F1922" s="412" t="s">
        <v>342</v>
      </c>
      <c r="G1922" s="334"/>
      <c r="H1922" s="334" t="s">
        <v>342</v>
      </c>
      <c r="I1922" s="399"/>
      <c r="J1922" s="377"/>
      <c r="K1922" s="382"/>
      <c r="L1922" s="380"/>
      <c r="M1922" s="380"/>
      <c r="N1922" s="380"/>
      <c r="O1922" s="380"/>
      <c r="P1922" s="380"/>
      <c r="Q1922" s="380"/>
    </row>
    <row r="1923" spans="1:17" x14ac:dyDescent="0.2">
      <c r="A1923" s="334" t="s">
        <v>1729</v>
      </c>
      <c r="B1923" s="380"/>
      <c r="C1923" s="380" t="s">
        <v>1551</v>
      </c>
      <c r="D1923" s="377"/>
      <c r="E1923" s="384"/>
      <c r="F1923" s="412" t="s">
        <v>342</v>
      </c>
      <c r="G1923" s="334"/>
      <c r="H1923" s="334" t="s">
        <v>342</v>
      </c>
      <c r="I1923" s="399"/>
      <c r="J1923" s="377"/>
      <c r="K1923" s="382"/>
      <c r="L1923" s="380"/>
      <c r="M1923" s="380"/>
      <c r="N1923" s="380"/>
      <c r="O1923" s="380"/>
      <c r="P1923" s="380"/>
      <c r="Q1923" s="380"/>
    </row>
    <row r="1924" spans="1:17" x14ac:dyDescent="0.2">
      <c r="A1924" s="334" t="s">
        <v>1735</v>
      </c>
      <c r="B1924" s="380"/>
      <c r="C1924" s="380" t="s">
        <v>194</v>
      </c>
      <c r="D1924" s="377"/>
      <c r="E1924" s="384"/>
      <c r="F1924" s="412" t="s">
        <v>342</v>
      </c>
      <c r="G1924" s="334"/>
      <c r="H1924" s="334" t="s">
        <v>342</v>
      </c>
      <c r="I1924" s="399"/>
      <c r="J1924" s="377"/>
      <c r="K1924" s="382"/>
      <c r="L1924" s="380"/>
      <c r="M1924" s="380"/>
      <c r="N1924" s="380"/>
      <c r="O1924" s="380"/>
      <c r="P1924" s="380"/>
      <c r="Q1924" s="380"/>
    </row>
    <row r="1925" spans="1:17" x14ac:dyDescent="0.2">
      <c r="A1925" s="334" t="s">
        <v>1580</v>
      </c>
      <c r="B1925" s="380"/>
      <c r="C1925" s="334" t="s">
        <v>1936</v>
      </c>
      <c r="D1925" s="377"/>
      <c r="E1925" s="384"/>
      <c r="F1925" s="412"/>
      <c r="G1925" s="334"/>
      <c r="H1925" s="334"/>
      <c r="I1925" s="399"/>
      <c r="J1925" s="377"/>
      <c r="K1925" s="382"/>
      <c r="L1925" s="380"/>
      <c r="M1925" s="380"/>
      <c r="N1925" s="380"/>
      <c r="O1925" s="380"/>
      <c r="P1925" s="380"/>
      <c r="Q1925" s="380"/>
    </row>
    <row r="1926" spans="1:17" x14ac:dyDescent="0.2">
      <c r="A1926" s="334" t="s">
        <v>1572</v>
      </c>
      <c r="B1926" s="380"/>
      <c r="C1926" s="334" t="s">
        <v>3134</v>
      </c>
      <c r="D1926" s="377"/>
      <c r="E1926" s="384"/>
      <c r="F1926" s="412" t="s">
        <v>342</v>
      </c>
      <c r="G1926" s="334"/>
      <c r="H1926" s="334" t="s">
        <v>342</v>
      </c>
      <c r="I1926" s="399"/>
      <c r="J1926" s="377"/>
      <c r="K1926" s="382"/>
      <c r="L1926" s="380"/>
      <c r="M1926" s="380"/>
      <c r="N1926" s="380"/>
      <c r="O1926" s="380"/>
      <c r="P1926" s="380"/>
      <c r="Q1926" s="380"/>
    </row>
    <row r="1927" spans="1:17" x14ac:dyDescent="0.2">
      <c r="A1927" s="334" t="s">
        <v>1730</v>
      </c>
      <c r="B1927" s="380"/>
      <c r="C1927" s="334" t="s">
        <v>1985</v>
      </c>
      <c r="D1927" s="377"/>
      <c r="E1927" s="384"/>
      <c r="F1927" s="412" t="s">
        <v>342</v>
      </c>
      <c r="G1927" s="334"/>
      <c r="H1927" s="334" t="s">
        <v>342</v>
      </c>
      <c r="I1927" s="399"/>
      <c r="J1927" s="377"/>
      <c r="K1927" s="382"/>
      <c r="L1927" s="380"/>
      <c r="M1927" s="380"/>
      <c r="N1927" s="380"/>
      <c r="O1927" s="380"/>
      <c r="P1927" s="380"/>
      <c r="Q1927" s="380"/>
    </row>
    <row r="1928" spans="1:17" x14ac:dyDescent="0.2">
      <c r="A1928" s="334" t="s">
        <v>1566</v>
      </c>
      <c r="B1928" s="380"/>
      <c r="C1928" s="334" t="s">
        <v>366</v>
      </c>
      <c r="D1928" s="377"/>
      <c r="E1928" s="384"/>
      <c r="F1928" s="412" t="s">
        <v>342</v>
      </c>
      <c r="G1928" s="334"/>
      <c r="H1928" s="334" t="s">
        <v>342</v>
      </c>
      <c r="I1928" s="399"/>
      <c r="J1928" s="377"/>
      <c r="K1928" s="382"/>
      <c r="L1928" s="380"/>
      <c r="M1928" s="380"/>
      <c r="N1928" s="380"/>
      <c r="O1928" s="380"/>
      <c r="P1928" s="380"/>
      <c r="Q1928" s="380"/>
    </row>
    <row r="1929" spans="1:17" x14ac:dyDescent="0.2">
      <c r="A1929" s="334" t="s">
        <v>1755</v>
      </c>
      <c r="B1929" s="380"/>
      <c r="C1929" s="380" t="s">
        <v>1986</v>
      </c>
      <c r="D1929" s="377"/>
      <c r="E1929" s="384"/>
      <c r="F1929" s="412" t="s">
        <v>342</v>
      </c>
      <c r="G1929" s="334"/>
      <c r="H1929" s="334" t="s">
        <v>342</v>
      </c>
      <c r="I1929" s="399"/>
      <c r="J1929" s="377"/>
      <c r="K1929" s="382"/>
      <c r="L1929" s="380"/>
      <c r="M1929" s="380"/>
      <c r="N1929" s="380"/>
      <c r="O1929" s="380"/>
      <c r="P1929" s="380"/>
      <c r="Q1929" s="380"/>
    </row>
    <row r="1930" spans="1:17" x14ac:dyDescent="0.2">
      <c r="A1930" s="384" t="s">
        <v>1962</v>
      </c>
      <c r="B1930" s="380"/>
      <c r="C1930" s="380" t="s">
        <v>572</v>
      </c>
      <c r="D1930" s="377"/>
      <c r="E1930" s="384"/>
      <c r="F1930" s="412" t="s">
        <v>342</v>
      </c>
      <c r="G1930" s="334"/>
      <c r="H1930" s="334" t="s">
        <v>342</v>
      </c>
      <c r="I1930" s="399"/>
      <c r="J1930" s="377"/>
      <c r="K1930" s="382"/>
      <c r="L1930" s="380"/>
      <c r="M1930" s="380"/>
      <c r="N1930" s="380"/>
      <c r="O1930" s="380"/>
      <c r="P1930" s="380"/>
      <c r="Q1930" s="380"/>
    </row>
    <row r="1931" spans="1:17" x14ac:dyDescent="0.2">
      <c r="A1931" s="380"/>
      <c r="B1931" s="380"/>
      <c r="C1931" s="380"/>
      <c r="D1931" s="410" t="s">
        <v>342</v>
      </c>
      <c r="E1931" s="334"/>
      <c r="F1931" s="412" t="s">
        <v>342</v>
      </c>
      <c r="G1931" s="334"/>
      <c r="H1931" s="334" t="s">
        <v>342</v>
      </c>
      <c r="I1931" s="385"/>
      <c r="J1931" s="410" t="s">
        <v>342</v>
      </c>
      <c r="K1931" s="382"/>
      <c r="L1931" s="380"/>
      <c r="M1931" s="380"/>
      <c r="N1931" s="380"/>
      <c r="O1931" s="380"/>
      <c r="P1931" s="380"/>
      <c r="Q1931" s="380"/>
    </row>
    <row r="1932" spans="1:17" x14ac:dyDescent="0.2">
      <c r="A1932" s="380"/>
      <c r="B1932" s="380"/>
      <c r="C1932" s="380"/>
      <c r="D1932" s="334">
        <f>SUM(D1907:D1930)</f>
        <v>0</v>
      </c>
      <c r="E1932" s="334"/>
      <c r="F1932" s="412" t="s">
        <v>342</v>
      </c>
      <c r="G1932" s="334"/>
      <c r="H1932" s="334" t="s">
        <v>342</v>
      </c>
      <c r="I1932" s="385"/>
      <c r="J1932" s="334">
        <f>SUM(J1907:J1930)</f>
        <v>0</v>
      </c>
      <c r="K1932" s="382"/>
      <c r="L1932" s="380"/>
      <c r="M1932" s="380"/>
      <c r="N1932" s="380"/>
      <c r="O1932" s="380"/>
      <c r="P1932" s="380"/>
      <c r="Q1932" s="380"/>
    </row>
    <row r="1933" spans="1:17" ht="15.75" thickTop="1" x14ac:dyDescent="0.2">
      <c r="A1933" s="380"/>
      <c r="B1933" s="380"/>
      <c r="C1933" s="380"/>
      <c r="D1933" s="400" t="s">
        <v>342</v>
      </c>
      <c r="E1933" s="334"/>
      <c r="F1933" s="412" t="s">
        <v>342</v>
      </c>
      <c r="G1933" s="334"/>
      <c r="H1933" s="334" t="s">
        <v>342</v>
      </c>
      <c r="I1933" s="385"/>
      <c r="J1933" s="400" t="s">
        <v>342</v>
      </c>
      <c r="K1933" s="382"/>
      <c r="L1933" s="380"/>
      <c r="M1933" s="380"/>
      <c r="N1933" s="380"/>
      <c r="O1933" s="380"/>
      <c r="P1933" s="380"/>
      <c r="Q1933" s="380"/>
    </row>
    <row r="1934" spans="1:17" x14ac:dyDescent="0.2">
      <c r="A1934" s="334" t="s">
        <v>342</v>
      </c>
      <c r="B1934" s="377"/>
      <c r="C1934" s="377"/>
      <c r="D1934" s="377"/>
      <c r="E1934" s="377"/>
      <c r="F1934" s="378"/>
      <c r="G1934" s="377"/>
      <c r="H1934" s="377"/>
      <c r="I1934" s="399"/>
      <c r="J1934" s="377"/>
      <c r="K1934" s="382"/>
      <c r="L1934" s="380"/>
      <c r="M1934" s="380"/>
      <c r="N1934" s="380"/>
      <c r="O1934" s="380"/>
      <c r="P1934" s="380"/>
      <c r="Q1934" s="380"/>
    </row>
    <row r="1935" spans="1:17" x14ac:dyDescent="0.2">
      <c r="A1935" s="380"/>
      <c r="B1935" s="380"/>
      <c r="C1935" s="380"/>
      <c r="D1935" s="334" t="s">
        <v>342</v>
      </c>
      <c r="E1935" s="334" t="s">
        <v>342</v>
      </c>
      <c r="F1935" s="412" t="s">
        <v>342</v>
      </c>
      <c r="G1935" s="334"/>
      <c r="H1935" s="334" t="s">
        <v>342</v>
      </c>
      <c r="I1935" s="385"/>
      <c r="J1935" s="334" t="s">
        <v>342</v>
      </c>
      <c r="K1935" s="382"/>
      <c r="L1935" s="380"/>
      <c r="M1935" s="380"/>
      <c r="N1935" s="380"/>
      <c r="O1935" s="380"/>
      <c r="P1935" s="380"/>
      <c r="Q1935" s="380"/>
    </row>
    <row r="1936" spans="1:17" x14ac:dyDescent="0.2">
      <c r="A1936" s="334" t="s">
        <v>1801</v>
      </c>
      <c r="B1936" s="380"/>
      <c r="C1936" s="380"/>
      <c r="D1936" s="380"/>
      <c r="E1936" s="334" t="s">
        <v>342</v>
      </c>
      <c r="F1936" s="412" t="s">
        <v>342</v>
      </c>
      <c r="G1936" s="334"/>
      <c r="H1936" s="334" t="s">
        <v>342</v>
      </c>
      <c r="I1936" s="382"/>
      <c r="J1936" s="380"/>
      <c r="K1936" s="382"/>
      <c r="L1936" s="380"/>
      <c r="M1936" s="380"/>
      <c r="N1936" s="380"/>
      <c r="O1936" s="380"/>
      <c r="P1936" s="380"/>
      <c r="Q1936" s="380"/>
    </row>
    <row r="1937" spans="1:17" x14ac:dyDescent="0.2">
      <c r="A1937" s="380"/>
      <c r="B1937" s="380"/>
      <c r="C1937" s="384" t="s">
        <v>2132</v>
      </c>
      <c r="D1937" s="380"/>
      <c r="E1937" s="384"/>
      <c r="F1937" s="378"/>
      <c r="G1937" s="380"/>
      <c r="H1937" s="380"/>
      <c r="I1937" s="382"/>
      <c r="J1937" s="380"/>
      <c r="K1937" s="382"/>
      <c r="L1937" s="380"/>
      <c r="M1937" s="380"/>
      <c r="N1937" s="380"/>
      <c r="O1937" s="380"/>
      <c r="P1937" s="380"/>
      <c r="Q1937" s="380"/>
    </row>
    <row r="1938" spans="1:17" x14ac:dyDescent="0.2">
      <c r="A1938" s="334" t="s">
        <v>342</v>
      </c>
      <c r="B1938" s="380"/>
      <c r="C1938" s="380"/>
      <c r="D1938" s="380"/>
      <c r="E1938" s="380"/>
      <c r="F1938" s="378"/>
      <c r="G1938" s="380"/>
      <c r="H1938" s="380"/>
      <c r="I1938" s="382"/>
      <c r="J1938" s="380"/>
      <c r="K1938" s="382"/>
      <c r="L1938" s="380"/>
      <c r="M1938" s="380"/>
      <c r="N1938" s="380"/>
      <c r="O1938" s="380"/>
      <c r="P1938" s="380"/>
      <c r="Q1938" s="380"/>
    </row>
    <row r="1939" spans="1:17" x14ac:dyDescent="0.2">
      <c r="A1939" s="334" t="s">
        <v>1723</v>
      </c>
      <c r="B1939" s="380"/>
      <c r="C1939" s="334" t="s">
        <v>1880</v>
      </c>
      <c r="D1939" s="334" t="s">
        <v>181</v>
      </c>
      <c r="E1939" s="377"/>
      <c r="F1939" s="378"/>
      <c r="G1939" s="377"/>
      <c r="H1939" s="377"/>
      <c r="I1939" s="385"/>
      <c r="J1939" s="334" t="s">
        <v>181</v>
      </c>
      <c r="K1939" s="382"/>
      <c r="L1939" s="380"/>
      <c r="M1939" s="380"/>
      <c r="N1939" s="380"/>
      <c r="O1939" s="380"/>
      <c r="P1939" s="380"/>
      <c r="Q1939" s="380"/>
    </row>
    <row r="1940" spans="1:17" x14ac:dyDescent="0.2">
      <c r="A1940" s="334" t="s">
        <v>342</v>
      </c>
      <c r="B1940" s="380"/>
      <c r="C1940" s="380"/>
      <c r="D1940" s="380"/>
      <c r="E1940" s="380"/>
      <c r="F1940" s="378"/>
      <c r="G1940" s="380"/>
      <c r="H1940" s="380"/>
      <c r="I1940" s="382"/>
      <c r="J1940" s="380"/>
      <c r="K1940" s="382"/>
      <c r="L1940" s="380"/>
      <c r="M1940" s="380"/>
      <c r="N1940" s="380"/>
      <c r="O1940" s="380"/>
      <c r="P1940" s="380"/>
      <c r="Q1940" s="380"/>
    </row>
    <row r="1941" spans="1:17" x14ac:dyDescent="0.2">
      <c r="A1941" s="334" t="s">
        <v>1724</v>
      </c>
      <c r="B1941" s="380"/>
      <c r="C1941" s="334" t="s">
        <v>1881</v>
      </c>
      <c r="D1941" s="377"/>
      <c r="E1941" s="384"/>
      <c r="F1941" s="412" t="s">
        <v>342</v>
      </c>
      <c r="G1941" s="334"/>
      <c r="H1941" s="334" t="s">
        <v>342</v>
      </c>
      <c r="I1941" s="399"/>
      <c r="J1941" s="377"/>
      <c r="K1941" s="382"/>
      <c r="L1941" s="380"/>
      <c r="M1941" s="380"/>
      <c r="N1941" s="380"/>
      <c r="O1941" s="380"/>
      <c r="P1941" s="380"/>
      <c r="Q1941" s="380"/>
    </row>
    <row r="1942" spans="1:17" x14ac:dyDescent="0.2">
      <c r="A1942" s="384" t="s">
        <v>1736</v>
      </c>
      <c r="B1942" s="380"/>
      <c r="C1942" s="334" t="s">
        <v>1747</v>
      </c>
      <c r="D1942" s="377"/>
      <c r="E1942" s="384"/>
      <c r="F1942" s="412"/>
      <c r="G1942" s="334"/>
      <c r="H1942" s="334"/>
      <c r="I1942" s="399"/>
      <c r="J1942" s="377"/>
      <c r="K1942" s="382"/>
      <c r="L1942" s="380"/>
      <c r="M1942" s="380"/>
      <c r="N1942" s="380"/>
      <c r="O1942" s="380"/>
      <c r="P1942" s="380"/>
      <c r="Q1942" s="380"/>
    </row>
    <row r="1943" spans="1:17" x14ac:dyDescent="0.2">
      <c r="A1943" s="334" t="s">
        <v>1582</v>
      </c>
      <c r="B1943" s="380"/>
      <c r="C1943" s="334" t="s">
        <v>3135</v>
      </c>
      <c r="D1943" s="377"/>
      <c r="E1943" s="384"/>
      <c r="F1943" s="412" t="s">
        <v>342</v>
      </c>
      <c r="G1943" s="334"/>
      <c r="H1943" s="334" t="s">
        <v>342</v>
      </c>
      <c r="I1943" s="399"/>
      <c r="J1943" s="377"/>
      <c r="K1943" s="382"/>
      <c r="L1943" s="380"/>
      <c r="M1943" s="380"/>
      <c r="N1943" s="380"/>
      <c r="O1943" s="380"/>
      <c r="P1943" s="380"/>
      <c r="Q1943" s="380"/>
    </row>
    <row r="1944" spans="1:17" x14ac:dyDescent="0.2">
      <c r="A1944" s="334" t="s">
        <v>1575</v>
      </c>
      <c r="B1944" s="380"/>
      <c r="C1944" s="334" t="s">
        <v>1889</v>
      </c>
      <c r="D1944" s="377"/>
      <c r="E1944" s="384"/>
      <c r="F1944" s="412" t="s">
        <v>342</v>
      </c>
      <c r="G1944" s="334"/>
      <c r="H1944" s="334" t="s">
        <v>342</v>
      </c>
      <c r="I1944" s="399"/>
      <c r="J1944" s="377"/>
      <c r="K1944" s="382"/>
      <c r="L1944" s="380"/>
      <c r="M1944" s="380"/>
      <c r="N1944" s="380"/>
      <c r="O1944" s="380"/>
      <c r="P1944" s="380"/>
      <c r="Q1944" s="380"/>
    </row>
    <row r="1945" spans="1:17" x14ac:dyDescent="0.2">
      <c r="A1945" s="334" t="s">
        <v>1725</v>
      </c>
      <c r="B1945" s="380"/>
      <c r="C1945" s="334" t="s">
        <v>1890</v>
      </c>
      <c r="D1945" s="377"/>
      <c r="E1945" s="384"/>
      <c r="F1945" s="412" t="s">
        <v>342</v>
      </c>
      <c r="G1945" s="334"/>
      <c r="H1945" s="334" t="s">
        <v>342</v>
      </c>
      <c r="I1945" s="399"/>
      <c r="J1945" s="377"/>
      <c r="K1945" s="382"/>
      <c r="L1945" s="380"/>
      <c r="M1945" s="380"/>
      <c r="N1945" s="380"/>
      <c r="O1945" s="380"/>
      <c r="P1945" s="380"/>
      <c r="Q1945" s="380"/>
    </row>
    <row r="1946" spans="1:17" x14ac:dyDescent="0.2">
      <c r="A1946" s="334" t="s">
        <v>1734</v>
      </c>
      <c r="B1946" s="380"/>
      <c r="C1946" s="334" t="s">
        <v>1746</v>
      </c>
      <c r="D1946" s="377"/>
      <c r="E1946" s="384"/>
      <c r="F1946" s="412" t="s">
        <v>342</v>
      </c>
      <c r="G1946" s="334"/>
      <c r="H1946" s="334" t="s">
        <v>342</v>
      </c>
      <c r="I1946" s="399"/>
      <c r="J1946" s="377"/>
      <c r="K1946" s="382"/>
      <c r="L1946" s="380"/>
      <c r="M1946" s="380"/>
      <c r="N1946" s="380"/>
      <c r="O1946" s="380"/>
      <c r="P1946" s="380"/>
      <c r="Q1946" s="380"/>
    </row>
    <row r="1947" spans="1:17" x14ac:dyDescent="0.2">
      <c r="A1947" s="334" t="s">
        <v>1728</v>
      </c>
      <c r="B1947" s="380"/>
      <c r="C1947" s="334" t="s">
        <v>310</v>
      </c>
      <c r="D1947" s="377"/>
      <c r="E1947" s="384"/>
      <c r="F1947" s="412" t="s">
        <v>342</v>
      </c>
      <c r="G1947" s="334"/>
      <c r="H1947" s="334" t="s">
        <v>342</v>
      </c>
      <c r="I1947" s="399"/>
      <c r="J1947" s="377"/>
      <c r="K1947" s="382"/>
      <c r="L1947" s="380"/>
      <c r="M1947" s="380"/>
      <c r="N1947" s="380"/>
      <c r="O1947" s="380"/>
      <c r="P1947" s="380"/>
      <c r="Q1947" s="380"/>
    </row>
    <row r="1948" spans="1:17" x14ac:dyDescent="0.2">
      <c r="A1948" s="334" t="s">
        <v>1584</v>
      </c>
      <c r="B1948" s="380"/>
      <c r="C1948" s="334" t="s">
        <v>0</v>
      </c>
      <c r="D1948" s="377"/>
      <c r="E1948" s="384"/>
      <c r="F1948" s="412" t="s">
        <v>342</v>
      </c>
      <c r="G1948" s="334"/>
      <c r="H1948" s="334" t="s">
        <v>342</v>
      </c>
      <c r="I1948" s="399"/>
      <c r="J1948" s="377"/>
      <c r="K1948" s="382"/>
      <c r="L1948" s="380"/>
      <c r="M1948" s="380"/>
      <c r="N1948" s="380"/>
      <c r="O1948" s="380"/>
      <c r="P1948" s="380"/>
      <c r="Q1948" s="380"/>
    </row>
    <row r="1949" spans="1:17" x14ac:dyDescent="0.2">
      <c r="A1949" s="334" t="s">
        <v>1572</v>
      </c>
      <c r="B1949" s="380"/>
      <c r="C1949" s="334" t="s">
        <v>3134</v>
      </c>
      <c r="D1949" s="377"/>
      <c r="E1949" s="384"/>
      <c r="F1949" s="412" t="s">
        <v>342</v>
      </c>
      <c r="G1949" s="334"/>
      <c r="H1949" s="380"/>
      <c r="I1949" s="399"/>
      <c r="J1949" s="377"/>
      <c r="K1949" s="382"/>
      <c r="L1949" s="380"/>
      <c r="M1949" s="380"/>
      <c r="N1949" s="380"/>
      <c r="O1949" s="380"/>
      <c r="P1949" s="380"/>
      <c r="Q1949" s="380"/>
    </row>
    <row r="1950" spans="1:17" x14ac:dyDescent="0.2">
      <c r="A1950" s="334" t="s">
        <v>1566</v>
      </c>
      <c r="B1950" s="380"/>
      <c r="C1950" s="334" t="s">
        <v>366</v>
      </c>
      <c r="D1950" s="377"/>
      <c r="E1950" s="384"/>
      <c r="F1950" s="412" t="s">
        <v>342</v>
      </c>
      <c r="G1950" s="334"/>
      <c r="H1950" s="334" t="s">
        <v>342</v>
      </c>
      <c r="I1950" s="399"/>
      <c r="J1950" s="377"/>
      <c r="K1950" s="382"/>
      <c r="L1950" s="380"/>
      <c r="M1950" s="380"/>
      <c r="N1950" s="380"/>
      <c r="O1950" s="380"/>
      <c r="P1950" s="380"/>
      <c r="Q1950" s="380"/>
    </row>
    <row r="1951" spans="1:17" x14ac:dyDescent="0.2">
      <c r="A1951" s="334"/>
      <c r="B1951" s="380"/>
      <c r="C1951" s="334"/>
      <c r="D1951" s="334"/>
      <c r="E1951" s="384"/>
      <c r="F1951" s="412"/>
      <c r="G1951" s="334"/>
      <c r="H1951" s="334"/>
      <c r="I1951" s="385"/>
      <c r="J1951" s="334"/>
      <c r="K1951" s="382"/>
      <c r="L1951" s="380"/>
      <c r="M1951" s="380"/>
      <c r="N1951" s="380"/>
      <c r="O1951" s="380"/>
      <c r="P1951" s="380"/>
      <c r="Q1951" s="380"/>
    </row>
    <row r="1952" spans="1:17" x14ac:dyDescent="0.2">
      <c r="A1952" s="334" t="s">
        <v>342</v>
      </c>
      <c r="B1952" s="380"/>
      <c r="C1952" s="334" t="s">
        <v>342</v>
      </c>
      <c r="D1952" s="410" t="s">
        <v>342</v>
      </c>
      <c r="E1952" s="334" t="s">
        <v>342</v>
      </c>
      <c r="F1952" s="412" t="s">
        <v>342</v>
      </c>
      <c r="G1952" s="334"/>
      <c r="H1952" s="334" t="s">
        <v>342</v>
      </c>
      <c r="I1952" s="385"/>
      <c r="J1952" s="410" t="s">
        <v>342</v>
      </c>
      <c r="K1952" s="382"/>
      <c r="L1952" s="380"/>
      <c r="M1952" s="380"/>
      <c r="N1952" s="380"/>
      <c r="O1952" s="380"/>
      <c r="P1952" s="380"/>
      <c r="Q1952" s="380"/>
    </row>
    <row r="1953" spans="1:17" x14ac:dyDescent="0.2">
      <c r="A1953" s="380"/>
      <c r="B1953" s="380"/>
      <c r="C1953" s="380"/>
      <c r="D1953" s="334">
        <f>SUM(D1941:D1951)</f>
        <v>0</v>
      </c>
      <c r="E1953" s="380"/>
      <c r="F1953" s="378"/>
      <c r="G1953" s="380"/>
      <c r="H1953" s="380"/>
      <c r="I1953" s="385"/>
      <c r="J1953" s="334">
        <f>SUM(J1941:J1951)</f>
        <v>0</v>
      </c>
      <c r="K1953" s="382"/>
      <c r="L1953" s="380"/>
      <c r="M1953" s="380"/>
      <c r="N1953" s="380"/>
      <c r="O1953" s="380"/>
      <c r="P1953" s="380"/>
      <c r="Q1953" s="380"/>
    </row>
    <row r="1954" spans="1:17" ht="15.75" thickTop="1" x14ac:dyDescent="0.2">
      <c r="A1954" s="380"/>
      <c r="B1954" s="380"/>
      <c r="C1954" s="380"/>
      <c r="D1954" s="395"/>
      <c r="E1954" s="380"/>
      <c r="F1954" s="378"/>
      <c r="G1954" s="380"/>
      <c r="H1954" s="380"/>
      <c r="I1954" s="399"/>
      <c r="J1954" s="395"/>
      <c r="K1954" s="382"/>
      <c r="L1954" s="380"/>
      <c r="M1954" s="380"/>
      <c r="N1954" s="380"/>
      <c r="O1954" s="380"/>
      <c r="P1954" s="380"/>
      <c r="Q1954" s="380"/>
    </row>
    <row r="1955" spans="1:17" x14ac:dyDescent="0.2">
      <c r="A1955" s="334" t="s">
        <v>342</v>
      </c>
      <c r="B1955" s="377"/>
      <c r="C1955" s="334" t="s">
        <v>342</v>
      </c>
      <c r="D1955" s="377"/>
      <c r="E1955" s="377"/>
      <c r="F1955" s="378"/>
      <c r="G1955" s="377"/>
      <c r="H1955" s="377"/>
      <c r="I1955" s="399"/>
      <c r="J1955" s="377"/>
      <c r="K1955" s="382"/>
      <c r="L1955" s="380"/>
      <c r="M1955" s="380"/>
      <c r="N1955" s="380"/>
      <c r="O1955" s="380"/>
      <c r="P1955" s="380"/>
      <c r="Q1955" s="380"/>
    </row>
    <row r="1956" spans="1:17" x14ac:dyDescent="0.2">
      <c r="A1956" s="334" t="s">
        <v>342</v>
      </c>
      <c r="B1956" s="380"/>
      <c r="C1956" s="334" t="s">
        <v>342</v>
      </c>
      <c r="D1956" s="377"/>
      <c r="E1956" s="380"/>
      <c r="F1956" s="378"/>
      <c r="G1956" s="380"/>
      <c r="H1956" s="380"/>
      <c r="I1956" s="399"/>
      <c r="J1956" s="377"/>
      <c r="K1956" s="382"/>
      <c r="L1956" s="380"/>
      <c r="M1956" s="380"/>
      <c r="N1956" s="380"/>
      <c r="O1956" s="380"/>
      <c r="P1956" s="380"/>
      <c r="Q1956" s="380"/>
    </row>
    <row r="1957" spans="1:17" x14ac:dyDescent="0.2">
      <c r="A1957" s="334" t="s">
        <v>1802</v>
      </c>
      <c r="B1957" s="380"/>
      <c r="C1957" s="380"/>
      <c r="D1957" s="380"/>
      <c r="E1957" s="377"/>
      <c r="F1957" s="378"/>
      <c r="G1957" s="377"/>
      <c r="H1957" s="377"/>
      <c r="I1957" s="382"/>
      <c r="J1957" s="380"/>
      <c r="K1957" s="382"/>
      <c r="L1957" s="380"/>
      <c r="M1957" s="380"/>
      <c r="N1957" s="380"/>
      <c r="O1957" s="380"/>
      <c r="P1957" s="380"/>
      <c r="Q1957" s="380"/>
    </row>
    <row r="1958" spans="1:17" x14ac:dyDescent="0.2">
      <c r="A1958" s="334" t="s">
        <v>342</v>
      </c>
      <c r="B1958" s="380"/>
      <c r="C1958" s="384" t="s">
        <v>2133</v>
      </c>
      <c r="D1958" s="380"/>
      <c r="E1958" s="384"/>
      <c r="F1958" s="378"/>
      <c r="G1958" s="380"/>
      <c r="H1958" s="380"/>
      <c r="I1958" s="382"/>
      <c r="J1958" s="380"/>
      <c r="K1958" s="382"/>
      <c r="L1958" s="380"/>
      <c r="M1958" s="380"/>
      <c r="N1958" s="380"/>
      <c r="O1958" s="380"/>
      <c r="P1958" s="380"/>
      <c r="Q1958" s="380"/>
    </row>
    <row r="1959" spans="1:17" x14ac:dyDescent="0.2">
      <c r="A1959" s="334" t="s">
        <v>342</v>
      </c>
      <c r="B1959" s="380"/>
      <c r="C1959" s="334" t="s">
        <v>342</v>
      </c>
      <c r="D1959" s="428" t="s">
        <v>181</v>
      </c>
      <c r="E1959" s="428"/>
      <c r="F1959" s="378"/>
      <c r="G1959" s="377"/>
      <c r="H1959" s="377"/>
      <c r="I1959" s="430"/>
      <c r="J1959" s="428" t="s">
        <v>181</v>
      </c>
      <c r="K1959" s="382"/>
      <c r="L1959" s="380"/>
      <c r="M1959" s="380"/>
      <c r="N1959" s="380"/>
      <c r="O1959" s="380"/>
      <c r="P1959" s="380"/>
      <c r="Q1959" s="380"/>
    </row>
    <row r="1960" spans="1:17" x14ac:dyDescent="0.2">
      <c r="A1960" s="334" t="s">
        <v>1723</v>
      </c>
      <c r="B1960" s="380"/>
      <c r="C1960" s="334" t="s">
        <v>1880</v>
      </c>
      <c r="D1960" s="429" t="s">
        <v>23</v>
      </c>
      <c r="E1960" s="429"/>
      <c r="F1960" s="378"/>
      <c r="G1960" s="429"/>
      <c r="H1960" s="380"/>
      <c r="I1960" s="439"/>
      <c r="J1960" s="429" t="s">
        <v>23</v>
      </c>
      <c r="K1960" s="382"/>
      <c r="L1960" s="380"/>
      <c r="M1960" s="380"/>
      <c r="N1960" s="380"/>
      <c r="O1960" s="380"/>
      <c r="P1960" s="380"/>
      <c r="Q1960" s="380"/>
    </row>
    <row r="1961" spans="1:17" x14ac:dyDescent="0.2">
      <c r="A1961" s="334" t="s">
        <v>342</v>
      </c>
      <c r="B1961" s="380"/>
      <c r="C1961" s="334" t="s">
        <v>342</v>
      </c>
      <c r="D1961" s="377"/>
      <c r="E1961" s="334" t="s">
        <v>342</v>
      </c>
      <c r="F1961" s="412"/>
      <c r="G1961" s="334"/>
      <c r="H1961" s="334" t="s">
        <v>342</v>
      </c>
      <c r="I1961" s="399"/>
      <c r="J1961" s="377"/>
      <c r="K1961" s="382"/>
      <c r="L1961" s="380"/>
      <c r="M1961" s="380"/>
      <c r="N1961" s="380"/>
      <c r="O1961" s="380"/>
      <c r="P1961" s="380"/>
      <c r="Q1961" s="380"/>
    </row>
    <row r="1962" spans="1:17" x14ac:dyDescent="0.2">
      <c r="A1962" s="384" t="s">
        <v>1724</v>
      </c>
      <c r="B1962" s="380"/>
      <c r="C1962" s="334" t="s">
        <v>1881</v>
      </c>
      <c r="D1962" s="377"/>
      <c r="E1962" s="384"/>
      <c r="F1962" s="378"/>
      <c r="G1962" s="377"/>
      <c r="H1962" s="334"/>
      <c r="I1962" s="399"/>
      <c r="J1962" s="377"/>
      <c r="K1962" s="382"/>
      <c r="L1962" s="380"/>
      <c r="M1962" s="380"/>
      <c r="N1962" s="380"/>
      <c r="O1962" s="380"/>
      <c r="P1962" s="380"/>
      <c r="Q1962" s="380"/>
    </row>
    <row r="1963" spans="1:17" x14ac:dyDescent="0.2">
      <c r="A1963" s="334" t="s">
        <v>1736</v>
      </c>
      <c r="B1963" s="380"/>
      <c r="C1963" s="334" t="s">
        <v>1747</v>
      </c>
      <c r="D1963" s="377"/>
      <c r="E1963" s="384"/>
      <c r="F1963" s="378"/>
      <c r="G1963" s="377"/>
      <c r="H1963" s="334" t="s">
        <v>342</v>
      </c>
      <c r="I1963" s="399"/>
      <c r="J1963" s="377"/>
      <c r="K1963" s="382"/>
      <c r="L1963" s="380"/>
      <c r="M1963" s="380"/>
      <c r="N1963" s="380"/>
      <c r="O1963" s="380"/>
      <c r="P1963" s="380"/>
      <c r="Q1963" s="380"/>
    </row>
    <row r="1964" spans="1:17" x14ac:dyDescent="0.2">
      <c r="A1964" s="334" t="s">
        <v>1744</v>
      </c>
      <c r="B1964" s="380"/>
      <c r="C1964" s="334" t="s">
        <v>1254</v>
      </c>
      <c r="D1964" s="377"/>
      <c r="E1964" s="384"/>
      <c r="F1964" s="378"/>
      <c r="G1964" s="377"/>
      <c r="H1964" s="334"/>
      <c r="I1964" s="399"/>
      <c r="J1964" s="377"/>
      <c r="K1964" s="382"/>
      <c r="L1964" s="380"/>
      <c r="M1964" s="380"/>
      <c r="N1964" s="380"/>
      <c r="O1964" s="380"/>
      <c r="P1964" s="380"/>
      <c r="Q1964" s="380"/>
    </row>
    <row r="1965" spans="1:17" x14ac:dyDescent="0.2">
      <c r="A1965" s="384" t="s">
        <v>1582</v>
      </c>
      <c r="B1965" s="380"/>
      <c r="C1965" s="334" t="s">
        <v>3135</v>
      </c>
      <c r="D1965" s="377"/>
      <c r="E1965" s="384"/>
      <c r="F1965" s="378"/>
      <c r="G1965" s="377"/>
      <c r="H1965" s="334"/>
      <c r="I1965" s="399"/>
      <c r="J1965" s="377">
        <v>100</v>
      </c>
      <c r="K1965" s="382"/>
      <c r="L1965" s="380"/>
      <c r="M1965" s="380"/>
      <c r="N1965" s="380"/>
      <c r="O1965" s="380"/>
      <c r="P1965" s="380"/>
      <c r="Q1965" s="380"/>
    </row>
    <row r="1966" spans="1:17" x14ac:dyDescent="0.2">
      <c r="A1966" s="334" t="s">
        <v>1737</v>
      </c>
      <c r="B1966" s="380"/>
      <c r="C1966" s="334" t="s">
        <v>1984</v>
      </c>
      <c r="D1966" s="377">
        <v>45</v>
      </c>
      <c r="E1966" s="384"/>
      <c r="F1966" s="378"/>
      <c r="G1966" s="377"/>
      <c r="H1966" s="334"/>
      <c r="I1966" s="399"/>
      <c r="J1966" s="377">
        <v>45</v>
      </c>
      <c r="K1966" s="382"/>
      <c r="L1966" s="380"/>
      <c r="M1966" s="380"/>
      <c r="N1966" s="380"/>
      <c r="O1966" s="380"/>
      <c r="P1966" s="380"/>
      <c r="Q1966" s="380"/>
    </row>
    <row r="1967" spans="1:17" x14ac:dyDescent="0.2">
      <c r="A1967" s="334" t="s">
        <v>1734</v>
      </c>
      <c r="B1967" s="380"/>
      <c r="C1967" s="334" t="s">
        <v>1746</v>
      </c>
      <c r="D1967" s="377"/>
      <c r="E1967" s="384"/>
      <c r="F1967" s="378"/>
      <c r="G1967" s="377"/>
      <c r="H1967" s="334"/>
      <c r="I1967" s="399"/>
      <c r="J1967" s="377"/>
      <c r="K1967" s="382"/>
      <c r="L1967" s="380"/>
      <c r="M1967" s="380"/>
      <c r="N1967" s="380"/>
      <c r="O1967" s="380"/>
      <c r="P1967" s="380"/>
      <c r="Q1967" s="380"/>
    </row>
    <row r="1968" spans="1:17" x14ac:dyDescent="0.2">
      <c r="A1968" s="384" t="s">
        <v>1571</v>
      </c>
      <c r="B1968" s="380"/>
      <c r="C1968" s="334" t="s">
        <v>3</v>
      </c>
      <c r="D1968" s="377"/>
      <c r="E1968" s="384"/>
      <c r="F1968" s="378"/>
      <c r="G1968" s="377"/>
      <c r="H1968" s="334"/>
      <c r="I1968" s="399"/>
      <c r="J1968" s="377"/>
      <c r="K1968" s="382"/>
      <c r="L1968" s="380"/>
      <c r="M1968" s="380"/>
      <c r="N1968" s="380"/>
      <c r="O1968" s="380"/>
      <c r="P1968" s="380"/>
      <c r="Q1968" s="380"/>
    </row>
    <row r="1969" spans="1:17" x14ac:dyDescent="0.2">
      <c r="A1969" s="334" t="s">
        <v>1738</v>
      </c>
      <c r="B1969" s="380"/>
      <c r="C1969" s="334" t="s">
        <v>1591</v>
      </c>
      <c r="D1969" s="377">
        <v>200</v>
      </c>
      <c r="E1969" s="384"/>
      <c r="F1969" s="378"/>
      <c r="G1969" s="377"/>
      <c r="H1969" s="334" t="s">
        <v>342</v>
      </c>
      <c r="I1969" s="399"/>
      <c r="J1969" s="377">
        <v>200</v>
      </c>
      <c r="K1969" s="382"/>
      <c r="L1969" s="380"/>
      <c r="M1969" s="380"/>
      <c r="N1969" s="380"/>
      <c r="O1969" s="380"/>
      <c r="P1969" s="380"/>
      <c r="Q1969" s="380"/>
    </row>
    <row r="1970" spans="1:17" x14ac:dyDescent="0.2">
      <c r="A1970" s="334" t="s">
        <v>1727</v>
      </c>
      <c r="B1970" s="380"/>
      <c r="C1970" s="334" t="s">
        <v>307</v>
      </c>
      <c r="D1970" s="377">
        <v>100</v>
      </c>
      <c r="E1970" s="384"/>
      <c r="F1970" s="378"/>
      <c r="G1970" s="377"/>
      <c r="H1970" s="334" t="s">
        <v>342</v>
      </c>
      <c r="I1970" s="399"/>
      <c r="J1970" s="377">
        <v>150</v>
      </c>
      <c r="K1970" s="382"/>
      <c r="L1970" s="380"/>
      <c r="M1970" s="380"/>
      <c r="N1970" s="380"/>
      <c r="O1970" s="380"/>
      <c r="P1970" s="380"/>
      <c r="Q1970" s="380"/>
    </row>
    <row r="1971" spans="1:17" x14ac:dyDescent="0.2">
      <c r="A1971" s="334" t="s">
        <v>1728</v>
      </c>
      <c r="B1971" s="380"/>
      <c r="C1971" s="334" t="s">
        <v>310</v>
      </c>
      <c r="D1971" s="377"/>
      <c r="E1971" s="384"/>
      <c r="F1971" s="378"/>
      <c r="G1971" s="377"/>
      <c r="H1971" s="334"/>
      <c r="I1971" s="399"/>
      <c r="J1971" s="377">
        <v>0</v>
      </c>
      <c r="K1971" s="382"/>
      <c r="L1971" s="380"/>
      <c r="M1971" s="380"/>
      <c r="N1971" s="380"/>
      <c r="O1971" s="380"/>
      <c r="P1971" s="380"/>
      <c r="Q1971" s="380"/>
    </row>
    <row r="1972" spans="1:17" x14ac:dyDescent="0.2">
      <c r="A1972" s="334" t="s">
        <v>1729</v>
      </c>
      <c r="B1972" s="380"/>
      <c r="C1972" s="380" t="s">
        <v>1551</v>
      </c>
      <c r="D1972" s="377">
        <v>-149</v>
      </c>
      <c r="E1972" s="384"/>
      <c r="F1972" s="378"/>
      <c r="G1972" s="377"/>
      <c r="H1972" s="334" t="s">
        <v>342</v>
      </c>
      <c r="I1972" s="399"/>
      <c r="J1972" s="377">
        <v>5</v>
      </c>
      <c r="K1972" s="382"/>
      <c r="L1972" s="380"/>
      <c r="M1972" s="380"/>
      <c r="N1972" s="380"/>
      <c r="O1972" s="380"/>
      <c r="P1972" s="380"/>
      <c r="Q1972" s="380"/>
    </row>
    <row r="1973" spans="1:17" x14ac:dyDescent="0.2">
      <c r="A1973" s="334" t="s">
        <v>1735</v>
      </c>
      <c r="B1973" s="380"/>
      <c r="C1973" s="380" t="s">
        <v>194</v>
      </c>
      <c r="D1973" s="377"/>
      <c r="E1973" s="384"/>
      <c r="F1973" s="378"/>
      <c r="G1973" s="377"/>
      <c r="H1973" s="334" t="s">
        <v>342</v>
      </c>
      <c r="I1973" s="399"/>
      <c r="J1973" s="377">
        <v>100</v>
      </c>
      <c r="K1973" s="382"/>
      <c r="L1973" s="380"/>
      <c r="M1973" s="380"/>
      <c r="N1973" s="380"/>
      <c r="O1973" s="380"/>
      <c r="P1973" s="380"/>
      <c r="Q1973" s="380"/>
    </row>
    <row r="1974" spans="1:17" x14ac:dyDescent="0.2">
      <c r="A1974" s="334" t="s">
        <v>1730</v>
      </c>
      <c r="B1974" s="380"/>
      <c r="C1974" s="334" t="s">
        <v>1985</v>
      </c>
      <c r="D1974" s="377"/>
      <c r="E1974" s="384"/>
      <c r="F1974" s="378"/>
      <c r="G1974" s="377"/>
      <c r="H1974" s="334"/>
      <c r="I1974" s="399"/>
      <c r="J1974" s="377"/>
      <c r="K1974" s="382"/>
      <c r="L1974" s="380"/>
      <c r="M1974" s="380"/>
      <c r="N1974" s="380"/>
      <c r="O1974" s="380"/>
      <c r="P1974" s="380"/>
      <c r="Q1974" s="380"/>
    </row>
    <row r="1975" spans="1:17" x14ac:dyDescent="0.2">
      <c r="A1975" s="334" t="s">
        <v>1566</v>
      </c>
      <c r="B1975" s="380"/>
      <c r="C1975" s="334" t="s">
        <v>366</v>
      </c>
      <c r="D1975" s="377">
        <v>400</v>
      </c>
      <c r="E1975" s="384"/>
      <c r="F1975" s="378"/>
      <c r="G1975" s="377"/>
      <c r="H1975" s="334" t="s">
        <v>342</v>
      </c>
      <c r="I1975" s="399"/>
      <c r="J1975" s="377">
        <v>400</v>
      </c>
      <c r="K1975" s="382"/>
      <c r="L1975" s="380"/>
      <c r="M1975" s="380"/>
      <c r="N1975" s="380"/>
      <c r="O1975" s="380"/>
      <c r="P1975" s="380"/>
      <c r="Q1975" s="380"/>
    </row>
    <row r="1976" spans="1:17" x14ac:dyDescent="0.2">
      <c r="A1976" s="334" t="s">
        <v>1755</v>
      </c>
      <c r="B1976" s="380"/>
      <c r="C1976" s="380" t="s">
        <v>1986</v>
      </c>
      <c r="D1976" s="377"/>
      <c r="E1976" s="384"/>
      <c r="F1976" s="378"/>
      <c r="G1976" s="377"/>
      <c r="H1976" s="334"/>
      <c r="I1976" s="399"/>
      <c r="J1976" s="377"/>
      <c r="K1976" s="382"/>
      <c r="L1976" s="380"/>
      <c r="M1976" s="380"/>
      <c r="N1976" s="380"/>
      <c r="O1976" s="380"/>
      <c r="P1976" s="380"/>
      <c r="Q1976" s="380"/>
    </row>
    <row r="1977" spans="1:17" x14ac:dyDescent="0.2">
      <c r="A1977" s="391" t="s">
        <v>1743</v>
      </c>
      <c r="B1977" s="380"/>
      <c r="C1977" s="334" t="s">
        <v>1886</v>
      </c>
      <c r="D1977" s="377"/>
      <c r="E1977" s="384"/>
      <c r="F1977" s="378"/>
      <c r="G1977" s="377"/>
      <c r="H1977" s="334"/>
      <c r="I1977" s="399"/>
      <c r="J1977" s="377"/>
      <c r="K1977" s="382"/>
      <c r="L1977" s="380"/>
      <c r="M1977" s="380"/>
      <c r="N1977" s="380"/>
      <c r="O1977" s="380"/>
      <c r="P1977" s="380"/>
      <c r="Q1977" s="380"/>
    </row>
    <row r="1978" spans="1:17" x14ac:dyDescent="0.2">
      <c r="A1978" s="334" t="s">
        <v>1567</v>
      </c>
      <c r="B1978" s="380"/>
      <c r="C1978" s="334" t="s">
        <v>3142</v>
      </c>
      <c r="D1978" s="440">
        <v>0</v>
      </c>
      <c r="E1978" s="384"/>
      <c r="F1978" s="441" t="s">
        <v>3184</v>
      </c>
      <c r="G1978" s="399"/>
      <c r="H1978" s="380"/>
      <c r="I1978" s="399"/>
      <c r="J1978" s="377"/>
      <c r="K1978" s="382"/>
      <c r="L1978" s="380"/>
      <c r="M1978" s="380"/>
      <c r="N1978" s="380"/>
      <c r="O1978" s="380"/>
      <c r="P1978" s="380"/>
      <c r="Q1978" s="380"/>
    </row>
    <row r="1979" spans="1:17" x14ac:dyDescent="0.2">
      <c r="A1979" s="380"/>
      <c r="B1979" s="380"/>
      <c r="C1979" s="380"/>
      <c r="D1979" s="410" t="s">
        <v>342</v>
      </c>
      <c r="E1979" s="334" t="s">
        <v>342</v>
      </c>
      <c r="F1979" s="412" t="s">
        <v>3185</v>
      </c>
      <c r="G1979" s="334"/>
      <c r="H1979" s="334" t="s">
        <v>342</v>
      </c>
      <c r="I1979" s="385"/>
      <c r="J1979" s="410" t="s">
        <v>342</v>
      </c>
      <c r="K1979" s="382"/>
      <c r="L1979" s="380"/>
      <c r="M1979" s="380"/>
      <c r="N1979" s="380"/>
      <c r="O1979" s="380"/>
      <c r="P1979" s="380"/>
      <c r="Q1979" s="380"/>
    </row>
    <row r="1980" spans="1:17" x14ac:dyDescent="0.2">
      <c r="A1980" s="380"/>
      <c r="B1980" s="380"/>
      <c r="C1980" s="380"/>
      <c r="D1980" s="334">
        <f>SUM(D1962:D1978)</f>
        <v>596</v>
      </c>
      <c r="E1980" s="412"/>
      <c r="F1980" s="415"/>
      <c r="G1980" s="385"/>
      <c r="H1980" s="334" t="s">
        <v>342</v>
      </c>
      <c r="I1980" s="385"/>
      <c r="J1980" s="334">
        <f>SUM(J1962:J1978)</f>
        <v>1000</v>
      </c>
      <c r="K1980" s="382"/>
      <c r="L1980" s="380"/>
      <c r="M1980" s="380"/>
      <c r="N1980" s="380"/>
      <c r="O1980" s="380"/>
      <c r="P1980" s="380"/>
      <c r="Q1980" s="380"/>
    </row>
    <row r="1981" spans="1:17" ht="15.75" thickTop="1" x14ac:dyDescent="0.2">
      <c r="A1981" s="380"/>
      <c r="B1981" s="380"/>
      <c r="C1981" s="380"/>
      <c r="D1981" s="395"/>
      <c r="E1981" s="380"/>
      <c r="F1981" s="416"/>
      <c r="G1981" s="380"/>
      <c r="H1981" s="380"/>
      <c r="I1981" s="399"/>
      <c r="J1981" s="395"/>
      <c r="K1981" s="382"/>
      <c r="L1981" s="380"/>
      <c r="M1981" s="380"/>
      <c r="N1981" s="380"/>
      <c r="O1981" s="380"/>
      <c r="P1981" s="380"/>
      <c r="Q1981" s="380"/>
    </row>
    <row r="1982" spans="1:17" x14ac:dyDescent="0.2">
      <c r="A1982" s="377"/>
      <c r="B1982" s="377"/>
      <c r="C1982" s="377"/>
      <c r="D1982" s="377"/>
      <c r="E1982" s="377"/>
      <c r="F1982" s="378"/>
      <c r="G1982" s="377"/>
      <c r="H1982" s="377"/>
      <c r="I1982" s="399"/>
      <c r="J1982" s="377"/>
      <c r="K1982" s="382"/>
      <c r="L1982" s="380"/>
      <c r="M1982" s="380"/>
      <c r="N1982" s="380"/>
      <c r="O1982" s="380"/>
      <c r="P1982" s="380"/>
      <c r="Q1982" s="380"/>
    </row>
    <row r="1983" spans="1:17" x14ac:dyDescent="0.2">
      <c r="A1983" s="380"/>
      <c r="B1983" s="380"/>
      <c r="C1983" s="380"/>
      <c r="D1983" s="380"/>
      <c r="E1983" s="377"/>
      <c r="F1983" s="378"/>
      <c r="G1983" s="377"/>
      <c r="H1983" s="377"/>
      <c r="I1983" s="382"/>
      <c r="J1983" s="380"/>
      <c r="K1983" s="382"/>
      <c r="L1983" s="380"/>
      <c r="M1983" s="380"/>
      <c r="N1983" s="380"/>
      <c r="O1983" s="380"/>
      <c r="P1983" s="380"/>
      <c r="Q1983" s="380"/>
    </row>
    <row r="1984" spans="1:17" x14ac:dyDescent="0.2">
      <c r="A1984" s="334" t="s">
        <v>733</v>
      </c>
      <c r="B1984" s="380"/>
      <c r="C1984" s="380"/>
      <c r="D1984" s="380"/>
      <c r="E1984" s="334" t="s">
        <v>112</v>
      </c>
      <c r="F1984" s="378"/>
      <c r="G1984" s="380"/>
      <c r="H1984" s="380"/>
      <c r="I1984" s="382"/>
      <c r="J1984" s="380"/>
      <c r="K1984" s="382"/>
      <c r="L1984" s="380"/>
      <c r="M1984" s="380"/>
      <c r="N1984" s="380"/>
      <c r="O1984" s="380"/>
      <c r="P1984" s="380"/>
      <c r="Q1984" s="380"/>
    </row>
    <row r="1985" spans="1:17" x14ac:dyDescent="0.2">
      <c r="A1985" s="380"/>
      <c r="B1985" s="380"/>
      <c r="C1985" s="384" t="s">
        <v>2134</v>
      </c>
      <c r="D1985" s="380"/>
      <c r="E1985" s="384" t="s">
        <v>2063</v>
      </c>
      <c r="F1985" s="378"/>
      <c r="G1985" s="380"/>
      <c r="H1985" s="380"/>
      <c r="I1985" s="382"/>
      <c r="J1985" s="380"/>
      <c r="K1985" s="382"/>
      <c r="L1985" s="380"/>
      <c r="M1985" s="380"/>
      <c r="N1985" s="380"/>
      <c r="O1985" s="380"/>
      <c r="P1985" s="380"/>
      <c r="Q1985" s="380"/>
    </row>
    <row r="1986" spans="1:17" x14ac:dyDescent="0.2">
      <c r="A1986" s="380"/>
      <c r="B1986" s="380"/>
      <c r="C1986" s="380"/>
      <c r="D1986" s="380"/>
      <c r="E1986" s="380"/>
      <c r="F1986" s="378"/>
      <c r="G1986" s="380"/>
      <c r="H1986" s="380"/>
      <c r="I1986" s="382"/>
      <c r="J1986" s="380"/>
      <c r="K1986" s="382"/>
      <c r="L1986" s="380"/>
      <c r="M1986" s="380"/>
      <c r="N1986" s="380"/>
      <c r="O1986" s="380"/>
      <c r="P1986" s="380"/>
      <c r="Q1986" s="380"/>
    </row>
    <row r="1987" spans="1:17" x14ac:dyDescent="0.2">
      <c r="A1987" s="334" t="s">
        <v>1723</v>
      </c>
      <c r="B1987" s="380"/>
      <c r="C1987" s="334" t="s">
        <v>1880</v>
      </c>
      <c r="D1987" s="334" t="s">
        <v>181</v>
      </c>
      <c r="E1987" s="334"/>
      <c r="F1987" s="378"/>
      <c r="G1987" s="380"/>
      <c r="H1987" s="334"/>
      <c r="I1987" s="385"/>
      <c r="J1987" s="334" t="s">
        <v>181</v>
      </c>
      <c r="K1987" s="382"/>
      <c r="L1987" s="380"/>
      <c r="M1987" s="380"/>
      <c r="N1987" s="380"/>
      <c r="O1987" s="380"/>
      <c r="P1987" s="380"/>
      <c r="Q1987" s="380"/>
    </row>
    <row r="1988" spans="1:17" x14ac:dyDescent="0.2">
      <c r="A1988" s="377"/>
      <c r="B1988" s="377"/>
      <c r="C1988" s="377"/>
      <c r="D1988" s="334" t="s">
        <v>343</v>
      </c>
      <c r="E1988" s="380"/>
      <c r="F1988" s="378"/>
      <c r="G1988" s="380"/>
      <c r="H1988" s="380"/>
      <c r="I1988" s="385"/>
      <c r="J1988" s="334" t="s">
        <v>343</v>
      </c>
      <c r="K1988" s="382"/>
      <c r="L1988" s="380"/>
      <c r="M1988" s="380"/>
      <c r="N1988" s="380"/>
      <c r="O1988" s="380"/>
      <c r="P1988" s="380"/>
      <c r="Q1988" s="380"/>
    </row>
    <row r="1989" spans="1:17" x14ac:dyDescent="0.2">
      <c r="A1989" s="377"/>
      <c r="B1989" s="377"/>
      <c r="C1989" s="377"/>
      <c r="D1989" s="334"/>
      <c r="E1989" s="334"/>
      <c r="F1989" s="378"/>
      <c r="G1989" s="380"/>
      <c r="H1989" s="380"/>
      <c r="I1989" s="385"/>
      <c r="J1989" s="334"/>
      <c r="K1989" s="382"/>
      <c r="L1989" s="380"/>
      <c r="M1989" s="380"/>
      <c r="N1989" s="380"/>
      <c r="O1989" s="380"/>
      <c r="P1989" s="380"/>
      <c r="Q1989" s="380"/>
    </row>
    <row r="1990" spans="1:17" x14ac:dyDescent="0.2">
      <c r="A1990" s="391" t="s">
        <v>1743</v>
      </c>
      <c r="B1990" s="377"/>
      <c r="C1990" s="334" t="s">
        <v>1886</v>
      </c>
      <c r="D1990" s="377"/>
      <c r="E1990" s="384"/>
      <c r="F1990" s="378"/>
      <c r="G1990" s="377"/>
      <c r="H1990" s="377"/>
      <c r="I1990" s="399"/>
      <c r="J1990" s="377"/>
      <c r="K1990" s="382"/>
      <c r="L1990" s="380"/>
      <c r="M1990" s="380"/>
      <c r="N1990" s="380"/>
      <c r="O1990" s="380"/>
      <c r="P1990" s="380"/>
      <c r="Q1990" s="380"/>
    </row>
    <row r="1991" spans="1:17" x14ac:dyDescent="0.2">
      <c r="A1991" s="334" t="s">
        <v>1724</v>
      </c>
      <c r="B1991" s="380"/>
      <c r="C1991" s="334" t="s">
        <v>1881</v>
      </c>
      <c r="D1991" s="377">
        <f>300+200</f>
        <v>500</v>
      </c>
      <c r="E1991" s="384"/>
      <c r="F1991" s="378"/>
      <c r="G1991" s="377"/>
      <c r="H1991" s="377"/>
      <c r="I1991" s="399"/>
      <c r="J1991" s="377">
        <f>300+200</f>
        <v>500</v>
      </c>
      <c r="K1991" s="382"/>
      <c r="L1991" s="380"/>
      <c r="M1991" s="380"/>
      <c r="N1991" s="380"/>
      <c r="O1991" s="380"/>
      <c r="P1991" s="380"/>
      <c r="Q1991" s="380"/>
    </row>
    <row r="1992" spans="1:17" x14ac:dyDescent="0.2">
      <c r="A1992" s="334" t="s">
        <v>1736</v>
      </c>
      <c r="B1992" s="380"/>
      <c r="C1992" s="334" t="s">
        <v>1747</v>
      </c>
      <c r="D1992" s="377">
        <f>250+200</f>
        <v>450</v>
      </c>
      <c r="E1992" s="384"/>
      <c r="F1992" s="378"/>
      <c r="G1992" s="377"/>
      <c r="H1992" s="377"/>
      <c r="I1992" s="399"/>
      <c r="J1992" s="377">
        <f>250+200</f>
        <v>450</v>
      </c>
      <c r="K1992" s="382"/>
      <c r="L1992" s="380"/>
      <c r="M1992" s="380"/>
      <c r="N1992" s="380"/>
      <c r="O1992" s="380"/>
      <c r="P1992" s="380"/>
      <c r="Q1992" s="380"/>
    </row>
    <row r="1993" spans="1:17" x14ac:dyDescent="0.2">
      <c r="A1993" s="334" t="s">
        <v>1744</v>
      </c>
      <c r="B1993" s="380"/>
      <c r="C1993" s="334" t="s">
        <v>1254</v>
      </c>
      <c r="D1993" s="377">
        <v>400</v>
      </c>
      <c r="E1993" s="384"/>
      <c r="F1993" s="378"/>
      <c r="G1993" s="377"/>
      <c r="H1993" s="377"/>
      <c r="I1993" s="399"/>
      <c r="J1993" s="377">
        <v>400</v>
      </c>
      <c r="K1993" s="382"/>
      <c r="L1993" s="380"/>
      <c r="M1993" s="380"/>
      <c r="N1993" s="380"/>
      <c r="O1993" s="380"/>
      <c r="P1993" s="380"/>
      <c r="Q1993" s="380"/>
    </row>
    <row r="1994" spans="1:17" x14ac:dyDescent="0.2">
      <c r="A1994" s="334" t="s">
        <v>1582</v>
      </c>
      <c r="B1994" s="380"/>
      <c r="C1994" s="334" t="s">
        <v>3135</v>
      </c>
      <c r="D1994" s="377"/>
      <c r="E1994" s="384"/>
      <c r="F1994" s="378"/>
      <c r="G1994" s="377"/>
      <c r="H1994" s="377"/>
      <c r="I1994" s="399"/>
      <c r="J1994" s="377"/>
      <c r="K1994" s="382"/>
      <c r="L1994" s="380"/>
      <c r="M1994" s="380"/>
      <c r="N1994" s="380"/>
      <c r="O1994" s="380"/>
      <c r="P1994" s="380"/>
      <c r="Q1994" s="380"/>
    </row>
    <row r="1995" spans="1:17" x14ac:dyDescent="0.2">
      <c r="A1995" s="334" t="s">
        <v>1725</v>
      </c>
      <c r="B1995" s="380"/>
      <c r="C1995" s="334" t="s">
        <v>1890</v>
      </c>
      <c r="D1995" s="377">
        <v>300</v>
      </c>
      <c r="E1995" s="384"/>
      <c r="F1995" s="378"/>
      <c r="G1995" s="377"/>
      <c r="H1995" s="377"/>
      <c r="I1995" s="399"/>
      <c r="J1995" s="377">
        <v>300</v>
      </c>
      <c r="K1995" s="382"/>
      <c r="L1995" s="380"/>
      <c r="M1995" s="380"/>
      <c r="N1995" s="380"/>
      <c r="O1995" s="380"/>
      <c r="P1995" s="380"/>
      <c r="Q1995" s="380"/>
    </row>
    <row r="1996" spans="1:17" x14ac:dyDescent="0.2">
      <c r="A1996" s="391" t="s">
        <v>1745</v>
      </c>
      <c r="B1996" s="380"/>
      <c r="C1996" s="334" t="s">
        <v>1887</v>
      </c>
      <c r="D1996" s="377">
        <v>180</v>
      </c>
      <c r="E1996" s="384"/>
      <c r="F1996" s="378"/>
      <c r="G1996" s="377"/>
      <c r="H1996" s="377"/>
      <c r="I1996" s="399"/>
      <c r="J1996" s="377">
        <v>180</v>
      </c>
      <c r="K1996" s="382"/>
      <c r="L1996" s="380"/>
      <c r="M1996" s="380"/>
      <c r="N1996" s="380"/>
      <c r="O1996" s="380"/>
      <c r="P1996" s="380"/>
      <c r="Q1996" s="380"/>
    </row>
    <row r="1997" spans="1:17" x14ac:dyDescent="0.2">
      <c r="A1997" s="384" t="s">
        <v>1576</v>
      </c>
      <c r="B1997" s="380"/>
      <c r="C1997" s="334" t="s">
        <v>1590</v>
      </c>
      <c r="D1997" s="377">
        <v>60</v>
      </c>
      <c r="E1997" s="384"/>
      <c r="F1997" s="378"/>
      <c r="G1997" s="377"/>
      <c r="H1997" s="377"/>
      <c r="I1997" s="399"/>
      <c r="J1997" s="377"/>
      <c r="K1997" s="382"/>
      <c r="L1997" s="380"/>
      <c r="M1997" s="380"/>
      <c r="N1997" s="380"/>
      <c r="O1997" s="380"/>
      <c r="P1997" s="380"/>
      <c r="Q1997" s="380"/>
    </row>
    <row r="1998" spans="1:17" x14ac:dyDescent="0.2">
      <c r="A1998" s="334" t="s">
        <v>1565</v>
      </c>
      <c r="B1998" s="380"/>
      <c r="C1998" s="334" t="s">
        <v>1927</v>
      </c>
      <c r="D1998" s="377">
        <v>100</v>
      </c>
      <c r="E1998" s="384"/>
      <c r="F1998" s="378"/>
      <c r="G1998" s="377"/>
      <c r="H1998" s="377"/>
      <c r="I1998" s="399"/>
      <c r="J1998" s="377">
        <v>100</v>
      </c>
      <c r="K1998" s="382"/>
      <c r="L1998" s="380"/>
      <c r="M1998" s="380"/>
      <c r="N1998" s="380"/>
      <c r="O1998" s="380"/>
      <c r="P1998" s="380"/>
      <c r="Q1998" s="380"/>
    </row>
    <row r="1999" spans="1:17" x14ac:dyDescent="0.2">
      <c r="A1999" s="334" t="s">
        <v>1737</v>
      </c>
      <c r="B1999" s="380"/>
      <c r="C1999" s="334" t="s">
        <v>1984</v>
      </c>
      <c r="D1999" s="377">
        <v>700</v>
      </c>
      <c r="E1999" s="384"/>
      <c r="F1999" s="378"/>
      <c r="G1999" s="377"/>
      <c r="H1999" s="377"/>
      <c r="I1999" s="399"/>
      <c r="J1999" s="377">
        <f>300+120+150</f>
        <v>570</v>
      </c>
      <c r="K1999" s="382"/>
      <c r="L1999" s="380"/>
      <c r="M1999" s="380"/>
      <c r="N1999" s="380"/>
      <c r="O1999" s="380"/>
      <c r="P1999" s="380"/>
      <c r="Q1999" s="380"/>
    </row>
    <row r="2000" spans="1:17" x14ac:dyDescent="0.2">
      <c r="A2000" s="334" t="s">
        <v>1726</v>
      </c>
      <c r="B2000" s="380"/>
      <c r="C2000" s="334" t="s">
        <v>1117</v>
      </c>
      <c r="D2000" s="377"/>
      <c r="E2000" s="384"/>
      <c r="F2000" s="378"/>
      <c r="G2000" s="377"/>
      <c r="H2000" s="377"/>
      <c r="I2000" s="399"/>
      <c r="J2000" s="377"/>
      <c r="K2000" s="382"/>
      <c r="L2000" s="380"/>
      <c r="M2000" s="380"/>
      <c r="N2000" s="380"/>
      <c r="O2000" s="380"/>
      <c r="P2000" s="380"/>
      <c r="Q2000" s="380"/>
    </row>
    <row r="2001" spans="1:17" x14ac:dyDescent="0.2">
      <c r="A2001" s="391" t="s">
        <v>1751</v>
      </c>
      <c r="B2001" s="380"/>
      <c r="C2001" s="334" t="s">
        <v>3138</v>
      </c>
      <c r="D2001" s="377">
        <v>120</v>
      </c>
      <c r="E2001" s="384"/>
      <c r="F2001" s="378"/>
      <c r="G2001" s="377"/>
      <c r="H2001" s="377"/>
      <c r="I2001" s="399"/>
      <c r="J2001" s="377"/>
      <c r="K2001" s="382"/>
      <c r="L2001" s="380"/>
      <c r="M2001" s="380"/>
      <c r="N2001" s="380"/>
      <c r="O2001" s="380"/>
      <c r="P2001" s="380"/>
      <c r="Q2001" s="380"/>
    </row>
    <row r="2002" spans="1:17" x14ac:dyDescent="0.2">
      <c r="A2002" s="403" t="s">
        <v>1577</v>
      </c>
      <c r="B2002" s="380"/>
      <c r="C2002" s="334" t="s">
        <v>1815</v>
      </c>
      <c r="D2002" s="377">
        <v>500</v>
      </c>
      <c r="E2002" s="384"/>
      <c r="F2002" s="378"/>
      <c r="G2002" s="377"/>
      <c r="H2002" s="377"/>
      <c r="I2002" s="399"/>
      <c r="J2002" s="377">
        <v>500</v>
      </c>
      <c r="K2002" s="382"/>
      <c r="L2002" s="380"/>
      <c r="M2002" s="380"/>
      <c r="N2002" s="380"/>
      <c r="O2002" s="380"/>
      <c r="P2002" s="380"/>
      <c r="Q2002" s="380"/>
    </row>
    <row r="2003" spans="1:17" x14ac:dyDescent="0.2">
      <c r="A2003" s="334" t="s">
        <v>1734</v>
      </c>
      <c r="B2003" s="380"/>
      <c r="C2003" s="334" t="s">
        <v>1746</v>
      </c>
      <c r="D2003" s="377"/>
      <c r="E2003" s="384"/>
      <c r="F2003" s="378"/>
      <c r="G2003" s="377"/>
      <c r="H2003" s="377"/>
      <c r="I2003" s="399"/>
      <c r="J2003" s="377"/>
      <c r="K2003" s="382"/>
      <c r="L2003" s="380"/>
      <c r="M2003" s="380"/>
      <c r="N2003" s="380"/>
      <c r="O2003" s="380"/>
      <c r="P2003" s="380"/>
      <c r="Q2003" s="380"/>
    </row>
    <row r="2004" spans="1:17" x14ac:dyDescent="0.2">
      <c r="A2004" s="334" t="s">
        <v>1571</v>
      </c>
      <c r="B2004" s="380"/>
      <c r="C2004" s="334" t="s">
        <v>3</v>
      </c>
      <c r="D2004" s="377"/>
      <c r="E2004" s="384"/>
      <c r="F2004" s="378"/>
      <c r="G2004" s="377"/>
      <c r="H2004" s="377"/>
      <c r="I2004" s="399"/>
      <c r="J2004" s="377"/>
      <c r="K2004" s="382"/>
      <c r="L2004" s="380"/>
      <c r="M2004" s="380"/>
      <c r="N2004" s="380"/>
      <c r="O2004" s="380"/>
      <c r="P2004" s="380"/>
      <c r="Q2004" s="380"/>
    </row>
    <row r="2005" spans="1:17" x14ac:dyDescent="0.2">
      <c r="A2005" s="334" t="s">
        <v>1578</v>
      </c>
      <c r="B2005" s="380"/>
      <c r="C2005" s="334" t="s">
        <v>22</v>
      </c>
      <c r="D2005" s="377"/>
      <c r="E2005" s="384"/>
      <c r="F2005" s="378"/>
      <c r="G2005" s="377"/>
      <c r="H2005" s="377"/>
      <c r="I2005" s="399"/>
      <c r="J2005" s="377"/>
      <c r="K2005" s="382"/>
      <c r="L2005" s="380"/>
      <c r="M2005" s="380"/>
      <c r="N2005" s="380"/>
      <c r="O2005" s="380"/>
      <c r="P2005" s="380"/>
      <c r="Q2005" s="380"/>
    </row>
    <row r="2006" spans="1:17" x14ac:dyDescent="0.2">
      <c r="A2006" s="334" t="s">
        <v>1738</v>
      </c>
      <c r="B2006" s="380"/>
      <c r="C2006" s="334" t="s">
        <v>1591</v>
      </c>
      <c r="D2006" s="377">
        <v>600</v>
      </c>
      <c r="E2006" s="384"/>
      <c r="F2006" s="378"/>
      <c r="G2006" s="377"/>
      <c r="H2006" s="377"/>
      <c r="I2006" s="399"/>
      <c r="J2006" s="377">
        <f>200+150+250</f>
        <v>600</v>
      </c>
      <c r="K2006" s="382"/>
      <c r="L2006" s="380"/>
      <c r="M2006" s="380"/>
      <c r="N2006" s="380"/>
      <c r="O2006" s="380"/>
      <c r="P2006" s="380"/>
      <c r="Q2006" s="380"/>
    </row>
    <row r="2007" spans="1:17" x14ac:dyDescent="0.2">
      <c r="A2007" s="334" t="s">
        <v>1727</v>
      </c>
      <c r="B2007" s="380"/>
      <c r="C2007" s="334" t="s">
        <v>307</v>
      </c>
      <c r="D2007" s="377">
        <f>50+75+250</f>
        <v>375</v>
      </c>
      <c r="E2007" s="384"/>
      <c r="F2007" s="378"/>
      <c r="G2007" s="377"/>
      <c r="H2007" s="377"/>
      <c r="I2007" s="399"/>
      <c r="J2007" s="377">
        <f>50+75+250</f>
        <v>375</v>
      </c>
      <c r="K2007" s="382"/>
      <c r="L2007" s="380"/>
      <c r="M2007" s="380"/>
      <c r="N2007" s="380"/>
      <c r="O2007" s="380"/>
      <c r="P2007" s="380"/>
      <c r="Q2007" s="380"/>
    </row>
    <row r="2008" spans="1:17" x14ac:dyDescent="0.2">
      <c r="A2008" s="334" t="s">
        <v>1728</v>
      </c>
      <c r="B2008" s="380"/>
      <c r="C2008" s="334" t="s">
        <v>310</v>
      </c>
      <c r="D2008" s="377">
        <v>450</v>
      </c>
      <c r="E2008" s="384"/>
      <c r="F2008" s="378"/>
      <c r="G2008" s="377"/>
      <c r="H2008" s="377"/>
      <c r="I2008" s="399"/>
      <c r="J2008" s="377">
        <v>450</v>
      </c>
      <c r="K2008" s="382"/>
      <c r="L2008" s="380"/>
      <c r="M2008" s="380"/>
      <c r="N2008" s="380"/>
      <c r="O2008" s="380"/>
      <c r="P2008" s="380"/>
      <c r="Q2008" s="380"/>
    </row>
    <row r="2009" spans="1:17" x14ac:dyDescent="0.2">
      <c r="A2009" s="334" t="s">
        <v>1729</v>
      </c>
      <c r="B2009" s="380"/>
      <c r="C2009" s="380" t="s">
        <v>1551</v>
      </c>
      <c r="D2009" s="377">
        <f>-2717-6000</f>
        <v>-8717</v>
      </c>
      <c r="E2009" s="384"/>
      <c r="F2009" s="378"/>
      <c r="G2009" s="377"/>
      <c r="H2009" s="377"/>
      <c r="I2009" s="399"/>
      <c r="J2009" s="377">
        <v>120</v>
      </c>
      <c r="K2009" s="382"/>
      <c r="L2009" s="380"/>
      <c r="M2009" s="380"/>
      <c r="N2009" s="380"/>
      <c r="O2009" s="380"/>
      <c r="P2009" s="380"/>
      <c r="Q2009" s="380"/>
    </row>
    <row r="2010" spans="1:17" x14ac:dyDescent="0.2">
      <c r="A2010" s="334" t="s">
        <v>1735</v>
      </c>
      <c r="B2010" s="380"/>
      <c r="C2010" s="380" t="s">
        <v>194</v>
      </c>
      <c r="D2010" s="377"/>
      <c r="E2010" s="384"/>
      <c r="F2010" s="378"/>
      <c r="G2010" s="377"/>
      <c r="H2010" s="377"/>
      <c r="I2010" s="399"/>
      <c r="J2010" s="377">
        <v>150</v>
      </c>
      <c r="K2010" s="382"/>
      <c r="L2010" s="380"/>
      <c r="M2010" s="380"/>
      <c r="N2010" s="380"/>
      <c r="O2010" s="380"/>
      <c r="P2010" s="380"/>
      <c r="Q2010" s="380"/>
    </row>
    <row r="2011" spans="1:17" x14ac:dyDescent="0.2">
      <c r="A2011" s="334" t="s">
        <v>1741</v>
      </c>
      <c r="B2011" s="380"/>
      <c r="C2011" s="334" t="s">
        <v>1748</v>
      </c>
      <c r="D2011" s="377">
        <v>300</v>
      </c>
      <c r="E2011" s="384"/>
      <c r="F2011" s="378"/>
      <c r="G2011" s="377"/>
      <c r="H2011" s="377"/>
      <c r="I2011" s="399"/>
      <c r="J2011" s="377">
        <v>400</v>
      </c>
      <c r="K2011" s="382"/>
      <c r="L2011" s="380"/>
      <c r="M2011" s="380"/>
      <c r="N2011" s="380"/>
      <c r="O2011" s="380"/>
      <c r="P2011" s="380"/>
      <c r="Q2011" s="380"/>
    </row>
    <row r="2012" spans="1:17" x14ac:dyDescent="0.2">
      <c r="A2012" s="384" t="s">
        <v>1754</v>
      </c>
      <c r="B2012" s="380"/>
      <c r="C2012" s="334" t="s">
        <v>1929</v>
      </c>
      <c r="D2012" s="377"/>
      <c r="E2012" s="384"/>
      <c r="F2012" s="378"/>
      <c r="G2012" s="377"/>
      <c r="H2012" s="377"/>
      <c r="I2012" s="399"/>
      <c r="J2012" s="377"/>
      <c r="K2012" s="382"/>
      <c r="L2012" s="380"/>
      <c r="M2012" s="380"/>
      <c r="N2012" s="380"/>
      <c r="O2012" s="380"/>
      <c r="P2012" s="380"/>
      <c r="Q2012" s="380"/>
    </row>
    <row r="2013" spans="1:17" x14ac:dyDescent="0.2">
      <c r="A2013" s="384" t="s">
        <v>1584</v>
      </c>
      <c r="B2013" s="380"/>
      <c r="C2013" s="334" t="s">
        <v>0</v>
      </c>
      <c r="D2013" s="377"/>
      <c r="E2013" s="384"/>
      <c r="F2013" s="378"/>
      <c r="G2013" s="377"/>
      <c r="H2013" s="377"/>
      <c r="I2013" s="399"/>
      <c r="J2013" s="377"/>
      <c r="K2013" s="382"/>
      <c r="L2013" s="380"/>
      <c r="M2013" s="380"/>
      <c r="N2013" s="380"/>
      <c r="O2013" s="380"/>
      <c r="P2013" s="380"/>
      <c r="Q2013" s="380"/>
    </row>
    <row r="2014" spans="1:17" x14ac:dyDescent="0.2">
      <c r="A2014" s="334" t="s">
        <v>1580</v>
      </c>
      <c r="B2014" s="380"/>
      <c r="C2014" s="334" t="s">
        <v>1935</v>
      </c>
      <c r="D2014" s="377"/>
      <c r="E2014" s="384"/>
      <c r="F2014" s="378"/>
      <c r="G2014" s="377"/>
      <c r="H2014" s="377"/>
      <c r="I2014" s="399"/>
      <c r="J2014" s="377">
        <v>60</v>
      </c>
      <c r="K2014" s="382"/>
      <c r="L2014" s="380"/>
      <c r="M2014" s="380"/>
      <c r="N2014" s="380"/>
      <c r="O2014" s="380"/>
      <c r="P2014" s="380"/>
      <c r="Q2014" s="380"/>
    </row>
    <row r="2015" spans="1:17" x14ac:dyDescent="0.2">
      <c r="A2015" s="334" t="s">
        <v>1572</v>
      </c>
      <c r="B2015" s="380"/>
      <c r="C2015" s="334" t="s">
        <v>3134</v>
      </c>
      <c r="D2015" s="377"/>
      <c r="E2015" s="384"/>
      <c r="F2015" s="378"/>
      <c r="G2015" s="377"/>
      <c r="H2015" s="377"/>
      <c r="I2015" s="399"/>
      <c r="J2015" s="377"/>
      <c r="K2015" s="382"/>
      <c r="L2015" s="380"/>
      <c r="M2015" s="380"/>
      <c r="N2015" s="380"/>
      <c r="O2015" s="380"/>
      <c r="P2015" s="380"/>
      <c r="Q2015" s="380"/>
    </row>
    <row r="2016" spans="1:17" x14ac:dyDescent="0.2">
      <c r="A2016" s="334" t="s">
        <v>1730</v>
      </c>
      <c r="B2016" s="380"/>
      <c r="C2016" s="334" t="s">
        <v>1985</v>
      </c>
      <c r="D2016" s="377">
        <v>5850</v>
      </c>
      <c r="E2016" s="384"/>
      <c r="F2016" s="378"/>
      <c r="G2016" s="377"/>
      <c r="H2016" s="377"/>
      <c r="I2016" s="399"/>
      <c r="J2016" s="377">
        <f>2100+100+3000</f>
        <v>5200</v>
      </c>
      <c r="K2016" s="382"/>
      <c r="L2016" s="380"/>
      <c r="M2016" s="380"/>
      <c r="N2016" s="380"/>
      <c r="O2016" s="380"/>
      <c r="P2016" s="380"/>
      <c r="Q2016" s="380"/>
    </row>
    <row r="2017" spans="1:17" x14ac:dyDescent="0.2">
      <c r="A2017" s="334" t="s">
        <v>1566</v>
      </c>
      <c r="B2017" s="380"/>
      <c r="C2017" s="334" t="s">
        <v>366</v>
      </c>
      <c r="D2017" s="377">
        <v>1200</v>
      </c>
      <c r="E2017" s="384"/>
      <c r="F2017" s="378"/>
      <c r="G2017" s="377"/>
      <c r="H2017" s="377"/>
      <c r="I2017" s="399"/>
      <c r="J2017" s="377">
        <v>1200</v>
      </c>
      <c r="K2017" s="382"/>
      <c r="L2017" s="380"/>
      <c r="M2017" s="380"/>
      <c r="N2017" s="380"/>
      <c r="O2017" s="380"/>
      <c r="P2017" s="380"/>
      <c r="Q2017" s="380"/>
    </row>
    <row r="2018" spans="1:17" x14ac:dyDescent="0.2">
      <c r="A2018" s="334" t="s">
        <v>1755</v>
      </c>
      <c r="B2018" s="380"/>
      <c r="C2018" s="380" t="s">
        <v>1986</v>
      </c>
      <c r="D2018" s="377"/>
      <c r="E2018" s="384"/>
      <c r="F2018" s="378"/>
      <c r="G2018" s="377"/>
      <c r="H2018" s="377"/>
      <c r="I2018" s="399"/>
      <c r="J2018" s="377"/>
      <c r="K2018" s="382"/>
      <c r="L2018" s="380"/>
      <c r="M2018" s="380"/>
      <c r="N2018" s="380"/>
      <c r="O2018" s="380"/>
      <c r="P2018" s="380"/>
      <c r="Q2018" s="380"/>
    </row>
    <row r="2019" spans="1:17" x14ac:dyDescent="0.2">
      <c r="A2019" s="384" t="s">
        <v>1962</v>
      </c>
      <c r="B2019" s="380"/>
      <c r="C2019" s="380" t="s">
        <v>572</v>
      </c>
      <c r="D2019" s="377">
        <v>1500</v>
      </c>
      <c r="E2019" s="416"/>
      <c r="F2019" s="416"/>
      <c r="G2019" s="399"/>
      <c r="H2019" s="399"/>
      <c r="I2019" s="399"/>
      <c r="J2019" s="377"/>
      <c r="K2019" s="382"/>
      <c r="L2019" s="380"/>
      <c r="M2019" s="380"/>
      <c r="N2019" s="380"/>
      <c r="O2019" s="380"/>
      <c r="P2019" s="380"/>
      <c r="Q2019" s="380"/>
    </row>
    <row r="2020" spans="1:17" x14ac:dyDescent="0.2">
      <c r="A2020" s="334" t="s">
        <v>342</v>
      </c>
      <c r="B2020" s="380"/>
      <c r="C2020" s="334" t="s">
        <v>342</v>
      </c>
      <c r="D2020" s="410" t="s">
        <v>342</v>
      </c>
      <c r="E2020" s="416"/>
      <c r="F2020" s="416"/>
      <c r="G2020" s="382"/>
      <c r="H2020" s="385"/>
      <c r="I2020" s="385"/>
      <c r="J2020" s="410" t="s">
        <v>342</v>
      </c>
      <c r="K2020" s="382"/>
      <c r="L2020" s="380"/>
      <c r="M2020" s="380"/>
      <c r="N2020" s="380"/>
      <c r="O2020" s="380"/>
      <c r="P2020" s="380"/>
      <c r="Q2020" s="380"/>
    </row>
    <row r="2021" spans="1:17" x14ac:dyDescent="0.2">
      <c r="A2021" s="334" t="s">
        <v>342</v>
      </c>
      <c r="B2021" s="380"/>
      <c r="C2021" s="334" t="s">
        <v>342</v>
      </c>
      <c r="D2021" s="334">
        <f>SUM(D1990:D2019)</f>
        <v>4868</v>
      </c>
      <c r="E2021" s="415"/>
      <c r="F2021" s="412"/>
      <c r="G2021" s="334"/>
      <c r="H2021" s="385"/>
      <c r="I2021" s="385"/>
      <c r="J2021" s="334">
        <f>SUM(J1990:J2019)</f>
        <v>11555</v>
      </c>
      <c r="K2021" s="382"/>
      <c r="L2021" s="380"/>
      <c r="M2021" s="380"/>
      <c r="N2021" s="380"/>
      <c r="O2021" s="380"/>
      <c r="P2021" s="380"/>
      <c r="Q2021" s="380"/>
    </row>
    <row r="2022" spans="1:17" ht="15.75" thickTop="1" x14ac:dyDescent="0.2">
      <c r="A2022" s="334" t="s">
        <v>342</v>
      </c>
      <c r="B2022" s="380"/>
      <c r="C2022" s="334" t="s">
        <v>342</v>
      </c>
      <c r="D2022" s="400" t="s">
        <v>342</v>
      </c>
      <c r="E2022" s="399"/>
      <c r="F2022" s="416"/>
      <c r="G2022" s="399"/>
      <c r="H2022" s="382"/>
      <c r="I2022" s="385"/>
      <c r="J2022" s="400" t="s">
        <v>342</v>
      </c>
      <c r="K2022" s="382"/>
      <c r="L2022" s="380"/>
      <c r="M2022" s="380"/>
      <c r="N2022" s="380"/>
      <c r="O2022" s="380"/>
      <c r="P2022" s="380"/>
      <c r="Q2022" s="380"/>
    </row>
    <row r="2023" spans="1:17" x14ac:dyDescent="0.2">
      <c r="A2023" s="334" t="s">
        <v>342</v>
      </c>
      <c r="B2023" s="377"/>
      <c r="C2023" s="334" t="s">
        <v>342</v>
      </c>
      <c r="D2023" s="334"/>
      <c r="E2023" s="377"/>
      <c r="F2023" s="378"/>
      <c r="G2023" s="377"/>
      <c r="H2023" s="377"/>
      <c r="I2023" s="385"/>
      <c r="J2023" s="334"/>
      <c r="K2023" s="382"/>
      <c r="L2023" s="380"/>
      <c r="M2023" s="380"/>
      <c r="N2023" s="380"/>
      <c r="O2023" s="380"/>
      <c r="P2023" s="380"/>
      <c r="Q2023" s="380"/>
    </row>
    <row r="2024" spans="1:17" x14ac:dyDescent="0.2">
      <c r="A2024" s="377"/>
      <c r="B2024" s="377"/>
      <c r="C2024" s="377"/>
      <c r="D2024" s="377"/>
      <c r="E2024" s="377"/>
      <c r="F2024" s="378"/>
      <c r="G2024" s="377"/>
      <c r="H2024" s="377"/>
      <c r="I2024" s="399"/>
      <c r="J2024" s="377"/>
      <c r="K2024" s="382"/>
      <c r="L2024" s="380"/>
      <c r="M2024" s="380"/>
      <c r="N2024" s="380"/>
      <c r="O2024" s="380"/>
      <c r="P2024" s="380"/>
      <c r="Q2024" s="380"/>
    </row>
    <row r="2025" spans="1:17" x14ac:dyDescent="0.2">
      <c r="A2025" s="380"/>
      <c r="B2025" s="380"/>
      <c r="C2025" s="380"/>
      <c r="D2025" s="380"/>
      <c r="E2025" s="380"/>
      <c r="F2025" s="378"/>
      <c r="G2025" s="380"/>
      <c r="H2025" s="380"/>
      <c r="I2025" s="382"/>
      <c r="J2025" s="380"/>
      <c r="K2025" s="382"/>
      <c r="L2025" s="380"/>
      <c r="M2025" s="380"/>
      <c r="N2025" s="380"/>
      <c r="O2025" s="380"/>
      <c r="P2025" s="380"/>
      <c r="Q2025" s="380"/>
    </row>
    <row r="2026" spans="1:17" x14ac:dyDescent="0.2">
      <c r="A2026" s="334" t="s">
        <v>1803</v>
      </c>
      <c r="B2026" s="380"/>
      <c r="C2026" s="380"/>
      <c r="D2026" s="380"/>
      <c r="E2026" s="384"/>
      <c r="F2026" s="378"/>
      <c r="G2026" s="380"/>
      <c r="H2026" s="380"/>
      <c r="I2026" s="382"/>
      <c r="J2026" s="380"/>
      <c r="K2026" s="382"/>
      <c r="L2026" s="380"/>
      <c r="M2026" s="380"/>
      <c r="N2026" s="380"/>
      <c r="O2026" s="380"/>
      <c r="P2026" s="380"/>
      <c r="Q2026" s="380"/>
    </row>
    <row r="2027" spans="1:17" x14ac:dyDescent="0.2">
      <c r="A2027" s="380"/>
      <c r="B2027" s="380"/>
      <c r="C2027" s="384" t="s">
        <v>2135</v>
      </c>
      <c r="D2027" s="380"/>
      <c r="E2027" s="384"/>
      <c r="F2027" s="378"/>
      <c r="G2027" s="380"/>
      <c r="H2027" s="380"/>
      <c r="I2027" s="382"/>
      <c r="J2027" s="380"/>
      <c r="K2027" s="382"/>
      <c r="L2027" s="380"/>
      <c r="M2027" s="380"/>
      <c r="N2027" s="380"/>
      <c r="O2027" s="380"/>
      <c r="P2027" s="380"/>
      <c r="Q2027" s="380"/>
    </row>
    <row r="2028" spans="1:17" x14ac:dyDescent="0.2">
      <c r="A2028" s="380"/>
      <c r="B2028" s="380"/>
      <c r="C2028" s="380"/>
      <c r="D2028" s="380"/>
      <c r="E2028" s="380"/>
      <c r="F2028" s="378"/>
      <c r="G2028" s="380"/>
      <c r="H2028" s="380"/>
      <c r="I2028" s="382"/>
      <c r="J2028" s="380"/>
      <c r="K2028" s="382"/>
      <c r="L2028" s="380"/>
      <c r="M2028" s="380"/>
      <c r="N2028" s="380"/>
      <c r="O2028" s="380"/>
      <c r="P2028" s="380"/>
      <c r="Q2028" s="380"/>
    </row>
    <row r="2029" spans="1:17" x14ac:dyDescent="0.2">
      <c r="A2029" s="334" t="s">
        <v>1723</v>
      </c>
      <c r="B2029" s="380"/>
      <c r="C2029" s="334" t="s">
        <v>1880</v>
      </c>
      <c r="D2029" s="334" t="s">
        <v>181</v>
      </c>
      <c r="E2029" s="380"/>
      <c r="F2029" s="378"/>
      <c r="G2029" s="380"/>
      <c r="H2029" s="380"/>
      <c r="I2029" s="385"/>
      <c r="J2029" s="334" t="s">
        <v>181</v>
      </c>
      <c r="K2029" s="382"/>
      <c r="L2029" s="380"/>
      <c r="M2029" s="380"/>
      <c r="N2029" s="380"/>
      <c r="O2029" s="380"/>
      <c r="P2029" s="380"/>
      <c r="Q2029" s="380"/>
    </row>
    <row r="2030" spans="1:17" x14ac:dyDescent="0.2">
      <c r="A2030" s="380"/>
      <c r="B2030" s="380"/>
      <c r="C2030" s="380"/>
      <c r="D2030" s="380"/>
      <c r="E2030" s="380"/>
      <c r="F2030" s="378"/>
      <c r="G2030" s="380"/>
      <c r="H2030" s="380"/>
      <c r="I2030" s="382"/>
      <c r="J2030" s="380"/>
      <c r="K2030" s="382"/>
      <c r="L2030" s="380"/>
      <c r="M2030" s="380"/>
      <c r="N2030" s="380"/>
      <c r="O2030" s="380"/>
      <c r="P2030" s="380"/>
      <c r="Q2030" s="380"/>
    </row>
    <row r="2031" spans="1:17" x14ac:dyDescent="0.2">
      <c r="A2031" s="391" t="s">
        <v>1743</v>
      </c>
      <c r="B2031" s="380"/>
      <c r="C2031" s="334" t="s">
        <v>1886</v>
      </c>
      <c r="D2031" s="377"/>
      <c r="E2031" s="384"/>
      <c r="F2031" s="378"/>
      <c r="G2031" s="380"/>
      <c r="H2031" s="380"/>
      <c r="I2031" s="399"/>
      <c r="J2031" s="377"/>
      <c r="K2031" s="382"/>
      <c r="L2031" s="380"/>
      <c r="M2031" s="380"/>
      <c r="N2031" s="380"/>
      <c r="O2031" s="380"/>
      <c r="P2031" s="380"/>
      <c r="Q2031" s="380"/>
    </row>
    <row r="2032" spans="1:17" x14ac:dyDescent="0.2">
      <c r="A2032" s="334" t="s">
        <v>1724</v>
      </c>
      <c r="B2032" s="380"/>
      <c r="C2032" s="334" t="s">
        <v>1881</v>
      </c>
      <c r="D2032" s="377">
        <v>90</v>
      </c>
      <c r="E2032" s="384"/>
      <c r="F2032" s="378"/>
      <c r="G2032" s="380"/>
      <c r="H2032" s="380"/>
      <c r="I2032" s="399"/>
      <c r="J2032" s="377">
        <v>90</v>
      </c>
      <c r="K2032" s="382"/>
      <c r="L2032" s="380"/>
      <c r="M2032" s="380"/>
      <c r="N2032" s="380"/>
      <c r="O2032" s="380"/>
      <c r="P2032" s="380"/>
      <c r="Q2032" s="380"/>
    </row>
    <row r="2033" spans="1:17" x14ac:dyDescent="0.2">
      <c r="A2033" s="334" t="s">
        <v>1736</v>
      </c>
      <c r="B2033" s="380"/>
      <c r="C2033" s="334" t="s">
        <v>1747</v>
      </c>
      <c r="D2033" s="377"/>
      <c r="E2033" s="384"/>
      <c r="F2033" s="378"/>
      <c r="G2033" s="380"/>
      <c r="H2033" s="380"/>
      <c r="I2033" s="399"/>
      <c r="J2033" s="377"/>
      <c r="K2033" s="382"/>
      <c r="L2033" s="380"/>
      <c r="M2033" s="380"/>
      <c r="N2033" s="380"/>
      <c r="O2033" s="380"/>
      <c r="P2033" s="380"/>
      <c r="Q2033" s="380"/>
    </row>
    <row r="2034" spans="1:17" x14ac:dyDescent="0.2">
      <c r="A2034" s="334" t="s">
        <v>1744</v>
      </c>
      <c r="B2034" s="380"/>
      <c r="C2034" s="334" t="s">
        <v>1254</v>
      </c>
      <c r="D2034" s="377">
        <v>270</v>
      </c>
      <c r="E2034" s="384"/>
      <c r="F2034" s="378"/>
      <c r="G2034" s="380"/>
      <c r="H2034" s="380"/>
      <c r="I2034" s="399"/>
      <c r="J2034" s="377">
        <v>270</v>
      </c>
      <c r="K2034" s="382"/>
      <c r="L2034" s="380"/>
      <c r="M2034" s="380"/>
      <c r="N2034" s="380"/>
      <c r="O2034" s="380"/>
      <c r="P2034" s="380"/>
      <c r="Q2034" s="380"/>
    </row>
    <row r="2035" spans="1:17" x14ac:dyDescent="0.2">
      <c r="A2035" s="384" t="s">
        <v>1582</v>
      </c>
      <c r="B2035" s="380"/>
      <c r="C2035" s="334" t="s">
        <v>3135</v>
      </c>
      <c r="D2035" s="377"/>
      <c r="E2035" s="384"/>
      <c r="F2035" s="378"/>
      <c r="G2035" s="380"/>
      <c r="H2035" s="380"/>
      <c r="I2035" s="399"/>
      <c r="J2035" s="377"/>
      <c r="K2035" s="382"/>
      <c r="L2035" s="380"/>
      <c r="M2035" s="380"/>
      <c r="N2035" s="380"/>
      <c r="O2035" s="380"/>
      <c r="P2035" s="380"/>
      <c r="Q2035" s="380"/>
    </row>
    <row r="2036" spans="1:17" x14ac:dyDescent="0.2">
      <c r="A2036" s="334" t="s">
        <v>1725</v>
      </c>
      <c r="B2036" s="380"/>
      <c r="C2036" s="334" t="s">
        <v>1890</v>
      </c>
      <c r="D2036" s="377">
        <v>45</v>
      </c>
      <c r="E2036" s="384"/>
      <c r="F2036" s="378"/>
      <c r="G2036" s="380"/>
      <c r="H2036" s="380"/>
      <c r="I2036" s="399"/>
      <c r="J2036" s="377">
        <v>45</v>
      </c>
      <c r="K2036" s="382"/>
      <c r="L2036" s="380"/>
      <c r="M2036" s="380"/>
      <c r="N2036" s="380"/>
      <c r="O2036" s="380"/>
      <c r="P2036" s="380"/>
      <c r="Q2036" s="380"/>
    </row>
    <row r="2037" spans="1:17" x14ac:dyDescent="0.2">
      <c r="A2037" s="384" t="s">
        <v>1745</v>
      </c>
      <c r="B2037" s="380"/>
      <c r="C2037" s="334" t="s">
        <v>1887</v>
      </c>
      <c r="D2037" s="377"/>
      <c r="E2037" s="384"/>
      <c r="F2037" s="378"/>
      <c r="G2037" s="380"/>
      <c r="H2037" s="380"/>
      <c r="I2037" s="399"/>
      <c r="J2037" s="377"/>
      <c r="K2037" s="382"/>
      <c r="L2037" s="380"/>
      <c r="M2037" s="380"/>
      <c r="N2037" s="380"/>
      <c r="O2037" s="380"/>
      <c r="P2037" s="380"/>
      <c r="Q2037" s="380"/>
    </row>
    <row r="2038" spans="1:17" x14ac:dyDescent="0.2">
      <c r="A2038" s="334" t="s">
        <v>1737</v>
      </c>
      <c r="B2038" s="380"/>
      <c r="C2038" s="334" t="s">
        <v>1984</v>
      </c>
      <c r="D2038" s="377">
        <v>165</v>
      </c>
      <c r="E2038" s="384"/>
      <c r="F2038" s="378"/>
      <c r="G2038" s="380"/>
      <c r="H2038" s="380"/>
      <c r="I2038" s="399"/>
      <c r="J2038" s="377">
        <v>165</v>
      </c>
      <c r="K2038" s="382"/>
      <c r="L2038" s="380"/>
      <c r="M2038" s="380"/>
      <c r="N2038" s="380"/>
      <c r="O2038" s="380"/>
      <c r="P2038" s="380"/>
      <c r="Q2038" s="380"/>
    </row>
    <row r="2039" spans="1:17" x14ac:dyDescent="0.2">
      <c r="A2039" s="334" t="s">
        <v>1726</v>
      </c>
      <c r="B2039" s="380"/>
      <c r="C2039" s="334" t="s">
        <v>1117</v>
      </c>
      <c r="D2039" s="377"/>
      <c r="E2039" s="384"/>
      <c r="F2039" s="378"/>
      <c r="G2039" s="380"/>
      <c r="H2039" s="380"/>
      <c r="I2039" s="399"/>
      <c r="J2039" s="377"/>
      <c r="K2039" s="382"/>
      <c r="L2039" s="380"/>
      <c r="M2039" s="380"/>
      <c r="N2039" s="380"/>
      <c r="O2039" s="380"/>
      <c r="P2039" s="380"/>
      <c r="Q2039" s="380"/>
    </row>
    <row r="2040" spans="1:17" x14ac:dyDescent="0.2">
      <c r="A2040" s="334" t="s">
        <v>1734</v>
      </c>
      <c r="B2040" s="380"/>
      <c r="C2040" s="334" t="s">
        <v>1746</v>
      </c>
      <c r="D2040" s="377"/>
      <c r="E2040" s="384"/>
      <c r="F2040" s="378"/>
      <c r="G2040" s="380"/>
      <c r="H2040" s="380"/>
      <c r="I2040" s="399"/>
      <c r="J2040" s="377"/>
      <c r="K2040" s="382"/>
      <c r="L2040" s="380"/>
      <c r="M2040" s="380"/>
      <c r="N2040" s="380"/>
      <c r="O2040" s="380"/>
      <c r="P2040" s="380"/>
      <c r="Q2040" s="380"/>
    </row>
    <row r="2041" spans="1:17" x14ac:dyDescent="0.2">
      <c r="A2041" s="334" t="s">
        <v>1571</v>
      </c>
      <c r="B2041" s="380"/>
      <c r="C2041" s="334" t="s">
        <v>3</v>
      </c>
      <c r="D2041" s="377"/>
      <c r="E2041" s="384"/>
      <c r="F2041" s="378"/>
      <c r="G2041" s="380"/>
      <c r="H2041" s="380"/>
      <c r="I2041" s="399"/>
      <c r="J2041" s="377"/>
      <c r="K2041" s="382"/>
      <c r="L2041" s="380"/>
      <c r="M2041" s="380"/>
      <c r="N2041" s="380"/>
      <c r="O2041" s="380"/>
      <c r="P2041" s="380"/>
      <c r="Q2041" s="380"/>
    </row>
    <row r="2042" spans="1:17" x14ac:dyDescent="0.2">
      <c r="A2042" s="334" t="s">
        <v>1578</v>
      </c>
      <c r="B2042" s="380"/>
      <c r="C2042" s="334" t="s">
        <v>22</v>
      </c>
      <c r="D2042" s="377"/>
      <c r="E2042" s="384"/>
      <c r="F2042" s="378"/>
      <c r="G2042" s="380"/>
      <c r="H2042" s="380"/>
      <c r="I2042" s="399"/>
      <c r="J2042" s="377"/>
      <c r="K2042" s="382"/>
      <c r="L2042" s="380"/>
      <c r="M2042" s="380"/>
      <c r="N2042" s="380"/>
      <c r="O2042" s="380"/>
      <c r="P2042" s="380"/>
      <c r="Q2042" s="380"/>
    </row>
    <row r="2043" spans="1:17" x14ac:dyDescent="0.2">
      <c r="A2043" s="334" t="s">
        <v>1738</v>
      </c>
      <c r="B2043" s="380"/>
      <c r="C2043" s="334" t="s">
        <v>1591</v>
      </c>
      <c r="D2043" s="377">
        <v>150</v>
      </c>
      <c r="E2043" s="384"/>
      <c r="F2043" s="378"/>
      <c r="G2043" s="380"/>
      <c r="H2043" s="380"/>
      <c r="I2043" s="399"/>
      <c r="J2043" s="377">
        <v>150</v>
      </c>
      <c r="K2043" s="382"/>
      <c r="L2043" s="380"/>
      <c r="M2043" s="380"/>
      <c r="N2043" s="380"/>
      <c r="O2043" s="380"/>
      <c r="P2043" s="380"/>
      <c r="Q2043" s="380"/>
    </row>
    <row r="2044" spans="1:17" x14ac:dyDescent="0.2">
      <c r="A2044" s="334" t="s">
        <v>1727</v>
      </c>
      <c r="B2044" s="380"/>
      <c r="C2044" s="334" t="s">
        <v>307</v>
      </c>
      <c r="D2044" s="377">
        <v>50</v>
      </c>
      <c r="E2044" s="384"/>
      <c r="F2044" s="378"/>
      <c r="G2044" s="380"/>
      <c r="H2044" s="380"/>
      <c r="I2044" s="399"/>
      <c r="J2044" s="377">
        <v>50</v>
      </c>
      <c r="K2044" s="382"/>
      <c r="L2044" s="380"/>
      <c r="M2044" s="380"/>
      <c r="N2044" s="380"/>
      <c r="O2044" s="380"/>
      <c r="P2044" s="380"/>
      <c r="Q2044" s="380"/>
    </row>
    <row r="2045" spans="1:17" x14ac:dyDescent="0.2">
      <c r="A2045" s="334" t="s">
        <v>1728</v>
      </c>
      <c r="B2045" s="380"/>
      <c r="C2045" s="334" t="s">
        <v>310</v>
      </c>
      <c r="D2045" s="377">
        <v>50</v>
      </c>
      <c r="E2045" s="384"/>
      <c r="F2045" s="378"/>
      <c r="G2045" s="377"/>
      <c r="H2045" s="380"/>
      <c r="I2045" s="399"/>
      <c r="J2045" s="377">
        <v>50</v>
      </c>
      <c r="K2045" s="382"/>
      <c r="L2045" s="380"/>
      <c r="M2045" s="380"/>
      <c r="N2045" s="380"/>
      <c r="O2045" s="380"/>
      <c r="P2045" s="380"/>
      <c r="Q2045" s="380"/>
    </row>
    <row r="2046" spans="1:17" x14ac:dyDescent="0.2">
      <c r="A2046" s="334" t="s">
        <v>1729</v>
      </c>
      <c r="B2046" s="380"/>
      <c r="C2046" s="380" t="s">
        <v>1551</v>
      </c>
      <c r="D2046" s="377">
        <v>-200</v>
      </c>
      <c r="E2046" s="384"/>
      <c r="F2046" s="378"/>
      <c r="G2046" s="377"/>
      <c r="H2046" s="380"/>
      <c r="I2046" s="399"/>
      <c r="J2046" s="377">
        <v>25</v>
      </c>
      <c r="K2046" s="382"/>
      <c r="L2046" s="380"/>
      <c r="M2046" s="380"/>
      <c r="N2046" s="380"/>
      <c r="O2046" s="380"/>
      <c r="P2046" s="380"/>
      <c r="Q2046" s="380"/>
    </row>
    <row r="2047" spans="1:17" x14ac:dyDescent="0.2">
      <c r="A2047" s="334" t="s">
        <v>1735</v>
      </c>
      <c r="B2047" s="380"/>
      <c r="C2047" s="380" t="s">
        <v>194</v>
      </c>
      <c r="D2047" s="377"/>
      <c r="E2047" s="384"/>
      <c r="F2047" s="378"/>
      <c r="G2047" s="377"/>
      <c r="H2047" s="380"/>
      <c r="I2047" s="399"/>
      <c r="J2047" s="377">
        <v>25</v>
      </c>
      <c r="K2047" s="382"/>
      <c r="L2047" s="380"/>
      <c r="M2047" s="380"/>
      <c r="N2047" s="380"/>
      <c r="O2047" s="380"/>
      <c r="P2047" s="380"/>
      <c r="Q2047" s="380"/>
    </row>
    <row r="2048" spans="1:17" x14ac:dyDescent="0.2">
      <c r="A2048" s="384" t="s">
        <v>1754</v>
      </c>
      <c r="B2048" s="380"/>
      <c r="C2048" s="334" t="s">
        <v>1929</v>
      </c>
      <c r="D2048" s="377"/>
      <c r="E2048" s="384"/>
      <c r="F2048" s="378"/>
      <c r="G2048" s="377"/>
      <c r="H2048" s="380"/>
      <c r="I2048" s="399"/>
      <c r="J2048" s="377"/>
      <c r="K2048" s="382"/>
      <c r="L2048" s="380"/>
      <c r="M2048" s="380"/>
      <c r="N2048" s="380"/>
      <c r="O2048" s="380"/>
      <c r="P2048" s="380"/>
      <c r="Q2048" s="380"/>
    </row>
    <row r="2049" spans="1:17" x14ac:dyDescent="0.2">
      <c r="A2049" s="334" t="s">
        <v>1572</v>
      </c>
      <c r="B2049" s="380"/>
      <c r="C2049" s="334" t="s">
        <v>3134</v>
      </c>
      <c r="D2049" s="377">
        <v>45</v>
      </c>
      <c r="E2049" s="384"/>
      <c r="F2049" s="378"/>
      <c r="G2049" s="377"/>
      <c r="H2049" s="380"/>
      <c r="I2049" s="399"/>
      <c r="J2049" s="377">
        <v>45</v>
      </c>
      <c r="K2049" s="382"/>
      <c r="L2049" s="380"/>
      <c r="M2049" s="380"/>
      <c r="N2049" s="380"/>
      <c r="O2049" s="380"/>
      <c r="P2049" s="380"/>
      <c r="Q2049" s="380"/>
    </row>
    <row r="2050" spans="1:17" x14ac:dyDescent="0.2">
      <c r="A2050" s="334" t="s">
        <v>1730</v>
      </c>
      <c r="B2050" s="380"/>
      <c r="C2050" s="334" t="s">
        <v>1985</v>
      </c>
      <c r="D2050" s="377">
        <v>500</v>
      </c>
      <c r="E2050" s="384"/>
      <c r="F2050" s="378"/>
      <c r="G2050" s="380"/>
      <c r="H2050" s="380"/>
      <c r="I2050" s="399"/>
      <c r="J2050" s="377">
        <v>500</v>
      </c>
      <c r="K2050" s="382"/>
      <c r="L2050" s="380"/>
      <c r="M2050" s="380"/>
      <c r="N2050" s="380"/>
      <c r="O2050" s="380"/>
      <c r="P2050" s="380"/>
      <c r="Q2050" s="380"/>
    </row>
    <row r="2051" spans="1:17" x14ac:dyDescent="0.2">
      <c r="A2051" s="391" t="s">
        <v>1566</v>
      </c>
      <c r="B2051" s="380"/>
      <c r="C2051" s="334" t="s">
        <v>366</v>
      </c>
      <c r="D2051" s="377">
        <v>700</v>
      </c>
      <c r="E2051" s="384"/>
      <c r="F2051" s="378"/>
      <c r="G2051" s="380"/>
      <c r="H2051" s="380"/>
      <c r="I2051" s="399"/>
      <c r="J2051" s="377">
        <v>400</v>
      </c>
      <c r="K2051" s="382"/>
      <c r="L2051" s="380"/>
      <c r="M2051" s="380"/>
      <c r="N2051" s="380"/>
      <c r="O2051" s="380"/>
      <c r="P2051" s="380"/>
      <c r="Q2051" s="380"/>
    </row>
    <row r="2052" spans="1:17" x14ac:dyDescent="0.2">
      <c r="A2052" s="384" t="s">
        <v>1962</v>
      </c>
      <c r="B2052" s="380"/>
      <c r="C2052" s="380" t="s">
        <v>572</v>
      </c>
      <c r="D2052" s="377"/>
      <c r="E2052" s="384"/>
      <c r="F2052" s="378"/>
      <c r="G2052" s="380"/>
      <c r="H2052" s="380"/>
      <c r="I2052" s="399"/>
      <c r="J2052" s="377"/>
      <c r="K2052" s="382"/>
      <c r="L2052" s="380"/>
      <c r="M2052" s="380"/>
      <c r="N2052" s="380"/>
      <c r="O2052" s="380"/>
      <c r="P2052" s="380"/>
      <c r="Q2052" s="380"/>
    </row>
    <row r="2053" spans="1:17" x14ac:dyDescent="0.2">
      <c r="A2053" s="334" t="s">
        <v>342</v>
      </c>
      <c r="B2053" s="380"/>
      <c r="C2053" s="334" t="s">
        <v>342</v>
      </c>
      <c r="D2053" s="410" t="s">
        <v>342</v>
      </c>
      <c r="E2053" s="380"/>
      <c r="F2053" s="378"/>
      <c r="G2053" s="380"/>
      <c r="H2053" s="380"/>
      <c r="I2053" s="385"/>
      <c r="J2053" s="410" t="s">
        <v>342</v>
      </c>
      <c r="K2053" s="382"/>
      <c r="L2053" s="380"/>
      <c r="M2053" s="380"/>
      <c r="N2053" s="380"/>
      <c r="O2053" s="380"/>
      <c r="P2053" s="380"/>
      <c r="Q2053" s="380"/>
    </row>
    <row r="2054" spans="1:17" x14ac:dyDescent="0.2">
      <c r="A2054" s="334" t="s">
        <v>342</v>
      </c>
      <c r="B2054" s="380"/>
      <c r="C2054" s="334" t="s">
        <v>342</v>
      </c>
      <c r="D2054" s="334">
        <f>SUM(D2031:D2052)</f>
        <v>1865</v>
      </c>
      <c r="E2054" s="380"/>
      <c r="F2054" s="378"/>
      <c r="G2054" s="380"/>
      <c r="H2054" s="380"/>
      <c r="I2054" s="385"/>
      <c r="J2054" s="334">
        <f>SUM(J2031:J2052)</f>
        <v>1815</v>
      </c>
      <c r="K2054" s="382"/>
      <c r="L2054" s="380"/>
      <c r="M2054" s="380"/>
      <c r="N2054" s="380"/>
      <c r="O2054" s="380"/>
      <c r="P2054" s="380"/>
      <c r="Q2054" s="380"/>
    </row>
    <row r="2055" spans="1:17" ht="15.75" thickTop="1" x14ac:dyDescent="0.2">
      <c r="A2055" s="380"/>
      <c r="B2055" s="377"/>
      <c r="C2055" s="380"/>
      <c r="D2055" s="395"/>
      <c r="E2055" s="380"/>
      <c r="F2055" s="378"/>
      <c r="G2055" s="380"/>
      <c r="H2055" s="380"/>
      <c r="I2055" s="399"/>
      <c r="J2055" s="395"/>
      <c r="K2055" s="382"/>
      <c r="L2055" s="380"/>
      <c r="M2055" s="380"/>
      <c r="N2055" s="380"/>
      <c r="O2055" s="380"/>
      <c r="P2055" s="380"/>
      <c r="Q2055" s="380"/>
    </row>
    <row r="2056" spans="1:17" x14ac:dyDescent="0.2">
      <c r="A2056" s="377"/>
      <c r="B2056" s="377"/>
      <c r="C2056" s="377"/>
      <c r="D2056" s="377"/>
      <c r="E2056" s="377"/>
      <c r="F2056" s="378"/>
      <c r="G2056" s="377"/>
      <c r="H2056" s="377"/>
      <c r="I2056" s="399"/>
      <c r="J2056" s="377"/>
      <c r="K2056" s="382"/>
      <c r="L2056" s="380"/>
      <c r="M2056" s="380"/>
      <c r="N2056" s="380"/>
      <c r="O2056" s="380"/>
      <c r="P2056" s="380"/>
      <c r="Q2056" s="380"/>
    </row>
    <row r="2057" spans="1:17" x14ac:dyDescent="0.2">
      <c r="A2057" s="380"/>
      <c r="B2057" s="377"/>
      <c r="C2057" s="380"/>
      <c r="D2057" s="380"/>
      <c r="E2057" s="380"/>
      <c r="F2057" s="378"/>
      <c r="G2057" s="380"/>
      <c r="H2057" s="380"/>
      <c r="I2057" s="382"/>
      <c r="J2057" s="380"/>
      <c r="K2057" s="382"/>
      <c r="L2057" s="380"/>
      <c r="M2057" s="380"/>
      <c r="N2057" s="380"/>
      <c r="O2057" s="380"/>
      <c r="P2057" s="380"/>
      <c r="Q2057" s="380"/>
    </row>
    <row r="2058" spans="1:17" x14ac:dyDescent="0.2">
      <c r="A2058" s="334" t="s">
        <v>1804</v>
      </c>
      <c r="B2058" s="377"/>
      <c r="C2058" s="380"/>
      <c r="D2058" s="380"/>
      <c r="E2058" s="377"/>
      <c r="F2058" s="378"/>
      <c r="G2058" s="380"/>
      <c r="H2058" s="380"/>
      <c r="I2058" s="382"/>
      <c r="J2058" s="380"/>
      <c r="K2058" s="382"/>
      <c r="L2058" s="380"/>
      <c r="M2058" s="380"/>
      <c r="N2058" s="380"/>
      <c r="O2058" s="380"/>
      <c r="P2058" s="380"/>
      <c r="Q2058" s="380"/>
    </row>
    <row r="2059" spans="1:17" x14ac:dyDescent="0.2">
      <c r="A2059" s="377"/>
      <c r="B2059" s="377"/>
      <c r="C2059" s="384" t="s">
        <v>2136</v>
      </c>
      <c r="D2059" s="380"/>
      <c r="E2059" s="384"/>
      <c r="F2059" s="378"/>
      <c r="G2059" s="380"/>
      <c r="H2059" s="380"/>
      <c r="I2059" s="382"/>
      <c r="J2059" s="380"/>
      <c r="K2059" s="382"/>
      <c r="L2059" s="380"/>
      <c r="M2059" s="380"/>
      <c r="N2059" s="380"/>
      <c r="O2059" s="380"/>
      <c r="P2059" s="380"/>
      <c r="Q2059" s="380"/>
    </row>
    <row r="2060" spans="1:17" x14ac:dyDescent="0.2">
      <c r="A2060" s="380"/>
      <c r="B2060" s="377"/>
      <c r="C2060" s="380"/>
      <c r="D2060" s="380"/>
      <c r="E2060" s="380"/>
      <c r="F2060" s="378"/>
      <c r="G2060" s="380"/>
      <c r="H2060" s="380"/>
      <c r="I2060" s="382"/>
      <c r="J2060" s="380"/>
      <c r="K2060" s="382"/>
      <c r="L2060" s="380"/>
      <c r="M2060" s="380"/>
      <c r="N2060" s="380"/>
      <c r="O2060" s="380"/>
      <c r="P2060" s="380"/>
      <c r="Q2060" s="380"/>
    </row>
    <row r="2061" spans="1:17" x14ac:dyDescent="0.2">
      <c r="A2061" s="334" t="s">
        <v>1723</v>
      </c>
      <c r="B2061" s="377"/>
      <c r="C2061" s="334" t="s">
        <v>1880</v>
      </c>
      <c r="D2061" s="334" t="s">
        <v>181</v>
      </c>
      <c r="E2061" s="380"/>
      <c r="F2061" s="378"/>
      <c r="G2061" s="380"/>
      <c r="H2061" s="380"/>
      <c r="I2061" s="385"/>
      <c r="J2061" s="334" t="s">
        <v>181</v>
      </c>
      <c r="K2061" s="382"/>
      <c r="L2061" s="380"/>
      <c r="M2061" s="380"/>
      <c r="N2061" s="380"/>
      <c r="O2061" s="380"/>
      <c r="P2061" s="380"/>
      <c r="Q2061" s="380"/>
    </row>
    <row r="2062" spans="1:17" x14ac:dyDescent="0.2">
      <c r="A2062" s="380"/>
      <c r="B2062" s="377"/>
      <c r="C2062" s="380"/>
      <c r="D2062" s="380"/>
      <c r="E2062" s="380"/>
      <c r="F2062" s="378"/>
      <c r="G2062" s="380"/>
      <c r="H2062" s="380"/>
      <c r="I2062" s="382"/>
      <c r="J2062" s="380"/>
      <c r="K2062" s="382"/>
      <c r="L2062" s="380"/>
      <c r="M2062" s="380"/>
      <c r="N2062" s="380"/>
      <c r="O2062" s="380"/>
      <c r="P2062" s="380"/>
      <c r="Q2062" s="380"/>
    </row>
    <row r="2063" spans="1:17" x14ac:dyDescent="0.2">
      <c r="A2063" s="391" t="s">
        <v>1743</v>
      </c>
      <c r="B2063" s="377"/>
      <c r="C2063" s="334" t="s">
        <v>1886</v>
      </c>
      <c r="D2063" s="377">
        <v>2850</v>
      </c>
      <c r="E2063" s="384"/>
      <c r="F2063" s="378"/>
      <c r="G2063" s="380"/>
      <c r="H2063" s="380"/>
      <c r="I2063" s="399"/>
      <c r="J2063" s="377">
        <v>2850</v>
      </c>
      <c r="K2063" s="382"/>
      <c r="L2063" s="380"/>
      <c r="M2063" s="380"/>
      <c r="N2063" s="380"/>
      <c r="O2063" s="380"/>
      <c r="P2063" s="380"/>
      <c r="Q2063" s="380"/>
    </row>
    <row r="2064" spans="1:17" x14ac:dyDescent="0.2">
      <c r="A2064" s="334" t="s">
        <v>1724</v>
      </c>
      <c r="B2064" s="380"/>
      <c r="C2064" s="334" t="s">
        <v>1881</v>
      </c>
      <c r="D2064" s="427"/>
      <c r="E2064" s="384"/>
      <c r="F2064" s="378"/>
      <c r="G2064" s="380"/>
      <c r="H2064" s="380"/>
      <c r="I2064" s="399"/>
      <c r="J2064" s="377">
        <v>25</v>
      </c>
      <c r="K2064" s="382"/>
      <c r="L2064" s="380"/>
      <c r="M2064" s="380"/>
      <c r="N2064" s="380"/>
      <c r="O2064" s="380"/>
      <c r="P2064" s="380"/>
      <c r="Q2064" s="380"/>
    </row>
    <row r="2065" spans="1:17" x14ac:dyDescent="0.2">
      <c r="A2065" s="334" t="s">
        <v>1736</v>
      </c>
      <c r="B2065" s="380"/>
      <c r="C2065" s="334" t="s">
        <v>1747</v>
      </c>
      <c r="D2065" s="377"/>
      <c r="E2065" s="384"/>
      <c r="F2065" s="378"/>
      <c r="G2065" s="377"/>
      <c r="H2065" s="380"/>
      <c r="I2065" s="399"/>
      <c r="J2065" s="377"/>
      <c r="K2065" s="382"/>
      <c r="L2065" s="380"/>
      <c r="M2065" s="380"/>
      <c r="N2065" s="380"/>
      <c r="O2065" s="380"/>
      <c r="P2065" s="380"/>
      <c r="Q2065" s="380"/>
    </row>
    <row r="2066" spans="1:17" x14ac:dyDescent="0.2">
      <c r="A2066" s="403" t="s">
        <v>1576</v>
      </c>
      <c r="B2066" s="380"/>
      <c r="C2066" s="334" t="s">
        <v>1590</v>
      </c>
      <c r="D2066" s="377">
        <v>350</v>
      </c>
      <c r="E2066" s="384"/>
      <c r="F2066" s="378"/>
      <c r="G2066" s="377"/>
      <c r="H2066" s="380"/>
      <c r="I2066" s="399"/>
      <c r="J2066" s="377"/>
      <c r="K2066" s="382"/>
      <c r="L2066" s="380"/>
      <c r="M2066" s="380"/>
      <c r="N2066" s="380"/>
      <c r="O2066" s="380"/>
      <c r="P2066" s="380"/>
      <c r="Q2066" s="380"/>
    </row>
    <row r="2067" spans="1:17" x14ac:dyDescent="0.2">
      <c r="A2067" s="334" t="s">
        <v>1737</v>
      </c>
      <c r="B2067" s="380"/>
      <c r="C2067" s="334" t="s">
        <v>1984</v>
      </c>
      <c r="D2067" s="377">
        <v>45</v>
      </c>
      <c r="E2067" s="384"/>
      <c r="F2067" s="378"/>
      <c r="G2067" s="380"/>
      <c r="H2067" s="380"/>
      <c r="I2067" s="399"/>
      <c r="J2067" s="377"/>
      <c r="K2067" s="382"/>
      <c r="L2067" s="380"/>
      <c r="M2067" s="380"/>
      <c r="N2067" s="380"/>
      <c r="O2067" s="380"/>
      <c r="P2067" s="380"/>
      <c r="Q2067" s="380"/>
    </row>
    <row r="2068" spans="1:17" x14ac:dyDescent="0.2">
      <c r="A2068" s="334" t="s">
        <v>1578</v>
      </c>
      <c r="B2068" s="380"/>
      <c r="C2068" s="334" t="s">
        <v>22</v>
      </c>
      <c r="D2068" s="377"/>
      <c r="E2068" s="384"/>
      <c r="F2068" s="378"/>
      <c r="G2068" s="380"/>
      <c r="H2068" s="380"/>
      <c r="I2068" s="399"/>
      <c r="J2068" s="377"/>
      <c r="K2068" s="382"/>
      <c r="L2068" s="380"/>
      <c r="M2068" s="380"/>
      <c r="N2068" s="380"/>
      <c r="O2068" s="380"/>
      <c r="P2068" s="380"/>
      <c r="Q2068" s="380"/>
    </row>
    <row r="2069" spans="1:17" x14ac:dyDescent="0.2">
      <c r="A2069" s="334" t="s">
        <v>1738</v>
      </c>
      <c r="B2069" s="380"/>
      <c r="C2069" s="334" t="s">
        <v>1591</v>
      </c>
      <c r="D2069" s="377">
        <v>50</v>
      </c>
      <c r="E2069" s="384"/>
      <c r="F2069" s="378"/>
      <c r="G2069" s="380"/>
      <c r="H2069" s="380"/>
      <c r="I2069" s="399"/>
      <c r="J2069" s="377">
        <v>50</v>
      </c>
      <c r="K2069" s="382"/>
      <c r="L2069" s="380"/>
      <c r="M2069" s="380"/>
      <c r="N2069" s="380"/>
      <c r="O2069" s="380"/>
      <c r="P2069" s="380"/>
      <c r="Q2069" s="380"/>
    </row>
    <row r="2070" spans="1:17" x14ac:dyDescent="0.2">
      <c r="A2070" s="334" t="s">
        <v>1727</v>
      </c>
      <c r="B2070" s="380"/>
      <c r="C2070" s="334" t="s">
        <v>307</v>
      </c>
      <c r="D2070" s="377">
        <v>25</v>
      </c>
      <c r="E2070" s="384"/>
      <c r="F2070" s="378"/>
      <c r="G2070" s="380"/>
      <c r="H2070" s="380"/>
      <c r="I2070" s="399"/>
      <c r="J2070" s="377">
        <v>25</v>
      </c>
      <c r="K2070" s="382"/>
      <c r="L2070" s="380"/>
      <c r="M2070" s="380"/>
      <c r="N2070" s="380"/>
      <c r="O2070" s="380"/>
      <c r="P2070" s="380"/>
      <c r="Q2070" s="380"/>
    </row>
    <row r="2071" spans="1:17" x14ac:dyDescent="0.2">
      <c r="A2071" s="384" t="s">
        <v>1728</v>
      </c>
      <c r="B2071" s="380"/>
      <c r="C2071" s="334" t="s">
        <v>310</v>
      </c>
      <c r="D2071" s="377"/>
      <c r="E2071" s="384"/>
      <c r="F2071" s="378"/>
      <c r="G2071" s="380"/>
      <c r="H2071" s="380"/>
      <c r="I2071" s="399"/>
      <c r="J2071" s="377"/>
      <c r="K2071" s="382"/>
      <c r="L2071" s="380"/>
      <c r="M2071" s="380"/>
      <c r="N2071" s="380"/>
      <c r="O2071" s="380"/>
      <c r="P2071" s="380"/>
      <c r="Q2071" s="380"/>
    </row>
    <row r="2072" spans="1:17" x14ac:dyDescent="0.2">
      <c r="A2072" s="334" t="s">
        <v>1729</v>
      </c>
      <c r="B2072" s="380"/>
      <c r="C2072" s="380" t="s">
        <v>1551</v>
      </c>
      <c r="D2072" s="377">
        <f>-744-1000</f>
        <v>-1744</v>
      </c>
      <c r="E2072" s="384"/>
      <c r="F2072" s="378"/>
      <c r="G2072" s="380"/>
      <c r="H2072" s="380"/>
      <c r="I2072" s="399"/>
      <c r="J2072" s="377">
        <v>300</v>
      </c>
      <c r="K2072" s="382"/>
      <c r="L2072" s="380"/>
      <c r="M2072" s="380"/>
      <c r="N2072" s="380"/>
      <c r="O2072" s="380"/>
      <c r="P2072" s="380"/>
      <c r="Q2072" s="380"/>
    </row>
    <row r="2073" spans="1:17" x14ac:dyDescent="0.2">
      <c r="A2073" s="334" t="s">
        <v>1735</v>
      </c>
      <c r="B2073" s="380"/>
      <c r="C2073" s="380" t="s">
        <v>194</v>
      </c>
      <c r="D2073" s="377"/>
      <c r="E2073" s="384"/>
      <c r="F2073" s="378"/>
      <c r="G2073" s="380"/>
      <c r="H2073" s="380"/>
      <c r="I2073" s="399"/>
      <c r="J2073" s="377">
        <v>50</v>
      </c>
      <c r="K2073" s="382"/>
      <c r="L2073" s="380"/>
      <c r="M2073" s="380"/>
      <c r="N2073" s="380"/>
      <c r="O2073" s="380"/>
      <c r="P2073" s="380"/>
      <c r="Q2073" s="380"/>
    </row>
    <row r="2074" spans="1:17" x14ac:dyDescent="0.2">
      <c r="A2074" s="334" t="s">
        <v>1730</v>
      </c>
      <c r="B2074" s="380"/>
      <c r="C2074" s="334" t="s">
        <v>1985</v>
      </c>
      <c r="D2074" s="377"/>
      <c r="E2074" s="384"/>
      <c r="F2074" s="378"/>
      <c r="G2074" s="380"/>
      <c r="H2074" s="380"/>
      <c r="I2074" s="399"/>
      <c r="J2074" s="377"/>
      <c r="K2074" s="382"/>
      <c r="L2074" s="380"/>
      <c r="M2074" s="380"/>
      <c r="N2074" s="380"/>
      <c r="O2074" s="380"/>
      <c r="P2074" s="380"/>
      <c r="Q2074" s="380"/>
    </row>
    <row r="2075" spans="1:17" x14ac:dyDescent="0.2">
      <c r="A2075" s="334" t="s">
        <v>1566</v>
      </c>
      <c r="B2075" s="380"/>
      <c r="C2075" s="334" t="s">
        <v>366</v>
      </c>
      <c r="D2075" s="377">
        <v>400</v>
      </c>
      <c r="E2075" s="384"/>
      <c r="F2075" s="378"/>
      <c r="G2075" s="380"/>
      <c r="H2075" s="380"/>
      <c r="I2075" s="399"/>
      <c r="J2075" s="377">
        <v>400</v>
      </c>
      <c r="K2075" s="382"/>
      <c r="L2075" s="380"/>
      <c r="M2075" s="380"/>
      <c r="N2075" s="380"/>
      <c r="O2075" s="380"/>
      <c r="P2075" s="380"/>
      <c r="Q2075" s="380"/>
    </row>
    <row r="2076" spans="1:17" x14ac:dyDescent="0.2">
      <c r="A2076" s="334" t="s">
        <v>1755</v>
      </c>
      <c r="B2076" s="377"/>
      <c r="C2076" s="380" t="s">
        <v>1986</v>
      </c>
      <c r="D2076" s="377"/>
      <c r="E2076" s="384"/>
      <c r="F2076" s="378"/>
      <c r="G2076" s="377"/>
      <c r="H2076" s="380"/>
      <c r="I2076" s="399"/>
      <c r="J2076" s="377"/>
      <c r="K2076" s="382"/>
      <c r="L2076" s="380"/>
      <c r="M2076" s="380"/>
      <c r="N2076" s="380"/>
      <c r="O2076" s="380"/>
      <c r="P2076" s="380"/>
      <c r="Q2076" s="380"/>
    </row>
    <row r="2077" spans="1:17" x14ac:dyDescent="0.2">
      <c r="A2077" s="384" t="s">
        <v>765</v>
      </c>
      <c r="B2077" s="380"/>
      <c r="C2077" s="392" t="s">
        <v>767</v>
      </c>
      <c r="D2077" s="377"/>
      <c r="E2077" s="384"/>
      <c r="F2077" s="378"/>
      <c r="G2077" s="377"/>
      <c r="H2077" s="380"/>
      <c r="I2077" s="399"/>
      <c r="J2077" s="377"/>
      <c r="K2077" s="382"/>
      <c r="L2077" s="380"/>
      <c r="M2077" s="380"/>
      <c r="N2077" s="380"/>
      <c r="O2077" s="380"/>
      <c r="P2077" s="380"/>
      <c r="Q2077" s="380"/>
    </row>
    <row r="2078" spans="1:17" x14ac:dyDescent="0.2">
      <c r="A2078" s="380"/>
      <c r="B2078" s="380"/>
      <c r="C2078" s="380"/>
      <c r="D2078" s="410" t="s">
        <v>342</v>
      </c>
      <c r="E2078" s="380"/>
      <c r="F2078" s="378"/>
      <c r="G2078" s="380"/>
      <c r="H2078" s="380"/>
      <c r="I2078" s="385"/>
      <c r="J2078" s="410" t="s">
        <v>342</v>
      </c>
      <c r="K2078" s="382"/>
      <c r="L2078" s="380"/>
      <c r="M2078" s="380"/>
      <c r="N2078" s="380"/>
      <c r="O2078" s="380"/>
      <c r="P2078" s="380"/>
      <c r="Q2078" s="380"/>
    </row>
    <row r="2079" spans="1:17" x14ac:dyDescent="0.2">
      <c r="A2079" s="380"/>
      <c r="B2079" s="380"/>
      <c r="C2079" s="380"/>
      <c r="D2079" s="334">
        <f>SUM(D2063:D2077)</f>
        <v>1976</v>
      </c>
      <c r="E2079" s="380"/>
      <c r="F2079" s="378"/>
      <c r="G2079" s="380"/>
      <c r="H2079" s="380"/>
      <c r="I2079" s="385"/>
      <c r="J2079" s="334">
        <f>SUM(J2063:J2077)</f>
        <v>3700</v>
      </c>
      <c r="K2079" s="382"/>
      <c r="L2079" s="380"/>
      <c r="M2079" s="380"/>
      <c r="N2079" s="380"/>
      <c r="O2079" s="380"/>
      <c r="P2079" s="380"/>
      <c r="Q2079" s="380"/>
    </row>
    <row r="2080" spans="1:17" ht="15.75" thickTop="1" x14ac:dyDescent="0.2">
      <c r="A2080" s="380"/>
      <c r="B2080" s="380"/>
      <c r="C2080" s="380"/>
      <c r="D2080" s="395"/>
      <c r="E2080" s="380"/>
      <c r="F2080" s="378"/>
      <c r="G2080" s="380"/>
      <c r="H2080" s="380"/>
      <c r="I2080" s="399"/>
      <c r="J2080" s="395"/>
      <c r="K2080" s="382"/>
      <c r="L2080" s="380"/>
      <c r="M2080" s="380"/>
      <c r="N2080" s="380"/>
      <c r="O2080" s="380"/>
      <c r="P2080" s="380"/>
      <c r="Q2080" s="380"/>
    </row>
    <row r="2081" spans="1:17" x14ac:dyDescent="0.2">
      <c r="A2081" s="377"/>
      <c r="B2081" s="377"/>
      <c r="C2081" s="377"/>
      <c r="D2081" s="377"/>
      <c r="E2081" s="377"/>
      <c r="F2081" s="378"/>
      <c r="G2081" s="377"/>
      <c r="H2081" s="377"/>
      <c r="I2081" s="399"/>
      <c r="J2081" s="377"/>
      <c r="K2081" s="382"/>
      <c r="L2081" s="380"/>
      <c r="M2081" s="380"/>
      <c r="N2081" s="380"/>
      <c r="O2081" s="380"/>
      <c r="P2081" s="380"/>
      <c r="Q2081" s="380"/>
    </row>
    <row r="2082" spans="1:17" x14ac:dyDescent="0.2">
      <c r="A2082" s="377"/>
      <c r="B2082" s="377"/>
      <c r="C2082" s="380"/>
      <c r="D2082" s="380"/>
      <c r="E2082" s="334"/>
      <c r="F2082" s="378"/>
      <c r="G2082" s="380"/>
      <c r="H2082" s="380"/>
      <c r="I2082" s="382"/>
      <c r="J2082" s="380"/>
      <c r="K2082" s="382"/>
      <c r="L2082" s="380"/>
      <c r="M2082" s="380"/>
      <c r="N2082" s="380"/>
      <c r="O2082" s="380"/>
      <c r="P2082" s="380"/>
      <c r="Q2082" s="380"/>
    </row>
    <row r="2083" spans="1:17" x14ac:dyDescent="0.2">
      <c r="A2083" s="334" t="s">
        <v>1805</v>
      </c>
      <c r="B2083" s="377"/>
      <c r="C2083" s="380"/>
      <c r="D2083" s="380"/>
      <c r="E2083" s="334"/>
      <c r="F2083" s="378"/>
      <c r="G2083" s="380"/>
      <c r="H2083" s="380"/>
      <c r="I2083" s="382"/>
      <c r="J2083" s="380"/>
      <c r="K2083" s="382"/>
      <c r="L2083" s="380"/>
      <c r="M2083" s="380"/>
      <c r="N2083" s="380"/>
      <c r="O2083" s="380"/>
      <c r="P2083" s="380"/>
      <c r="Q2083" s="380"/>
    </row>
    <row r="2084" spans="1:17" x14ac:dyDescent="0.2">
      <c r="A2084" s="334" t="s">
        <v>342</v>
      </c>
      <c r="B2084" s="380"/>
      <c r="C2084" s="384" t="s">
        <v>2137</v>
      </c>
      <c r="D2084" s="380"/>
      <c r="E2084" s="384"/>
      <c r="F2084" s="378"/>
      <c r="G2084" s="380"/>
      <c r="H2084" s="380"/>
      <c r="I2084" s="382"/>
      <c r="J2084" s="380"/>
      <c r="K2084" s="382"/>
      <c r="L2084" s="380"/>
      <c r="M2084" s="380"/>
      <c r="N2084" s="380"/>
      <c r="O2084" s="380"/>
      <c r="P2084" s="380"/>
      <c r="Q2084" s="380"/>
    </row>
    <row r="2085" spans="1:17" x14ac:dyDescent="0.2">
      <c r="A2085" s="334" t="s">
        <v>342</v>
      </c>
      <c r="B2085" s="380"/>
      <c r="C2085" s="334" t="s">
        <v>342</v>
      </c>
      <c r="D2085" s="380"/>
      <c r="E2085" s="380"/>
      <c r="F2085" s="378"/>
      <c r="G2085" s="380"/>
      <c r="H2085" s="380"/>
      <c r="I2085" s="382"/>
      <c r="J2085" s="380"/>
      <c r="K2085" s="382"/>
      <c r="L2085" s="380"/>
      <c r="M2085" s="380"/>
      <c r="N2085" s="380"/>
      <c r="O2085" s="380"/>
      <c r="P2085" s="380"/>
      <c r="Q2085" s="380"/>
    </row>
    <row r="2086" spans="1:17" x14ac:dyDescent="0.2">
      <c r="A2086" s="334" t="s">
        <v>1723</v>
      </c>
      <c r="B2086" s="380"/>
      <c r="C2086" s="334" t="s">
        <v>1880</v>
      </c>
      <c r="D2086" s="334" t="s">
        <v>181</v>
      </c>
      <c r="E2086" s="377"/>
      <c r="F2086" s="378"/>
      <c r="G2086" s="380"/>
      <c r="H2086" s="380"/>
      <c r="I2086" s="385"/>
      <c r="J2086" s="334" t="s">
        <v>181</v>
      </c>
      <c r="K2086" s="382"/>
      <c r="L2086" s="380"/>
      <c r="M2086" s="380"/>
      <c r="N2086" s="380"/>
      <c r="O2086" s="380"/>
      <c r="P2086" s="380"/>
      <c r="Q2086" s="380"/>
    </row>
    <row r="2087" spans="1:17" x14ac:dyDescent="0.2">
      <c r="A2087" s="334" t="s">
        <v>342</v>
      </c>
      <c r="B2087" s="380"/>
      <c r="C2087" s="334" t="s">
        <v>342</v>
      </c>
      <c r="D2087" s="334" t="s">
        <v>342</v>
      </c>
      <c r="E2087" s="334"/>
      <c r="F2087" s="378"/>
      <c r="G2087" s="380"/>
      <c r="H2087" s="380"/>
      <c r="I2087" s="385"/>
      <c r="J2087" s="334" t="s">
        <v>342</v>
      </c>
      <c r="K2087" s="382"/>
      <c r="L2087" s="380"/>
      <c r="M2087" s="380"/>
      <c r="N2087" s="380"/>
      <c r="O2087" s="380"/>
      <c r="P2087" s="380"/>
      <c r="Q2087" s="380"/>
    </row>
    <row r="2088" spans="1:17" x14ac:dyDescent="0.2">
      <c r="A2088" s="334" t="s">
        <v>1724</v>
      </c>
      <c r="B2088" s="380"/>
      <c r="C2088" s="334" t="s">
        <v>1881</v>
      </c>
      <c r="D2088" s="377"/>
      <c r="E2088" s="334"/>
      <c r="F2088" s="378"/>
      <c r="G2088" s="380"/>
      <c r="H2088" s="380"/>
      <c r="I2088" s="399"/>
      <c r="J2088" s="377"/>
      <c r="K2088" s="382"/>
      <c r="L2088" s="380"/>
      <c r="M2088" s="380"/>
      <c r="N2088" s="380"/>
      <c r="O2088" s="380"/>
      <c r="P2088" s="380"/>
      <c r="Q2088" s="380"/>
    </row>
    <row r="2089" spans="1:17" x14ac:dyDescent="0.2">
      <c r="A2089" s="334" t="s">
        <v>1725</v>
      </c>
      <c r="B2089" s="380"/>
      <c r="C2089" s="334" t="s">
        <v>1890</v>
      </c>
      <c r="D2089" s="377"/>
      <c r="E2089" s="334"/>
      <c r="F2089" s="378"/>
      <c r="G2089" s="380"/>
      <c r="H2089" s="380"/>
      <c r="I2089" s="399"/>
      <c r="J2089" s="377"/>
      <c r="K2089" s="382"/>
      <c r="L2089" s="380"/>
      <c r="M2089" s="380"/>
      <c r="N2089" s="380"/>
      <c r="O2089" s="380"/>
      <c r="P2089" s="380"/>
      <c r="Q2089" s="380"/>
    </row>
    <row r="2090" spans="1:17" x14ac:dyDescent="0.2">
      <c r="A2090" s="334" t="s">
        <v>1734</v>
      </c>
      <c r="B2090" s="380"/>
      <c r="C2090" s="334" t="s">
        <v>1746</v>
      </c>
      <c r="D2090" s="377"/>
      <c r="E2090" s="334"/>
      <c r="F2090" s="378"/>
      <c r="G2090" s="380"/>
      <c r="H2090" s="380"/>
      <c r="I2090" s="399"/>
      <c r="J2090" s="377"/>
      <c r="K2090" s="382"/>
      <c r="L2090" s="380"/>
      <c r="M2090" s="380"/>
      <c r="N2090" s="380"/>
      <c r="O2090" s="380"/>
      <c r="P2090" s="380"/>
      <c r="Q2090" s="380"/>
    </row>
    <row r="2091" spans="1:17" x14ac:dyDescent="0.2">
      <c r="A2091" s="334" t="s">
        <v>1738</v>
      </c>
      <c r="B2091" s="380"/>
      <c r="C2091" s="334" t="s">
        <v>1591</v>
      </c>
      <c r="D2091" s="377"/>
      <c r="E2091" s="334"/>
      <c r="F2091" s="378"/>
      <c r="G2091" s="377"/>
      <c r="H2091" s="380"/>
      <c r="I2091" s="399"/>
      <c r="J2091" s="377"/>
      <c r="K2091" s="382"/>
      <c r="L2091" s="380"/>
      <c r="M2091" s="380"/>
      <c r="N2091" s="380"/>
      <c r="O2091" s="380"/>
      <c r="P2091" s="380"/>
      <c r="Q2091" s="380"/>
    </row>
    <row r="2092" spans="1:17" x14ac:dyDescent="0.2">
      <c r="A2092" s="334" t="s">
        <v>1728</v>
      </c>
      <c r="B2092" s="380"/>
      <c r="C2092" s="334" t="s">
        <v>310</v>
      </c>
      <c r="D2092" s="377"/>
      <c r="E2092" s="334"/>
      <c r="F2092" s="378"/>
      <c r="G2092" s="380"/>
      <c r="H2092" s="380"/>
      <c r="I2092" s="399"/>
      <c r="J2092" s="377"/>
      <c r="K2092" s="382"/>
      <c r="L2092" s="380"/>
      <c r="M2092" s="380"/>
      <c r="N2092" s="380"/>
      <c r="O2092" s="380"/>
      <c r="P2092" s="380"/>
      <c r="Q2092" s="380"/>
    </row>
    <row r="2093" spans="1:17" x14ac:dyDescent="0.2">
      <c r="A2093" s="334" t="s">
        <v>1729</v>
      </c>
      <c r="B2093" s="380"/>
      <c r="C2093" s="380" t="s">
        <v>1551</v>
      </c>
      <c r="D2093" s="334"/>
      <c r="E2093" s="334"/>
      <c r="F2093" s="378"/>
      <c r="G2093" s="380"/>
      <c r="H2093" s="380"/>
      <c r="I2093" s="385"/>
      <c r="J2093" s="334"/>
      <c r="K2093" s="382"/>
      <c r="L2093" s="380"/>
      <c r="M2093" s="380"/>
      <c r="N2093" s="380"/>
      <c r="O2093" s="380"/>
      <c r="P2093" s="380"/>
      <c r="Q2093" s="380"/>
    </row>
    <row r="2094" spans="1:17" x14ac:dyDescent="0.2">
      <c r="A2094" s="334" t="s">
        <v>342</v>
      </c>
      <c r="B2094" s="380"/>
      <c r="C2094" s="334" t="s">
        <v>342</v>
      </c>
      <c r="D2094" s="410" t="s">
        <v>342</v>
      </c>
      <c r="E2094" s="334"/>
      <c r="F2094" s="412" t="s">
        <v>342</v>
      </c>
      <c r="G2094" s="334"/>
      <c r="H2094" s="377"/>
      <c r="I2094" s="385"/>
      <c r="J2094" s="410" t="s">
        <v>342</v>
      </c>
      <c r="K2094" s="382"/>
      <c r="L2094" s="380"/>
      <c r="M2094" s="380"/>
      <c r="N2094" s="380"/>
      <c r="O2094" s="380"/>
      <c r="P2094" s="380"/>
      <c r="Q2094" s="380"/>
    </row>
    <row r="2095" spans="1:17" x14ac:dyDescent="0.2">
      <c r="A2095" s="334" t="s">
        <v>342</v>
      </c>
      <c r="B2095" s="380"/>
      <c r="C2095" s="334" t="s">
        <v>342</v>
      </c>
      <c r="D2095" s="334">
        <f>SUM(D2088:D2093)</f>
        <v>0</v>
      </c>
      <c r="E2095" s="377"/>
      <c r="F2095" s="412" t="s">
        <v>342</v>
      </c>
      <c r="G2095" s="334"/>
      <c r="H2095" s="377"/>
      <c r="I2095" s="385"/>
      <c r="J2095" s="334">
        <f>SUM(J2088:J2093)</f>
        <v>0</v>
      </c>
      <c r="K2095" s="382"/>
      <c r="L2095" s="380"/>
      <c r="M2095" s="380"/>
      <c r="N2095" s="380"/>
      <c r="O2095" s="380"/>
      <c r="P2095" s="380"/>
      <c r="Q2095" s="380"/>
    </row>
    <row r="2096" spans="1:17" ht="15.75" thickTop="1" x14ac:dyDescent="0.2">
      <c r="A2096" s="334" t="s">
        <v>342</v>
      </c>
      <c r="B2096" s="380"/>
      <c r="C2096" s="334" t="s">
        <v>342</v>
      </c>
      <c r="D2096" s="395"/>
      <c r="E2096" s="334"/>
      <c r="F2096" s="378"/>
      <c r="G2096" s="380"/>
      <c r="H2096" s="380"/>
      <c r="I2096" s="399"/>
      <c r="J2096" s="395"/>
      <c r="K2096" s="382"/>
      <c r="L2096" s="380"/>
      <c r="M2096" s="380"/>
      <c r="N2096" s="380"/>
      <c r="O2096" s="380"/>
      <c r="P2096" s="380"/>
      <c r="Q2096" s="380"/>
    </row>
    <row r="2097" spans="1:17" x14ac:dyDescent="0.2">
      <c r="A2097" s="334" t="s">
        <v>342</v>
      </c>
      <c r="B2097" s="377"/>
      <c r="C2097" s="334" t="s">
        <v>342</v>
      </c>
      <c r="D2097" s="334" t="s">
        <v>342</v>
      </c>
      <c r="E2097" s="334"/>
      <c r="F2097" s="378"/>
      <c r="G2097" s="377"/>
      <c r="H2097" s="377"/>
      <c r="I2097" s="385"/>
      <c r="J2097" s="334" t="s">
        <v>342</v>
      </c>
      <c r="K2097" s="382"/>
      <c r="L2097" s="380"/>
      <c r="M2097" s="380"/>
      <c r="N2097" s="380"/>
      <c r="O2097" s="380"/>
      <c r="P2097" s="380"/>
      <c r="Q2097" s="380"/>
    </row>
    <row r="2098" spans="1:17" x14ac:dyDescent="0.2">
      <c r="A2098" s="380"/>
      <c r="B2098" s="380"/>
      <c r="C2098" s="380"/>
      <c r="D2098" s="334" t="s">
        <v>342</v>
      </c>
      <c r="E2098" s="334"/>
      <c r="F2098" s="378"/>
      <c r="G2098" s="380"/>
      <c r="H2098" s="380"/>
      <c r="I2098" s="385"/>
      <c r="J2098" s="334" t="s">
        <v>342</v>
      </c>
      <c r="K2098" s="382"/>
      <c r="L2098" s="380"/>
      <c r="M2098" s="380"/>
      <c r="N2098" s="380"/>
      <c r="O2098" s="380"/>
      <c r="P2098" s="380"/>
      <c r="Q2098" s="380"/>
    </row>
    <row r="2099" spans="1:17" x14ac:dyDescent="0.2">
      <c r="A2099" s="334" t="s">
        <v>1806</v>
      </c>
      <c r="B2099" s="377"/>
      <c r="C2099" s="380"/>
      <c r="D2099" s="380"/>
      <c r="E2099" s="334"/>
      <c r="F2099" s="378"/>
      <c r="G2099" s="377"/>
      <c r="H2099" s="380"/>
      <c r="I2099" s="382"/>
      <c r="J2099" s="380"/>
      <c r="K2099" s="382"/>
      <c r="L2099" s="380"/>
      <c r="M2099" s="380"/>
      <c r="N2099" s="380"/>
      <c r="O2099" s="380"/>
      <c r="P2099" s="380"/>
      <c r="Q2099" s="380"/>
    </row>
    <row r="2100" spans="1:17" x14ac:dyDescent="0.2">
      <c r="A2100" s="380"/>
      <c r="B2100" s="380"/>
      <c r="C2100" s="384" t="s">
        <v>2138</v>
      </c>
      <c r="D2100" s="380"/>
      <c r="E2100" s="384"/>
      <c r="F2100" s="378"/>
      <c r="G2100" s="380"/>
      <c r="H2100" s="380"/>
      <c r="I2100" s="382"/>
      <c r="J2100" s="380"/>
      <c r="K2100" s="382"/>
      <c r="L2100" s="380"/>
      <c r="M2100" s="380"/>
      <c r="N2100" s="380"/>
      <c r="O2100" s="380"/>
      <c r="P2100" s="380"/>
      <c r="Q2100" s="380"/>
    </row>
    <row r="2101" spans="1:17" x14ac:dyDescent="0.2">
      <c r="A2101" s="380"/>
      <c r="B2101" s="380"/>
      <c r="C2101" s="380"/>
      <c r="D2101" s="380"/>
      <c r="E2101" s="334"/>
      <c r="F2101" s="378"/>
      <c r="G2101" s="380"/>
      <c r="H2101" s="380"/>
      <c r="I2101" s="382"/>
      <c r="J2101" s="380"/>
      <c r="K2101" s="382"/>
      <c r="L2101" s="380"/>
      <c r="M2101" s="380"/>
      <c r="N2101" s="380"/>
      <c r="O2101" s="380"/>
      <c r="P2101" s="380"/>
      <c r="Q2101" s="380"/>
    </row>
    <row r="2102" spans="1:17" x14ac:dyDescent="0.2">
      <c r="A2102" s="334" t="s">
        <v>1723</v>
      </c>
      <c r="B2102" s="380"/>
      <c r="C2102" s="334" t="s">
        <v>1880</v>
      </c>
      <c r="D2102" s="334" t="s">
        <v>181</v>
      </c>
      <c r="E2102" s="334"/>
      <c r="F2102" s="412"/>
      <c r="G2102" s="334"/>
      <c r="H2102" s="377"/>
      <c r="I2102" s="385"/>
      <c r="J2102" s="334" t="s">
        <v>181</v>
      </c>
      <c r="K2102" s="382"/>
      <c r="L2102" s="380"/>
      <c r="M2102" s="380"/>
      <c r="N2102" s="380"/>
      <c r="O2102" s="380"/>
      <c r="P2102" s="380"/>
      <c r="Q2102" s="380"/>
    </row>
    <row r="2103" spans="1:17" x14ac:dyDescent="0.2">
      <c r="A2103" s="334" t="s">
        <v>342</v>
      </c>
      <c r="B2103" s="380"/>
      <c r="C2103" s="380"/>
      <c r="D2103" s="334"/>
      <c r="E2103" s="334"/>
      <c r="F2103" s="378"/>
      <c r="G2103" s="380"/>
      <c r="H2103" s="377"/>
      <c r="I2103" s="385"/>
      <c r="J2103" s="334"/>
      <c r="K2103" s="382"/>
      <c r="L2103" s="380"/>
      <c r="M2103" s="380"/>
      <c r="N2103" s="380"/>
      <c r="O2103" s="380"/>
      <c r="P2103" s="380"/>
      <c r="Q2103" s="380"/>
    </row>
    <row r="2104" spans="1:17" x14ac:dyDescent="0.2">
      <c r="A2104" s="334" t="s">
        <v>1724</v>
      </c>
      <c r="B2104" s="380"/>
      <c r="C2104" s="334" t="s">
        <v>1881</v>
      </c>
      <c r="D2104" s="377">
        <v>65</v>
      </c>
      <c r="E2104" s="384"/>
      <c r="F2104" s="378"/>
      <c r="G2104" s="377"/>
      <c r="H2104" s="334" t="s">
        <v>342</v>
      </c>
      <c r="I2104" s="399"/>
      <c r="J2104" s="377">
        <v>65</v>
      </c>
      <c r="K2104" s="382"/>
      <c r="L2104" s="380"/>
      <c r="M2104" s="380"/>
      <c r="N2104" s="380"/>
      <c r="O2104" s="380"/>
      <c r="P2104" s="380"/>
      <c r="Q2104" s="380"/>
    </row>
    <row r="2105" spans="1:17" x14ac:dyDescent="0.2">
      <c r="A2105" s="334" t="s">
        <v>1736</v>
      </c>
      <c r="B2105" s="380"/>
      <c r="C2105" s="334" t="s">
        <v>1747</v>
      </c>
      <c r="D2105" s="377">
        <v>90</v>
      </c>
      <c r="E2105" s="384"/>
      <c r="F2105" s="378"/>
      <c r="G2105" s="377"/>
      <c r="H2105" s="334"/>
      <c r="I2105" s="399"/>
      <c r="J2105" s="377">
        <v>90</v>
      </c>
      <c r="K2105" s="382"/>
      <c r="L2105" s="380"/>
      <c r="M2105" s="380"/>
      <c r="N2105" s="380"/>
      <c r="O2105" s="380"/>
      <c r="P2105" s="380"/>
      <c r="Q2105" s="380"/>
    </row>
    <row r="2106" spans="1:17" x14ac:dyDescent="0.2">
      <c r="A2106" s="334" t="s">
        <v>1582</v>
      </c>
      <c r="B2106" s="380"/>
      <c r="C2106" s="334" t="s">
        <v>3135</v>
      </c>
      <c r="D2106" s="377"/>
      <c r="E2106" s="384"/>
      <c r="F2106" s="378"/>
      <c r="G2106" s="377"/>
      <c r="H2106" s="334" t="s">
        <v>342</v>
      </c>
      <c r="I2106" s="399"/>
      <c r="J2106" s="377"/>
      <c r="K2106" s="382"/>
      <c r="L2106" s="380"/>
      <c r="M2106" s="380"/>
      <c r="N2106" s="380"/>
      <c r="O2106" s="380"/>
      <c r="P2106" s="380"/>
      <c r="Q2106" s="380"/>
    </row>
    <row r="2107" spans="1:17" x14ac:dyDescent="0.2">
      <c r="A2107" s="334" t="s">
        <v>1575</v>
      </c>
      <c r="B2107" s="380"/>
      <c r="C2107" s="334" t="s">
        <v>1889</v>
      </c>
      <c r="D2107" s="377"/>
      <c r="E2107" s="384"/>
      <c r="F2107" s="378"/>
      <c r="G2107" s="377"/>
      <c r="H2107" s="334"/>
      <c r="I2107" s="399"/>
      <c r="J2107" s="377"/>
      <c r="K2107" s="382"/>
      <c r="L2107" s="380"/>
      <c r="M2107" s="380"/>
      <c r="N2107" s="380"/>
      <c r="O2107" s="380"/>
      <c r="P2107" s="380"/>
      <c r="Q2107" s="380"/>
    </row>
    <row r="2108" spans="1:17" x14ac:dyDescent="0.2">
      <c r="A2108" s="334" t="s">
        <v>1725</v>
      </c>
      <c r="B2108" s="380"/>
      <c r="C2108" s="334" t="s">
        <v>1890</v>
      </c>
      <c r="D2108" s="377">
        <v>65</v>
      </c>
      <c r="E2108" s="384"/>
      <c r="F2108" s="378"/>
      <c r="G2108" s="377"/>
      <c r="H2108" s="334" t="s">
        <v>342</v>
      </c>
      <c r="I2108" s="399"/>
      <c r="J2108" s="377">
        <v>65</v>
      </c>
      <c r="K2108" s="382"/>
      <c r="L2108" s="380"/>
      <c r="M2108" s="380"/>
      <c r="N2108" s="380"/>
      <c r="O2108" s="380"/>
      <c r="P2108" s="380"/>
      <c r="Q2108" s="380"/>
    </row>
    <row r="2109" spans="1:17" x14ac:dyDescent="0.2">
      <c r="A2109" s="334" t="s">
        <v>1565</v>
      </c>
      <c r="B2109" s="380"/>
      <c r="C2109" s="334" t="s">
        <v>1927</v>
      </c>
      <c r="D2109" s="377"/>
      <c r="E2109" s="384"/>
      <c r="F2109" s="378"/>
      <c r="G2109" s="377"/>
      <c r="H2109" s="334"/>
      <c r="I2109" s="399"/>
      <c r="J2109" s="377"/>
      <c r="K2109" s="382"/>
      <c r="L2109" s="380"/>
      <c r="M2109" s="380"/>
      <c r="N2109" s="380"/>
      <c r="O2109" s="380"/>
      <c r="P2109" s="380"/>
      <c r="Q2109" s="380"/>
    </row>
    <row r="2110" spans="1:17" x14ac:dyDescent="0.2">
      <c r="A2110" s="334" t="s">
        <v>1737</v>
      </c>
      <c r="B2110" s="380"/>
      <c r="C2110" s="334" t="s">
        <v>1984</v>
      </c>
      <c r="D2110" s="377">
        <v>50</v>
      </c>
      <c r="E2110" s="384"/>
      <c r="F2110" s="378"/>
      <c r="G2110" s="377"/>
      <c r="H2110" s="334" t="s">
        <v>342</v>
      </c>
      <c r="I2110" s="399"/>
      <c r="J2110" s="377">
        <v>50</v>
      </c>
      <c r="K2110" s="382"/>
      <c r="L2110" s="380"/>
      <c r="M2110" s="380"/>
      <c r="N2110" s="380"/>
      <c r="O2110" s="380"/>
      <c r="P2110" s="380"/>
      <c r="Q2110" s="380"/>
    </row>
    <row r="2111" spans="1:17" x14ac:dyDescent="0.2">
      <c r="A2111" s="334" t="s">
        <v>1738</v>
      </c>
      <c r="B2111" s="380"/>
      <c r="C2111" s="334" t="s">
        <v>1591</v>
      </c>
      <c r="D2111" s="377">
        <v>100</v>
      </c>
      <c r="E2111" s="384"/>
      <c r="F2111" s="378"/>
      <c r="G2111" s="377"/>
      <c r="H2111" s="334" t="s">
        <v>342</v>
      </c>
      <c r="I2111" s="399"/>
      <c r="J2111" s="377">
        <v>100</v>
      </c>
      <c r="K2111" s="382"/>
      <c r="L2111" s="380"/>
      <c r="M2111" s="380"/>
      <c r="N2111" s="380"/>
      <c r="O2111" s="380"/>
      <c r="P2111" s="380"/>
      <c r="Q2111" s="380"/>
    </row>
    <row r="2112" spans="1:17" x14ac:dyDescent="0.2">
      <c r="A2112" s="334" t="s">
        <v>1727</v>
      </c>
      <c r="B2112" s="380"/>
      <c r="C2112" s="334" t="s">
        <v>307</v>
      </c>
      <c r="D2112" s="377">
        <v>205</v>
      </c>
      <c r="E2112" s="384"/>
      <c r="F2112" s="378"/>
      <c r="G2112" s="377"/>
      <c r="H2112" s="380"/>
      <c r="I2112" s="399"/>
      <c r="J2112" s="377">
        <v>205</v>
      </c>
      <c r="K2112" s="382"/>
      <c r="L2112" s="380"/>
      <c r="M2112" s="380"/>
      <c r="N2112" s="380"/>
      <c r="O2112" s="380"/>
      <c r="P2112" s="380"/>
      <c r="Q2112" s="380"/>
    </row>
    <row r="2113" spans="1:17" x14ac:dyDescent="0.2">
      <c r="A2113" s="334" t="s">
        <v>1728</v>
      </c>
      <c r="B2113" s="380"/>
      <c r="C2113" s="334" t="s">
        <v>310</v>
      </c>
      <c r="D2113" s="377">
        <v>200</v>
      </c>
      <c r="E2113" s="384"/>
      <c r="F2113" s="378"/>
      <c r="G2113" s="377"/>
      <c r="H2113" s="380"/>
      <c r="I2113" s="399"/>
      <c r="J2113" s="377">
        <v>200</v>
      </c>
      <c r="K2113" s="382"/>
      <c r="L2113" s="380"/>
      <c r="M2113" s="380"/>
      <c r="N2113" s="380"/>
      <c r="O2113" s="380"/>
      <c r="P2113" s="380"/>
      <c r="Q2113" s="380"/>
    </row>
    <row r="2114" spans="1:17" x14ac:dyDescent="0.2">
      <c r="A2114" s="334" t="s">
        <v>1729</v>
      </c>
      <c r="B2114" s="380"/>
      <c r="C2114" s="380" t="s">
        <v>1551</v>
      </c>
      <c r="D2114" s="377">
        <v>-72.77</v>
      </c>
      <c r="E2114" s="384"/>
      <c r="F2114" s="378"/>
      <c r="G2114" s="377"/>
      <c r="H2114" s="380"/>
      <c r="I2114" s="399"/>
      <c r="J2114" s="377"/>
      <c r="K2114" s="382"/>
      <c r="L2114" s="380"/>
      <c r="M2114" s="380"/>
      <c r="N2114" s="380"/>
      <c r="O2114" s="380"/>
      <c r="P2114" s="380"/>
      <c r="Q2114" s="380"/>
    </row>
    <row r="2115" spans="1:17" x14ac:dyDescent="0.2">
      <c r="A2115" s="334" t="s">
        <v>1741</v>
      </c>
      <c r="B2115" s="380"/>
      <c r="C2115" s="334" t="s">
        <v>1748</v>
      </c>
      <c r="D2115" s="377"/>
      <c r="E2115" s="384"/>
      <c r="F2115" s="378"/>
      <c r="G2115" s="377"/>
      <c r="H2115" s="380"/>
      <c r="I2115" s="399"/>
      <c r="J2115" s="377"/>
      <c r="K2115" s="382"/>
      <c r="L2115" s="380"/>
      <c r="M2115" s="380"/>
      <c r="N2115" s="380"/>
      <c r="O2115" s="380"/>
      <c r="P2115" s="380"/>
      <c r="Q2115" s="380"/>
    </row>
    <row r="2116" spans="1:17" x14ac:dyDescent="0.2">
      <c r="A2116" s="334" t="s">
        <v>1580</v>
      </c>
      <c r="B2116" s="380"/>
      <c r="C2116" s="334" t="s">
        <v>1935</v>
      </c>
      <c r="D2116" s="377"/>
      <c r="E2116" s="384"/>
      <c r="F2116" s="378"/>
      <c r="G2116" s="377"/>
      <c r="H2116" s="380"/>
      <c r="I2116" s="399"/>
      <c r="J2116" s="377"/>
      <c r="K2116" s="382"/>
      <c r="L2116" s="380"/>
      <c r="M2116" s="380"/>
      <c r="N2116" s="380"/>
      <c r="O2116" s="380"/>
      <c r="P2116" s="380"/>
      <c r="Q2116" s="380"/>
    </row>
    <row r="2117" spans="1:17" x14ac:dyDescent="0.2">
      <c r="A2117" s="334" t="s">
        <v>1572</v>
      </c>
      <c r="B2117" s="380"/>
      <c r="C2117" s="334" t="s">
        <v>3134</v>
      </c>
      <c r="D2117" s="377"/>
      <c r="E2117" s="384"/>
      <c r="F2117" s="378"/>
      <c r="G2117" s="377"/>
      <c r="H2117" s="380"/>
      <c r="I2117" s="399"/>
      <c r="J2117" s="377"/>
      <c r="K2117" s="382"/>
      <c r="L2117" s="380"/>
      <c r="M2117" s="380"/>
      <c r="N2117" s="380"/>
      <c r="O2117" s="380"/>
      <c r="P2117" s="380"/>
      <c r="Q2117" s="380"/>
    </row>
    <row r="2118" spans="1:17" x14ac:dyDescent="0.2">
      <c r="A2118" s="334" t="s">
        <v>1730</v>
      </c>
      <c r="B2118" s="380"/>
      <c r="C2118" s="334" t="s">
        <v>1985</v>
      </c>
      <c r="D2118" s="377">
        <v>800</v>
      </c>
      <c r="E2118" s="384"/>
      <c r="F2118" s="378"/>
      <c r="G2118" s="377"/>
      <c r="H2118" s="380"/>
      <c r="I2118" s="399"/>
      <c r="J2118" s="377">
        <v>800</v>
      </c>
      <c r="K2118" s="382"/>
      <c r="L2118" s="380"/>
      <c r="M2118" s="380"/>
      <c r="N2118" s="380"/>
      <c r="O2118" s="380"/>
      <c r="P2118" s="380"/>
      <c r="Q2118" s="380"/>
    </row>
    <row r="2119" spans="1:17" x14ac:dyDescent="0.2">
      <c r="A2119" s="334" t="s">
        <v>1566</v>
      </c>
      <c r="B2119" s="380"/>
      <c r="C2119" s="334" t="s">
        <v>366</v>
      </c>
      <c r="D2119" s="377">
        <v>700</v>
      </c>
      <c r="E2119" s="384"/>
      <c r="F2119" s="412"/>
      <c r="G2119" s="334"/>
      <c r="H2119" s="334" t="s">
        <v>342</v>
      </c>
      <c r="I2119" s="399"/>
      <c r="J2119" s="377">
        <v>400</v>
      </c>
      <c r="K2119" s="382"/>
      <c r="L2119" s="380"/>
      <c r="M2119" s="380"/>
      <c r="N2119" s="380"/>
      <c r="O2119" s="380"/>
      <c r="P2119" s="380"/>
      <c r="Q2119" s="380"/>
    </row>
    <row r="2120" spans="1:17" x14ac:dyDescent="0.2">
      <c r="A2120" s="334" t="s">
        <v>1587</v>
      </c>
      <c r="B2120" s="380"/>
      <c r="C2120" s="334" t="s">
        <v>34</v>
      </c>
      <c r="D2120" s="377"/>
      <c r="E2120" s="384"/>
      <c r="F2120" s="412"/>
      <c r="G2120" s="334"/>
      <c r="H2120" s="334"/>
      <c r="I2120" s="399"/>
      <c r="J2120" s="377"/>
      <c r="K2120" s="382"/>
      <c r="L2120" s="380"/>
      <c r="M2120" s="380"/>
      <c r="N2120" s="380"/>
      <c r="O2120" s="380"/>
      <c r="P2120" s="380"/>
      <c r="Q2120" s="380"/>
    </row>
    <row r="2121" spans="1:17" x14ac:dyDescent="0.2">
      <c r="A2121" s="334" t="s">
        <v>342</v>
      </c>
      <c r="B2121" s="380"/>
      <c r="C2121" s="334" t="s">
        <v>342</v>
      </c>
      <c r="D2121" s="410" t="s">
        <v>342</v>
      </c>
      <c r="E2121" s="334"/>
      <c r="F2121" s="412"/>
      <c r="G2121" s="334"/>
      <c r="H2121" s="334" t="s">
        <v>342</v>
      </c>
      <c r="I2121" s="385"/>
      <c r="J2121" s="410" t="s">
        <v>342</v>
      </c>
      <c r="K2121" s="382"/>
      <c r="L2121" s="380"/>
      <c r="M2121" s="380"/>
      <c r="N2121" s="380"/>
      <c r="O2121" s="380"/>
      <c r="P2121" s="380"/>
      <c r="Q2121" s="380"/>
    </row>
    <row r="2122" spans="1:17" x14ac:dyDescent="0.2">
      <c r="A2122" s="334" t="s">
        <v>342</v>
      </c>
      <c r="B2122" s="380"/>
      <c r="C2122" s="334" t="s">
        <v>342</v>
      </c>
      <c r="D2122" s="334">
        <f>SUM(D2104:D2120)</f>
        <v>2202.23</v>
      </c>
      <c r="E2122" s="334"/>
      <c r="F2122" s="412"/>
      <c r="G2122" s="334"/>
      <c r="H2122" s="334" t="s">
        <v>342</v>
      </c>
      <c r="I2122" s="385"/>
      <c r="J2122" s="334">
        <f>SUM(J2104:J2120)</f>
        <v>1975</v>
      </c>
      <c r="K2122" s="382"/>
      <c r="L2122" s="380"/>
      <c r="M2122" s="380"/>
      <c r="N2122" s="380"/>
      <c r="O2122" s="380"/>
      <c r="P2122" s="380"/>
      <c r="Q2122" s="380"/>
    </row>
    <row r="2123" spans="1:17" ht="15.75" thickTop="1" x14ac:dyDescent="0.2">
      <c r="A2123" s="334" t="s">
        <v>342</v>
      </c>
      <c r="B2123" s="380"/>
      <c r="C2123" s="380"/>
      <c r="D2123" s="395"/>
      <c r="E2123" s="334"/>
      <c r="F2123" s="412" t="s">
        <v>342</v>
      </c>
      <c r="G2123" s="334"/>
      <c r="H2123" s="334" t="s">
        <v>342</v>
      </c>
      <c r="I2123" s="399"/>
      <c r="J2123" s="382"/>
      <c r="K2123" s="382"/>
      <c r="L2123" s="380"/>
      <c r="M2123" s="380"/>
      <c r="N2123" s="380"/>
      <c r="O2123" s="380"/>
      <c r="P2123" s="380"/>
      <c r="Q2123" s="380"/>
    </row>
    <row r="2124" spans="1:17" x14ac:dyDescent="0.2">
      <c r="A2124" s="334" t="s">
        <v>342</v>
      </c>
      <c r="B2124" s="377"/>
      <c r="C2124" s="377"/>
      <c r="D2124" s="377"/>
      <c r="E2124" s="377"/>
      <c r="F2124" s="378"/>
      <c r="G2124" s="377"/>
      <c r="H2124" s="334" t="s">
        <v>342</v>
      </c>
      <c r="I2124" s="399"/>
      <c r="J2124" s="382"/>
      <c r="K2124" s="382"/>
      <c r="L2124" s="380"/>
      <c r="M2124" s="380"/>
      <c r="N2124" s="380"/>
      <c r="O2124" s="380"/>
      <c r="P2124" s="380"/>
      <c r="Q2124" s="380"/>
    </row>
    <row r="2125" spans="1:17" x14ac:dyDescent="0.2">
      <c r="A2125" s="334" t="s">
        <v>342</v>
      </c>
      <c r="B2125" s="380"/>
      <c r="C2125" s="380"/>
      <c r="D2125" s="380"/>
      <c r="E2125" s="334"/>
      <c r="F2125" s="412" t="s">
        <v>342</v>
      </c>
      <c r="G2125" s="334"/>
      <c r="H2125" s="334" t="s">
        <v>342</v>
      </c>
      <c r="I2125" s="382"/>
      <c r="J2125" s="382"/>
      <c r="K2125" s="382"/>
      <c r="L2125" s="380"/>
      <c r="M2125" s="380"/>
      <c r="N2125" s="380"/>
      <c r="O2125" s="380"/>
      <c r="P2125" s="380"/>
      <c r="Q2125" s="380"/>
    </row>
    <row r="2126" spans="1:17" x14ac:dyDescent="0.2">
      <c r="A2126" s="377"/>
      <c r="B2126" s="377"/>
      <c r="C2126" s="377"/>
      <c r="D2126" s="377"/>
      <c r="E2126" s="334" t="s">
        <v>342</v>
      </c>
      <c r="F2126" s="378"/>
      <c r="G2126" s="377"/>
      <c r="H2126" s="334" t="s">
        <v>342</v>
      </c>
      <c r="I2126" s="399"/>
      <c r="J2126" s="382"/>
      <c r="K2126" s="382"/>
      <c r="L2126" s="380"/>
      <c r="M2126" s="380"/>
      <c r="N2126" s="380"/>
      <c r="O2126" s="380"/>
      <c r="P2126" s="380"/>
      <c r="Q2126" s="380"/>
    </row>
    <row r="2127" spans="1:17" x14ac:dyDescent="0.2">
      <c r="A2127" s="380"/>
      <c r="B2127" s="380"/>
      <c r="C2127" s="380"/>
      <c r="D2127" s="380"/>
      <c r="E2127" s="380"/>
      <c r="F2127" s="378"/>
      <c r="G2127" s="380"/>
      <c r="H2127" s="334" t="s">
        <v>342</v>
      </c>
      <c r="I2127" s="382"/>
      <c r="J2127" s="382"/>
      <c r="K2127" s="382"/>
      <c r="L2127" s="380"/>
      <c r="M2127" s="380"/>
      <c r="N2127" s="380"/>
      <c r="O2127" s="380"/>
      <c r="P2127" s="380"/>
      <c r="Q2127" s="380"/>
    </row>
    <row r="2128" spans="1:17" x14ac:dyDescent="0.2">
      <c r="A2128" s="334" t="s">
        <v>504</v>
      </c>
      <c r="B2128" s="380"/>
      <c r="C2128" s="380"/>
      <c r="D2128" s="380"/>
      <c r="E2128" s="334"/>
      <c r="F2128" s="412"/>
      <c r="G2128" s="334"/>
      <c r="H2128" s="334"/>
      <c r="I2128" s="382"/>
      <c r="J2128" s="382"/>
      <c r="K2128" s="382"/>
      <c r="L2128" s="380"/>
      <c r="M2128" s="380"/>
      <c r="N2128" s="380"/>
      <c r="O2128" s="380"/>
      <c r="P2128" s="380"/>
      <c r="Q2128" s="380"/>
    </row>
    <row r="2129" spans="1:17" x14ac:dyDescent="0.2">
      <c r="A2129" s="334"/>
      <c r="B2129" s="380"/>
      <c r="C2129" s="334"/>
      <c r="D2129" s="442" t="s">
        <v>468</v>
      </c>
      <c r="E2129" s="384" t="s">
        <v>296</v>
      </c>
      <c r="F2129" s="421" t="s">
        <v>295</v>
      </c>
      <c r="G2129" s="384"/>
      <c r="H2129" s="384" t="s">
        <v>301</v>
      </c>
      <c r="I2129" s="443"/>
      <c r="J2129" s="442" t="s">
        <v>468</v>
      </c>
      <c r="K2129" s="384" t="s">
        <v>296</v>
      </c>
      <c r="L2129" s="421" t="s">
        <v>295</v>
      </c>
      <c r="M2129" s="384"/>
      <c r="N2129" s="384" t="s">
        <v>301</v>
      </c>
      <c r="O2129" s="380"/>
      <c r="P2129" s="380"/>
      <c r="Q2129" s="380"/>
    </row>
    <row r="2130" spans="1:17" x14ac:dyDescent="0.2">
      <c r="A2130" s="380"/>
      <c r="B2130" s="380"/>
      <c r="C2130" s="380"/>
      <c r="D2130" s="334" t="s">
        <v>795</v>
      </c>
      <c r="E2130" s="334" t="s">
        <v>960</v>
      </c>
      <c r="F2130" s="412" t="s">
        <v>796</v>
      </c>
      <c r="G2130" s="334"/>
      <c r="H2130" s="334" t="s">
        <v>69</v>
      </c>
      <c r="I2130" s="385"/>
      <c r="J2130" s="334" t="s">
        <v>795</v>
      </c>
      <c r="K2130" s="334" t="s">
        <v>960</v>
      </c>
      <c r="L2130" s="412" t="s">
        <v>796</v>
      </c>
      <c r="M2130" s="334"/>
      <c r="N2130" s="334" t="s">
        <v>69</v>
      </c>
      <c r="O2130" s="380"/>
      <c r="P2130" s="380"/>
      <c r="Q2130" s="380"/>
    </row>
    <row r="2131" spans="1:17" x14ac:dyDescent="0.2">
      <c r="A2131" s="334" t="s">
        <v>1574</v>
      </c>
      <c r="B2131" s="380"/>
      <c r="C2131" s="334" t="s">
        <v>1880</v>
      </c>
      <c r="D2131" s="334" t="s">
        <v>181</v>
      </c>
      <c r="E2131" s="334" t="s">
        <v>181</v>
      </c>
      <c r="F2131" s="412" t="s">
        <v>181</v>
      </c>
      <c r="G2131" s="334"/>
      <c r="H2131" s="334" t="s">
        <v>181</v>
      </c>
      <c r="I2131" s="385"/>
      <c r="J2131" s="334" t="s">
        <v>181</v>
      </c>
      <c r="K2131" s="334" t="s">
        <v>181</v>
      </c>
      <c r="L2131" s="412" t="s">
        <v>181</v>
      </c>
      <c r="M2131" s="334"/>
      <c r="N2131" s="334" t="s">
        <v>181</v>
      </c>
      <c r="O2131" s="380"/>
      <c r="P2131" s="380"/>
      <c r="Q2131" s="380"/>
    </row>
    <row r="2132" spans="1:17" x14ac:dyDescent="0.2">
      <c r="A2132" s="380"/>
      <c r="B2132" s="380"/>
      <c r="C2132" s="380"/>
      <c r="D2132" s="334" t="s">
        <v>342</v>
      </c>
      <c r="E2132" s="334" t="s">
        <v>342</v>
      </c>
      <c r="F2132" s="412" t="s">
        <v>342</v>
      </c>
      <c r="G2132" s="334"/>
      <c r="H2132" s="334" t="s">
        <v>342</v>
      </c>
      <c r="I2132" s="385"/>
      <c r="J2132" s="334" t="s">
        <v>342</v>
      </c>
      <c r="K2132" s="334" t="s">
        <v>342</v>
      </c>
      <c r="L2132" s="412" t="s">
        <v>342</v>
      </c>
      <c r="M2132" s="334"/>
      <c r="N2132" s="334" t="s">
        <v>342</v>
      </c>
      <c r="O2132" s="380"/>
      <c r="P2132" s="380"/>
      <c r="Q2132" s="380"/>
    </row>
    <row r="2133" spans="1:17" x14ac:dyDescent="0.2">
      <c r="A2133" s="334" t="s">
        <v>1724</v>
      </c>
      <c r="B2133" s="380"/>
      <c r="C2133" s="380" t="s">
        <v>1881</v>
      </c>
      <c r="D2133" s="393">
        <v>11000</v>
      </c>
      <c r="E2133" s="393">
        <v>500</v>
      </c>
      <c r="F2133" s="444">
        <v>1500</v>
      </c>
      <c r="G2133" s="393"/>
      <c r="H2133" s="393">
        <v>1500</v>
      </c>
      <c r="I2133" s="385"/>
      <c r="J2133" s="334">
        <v>11000</v>
      </c>
      <c r="K2133" s="334">
        <v>500</v>
      </c>
      <c r="L2133" s="412">
        <v>1500</v>
      </c>
      <c r="M2133" s="334"/>
      <c r="N2133" s="334">
        <v>1500</v>
      </c>
      <c r="O2133" s="380"/>
      <c r="P2133" s="380"/>
      <c r="Q2133" s="380"/>
    </row>
    <row r="2134" spans="1:17" x14ac:dyDescent="0.2">
      <c r="A2134" s="384" t="s">
        <v>1744</v>
      </c>
      <c r="B2134" s="380"/>
      <c r="C2134" s="334" t="s">
        <v>1254</v>
      </c>
      <c r="D2134" s="334"/>
      <c r="E2134" s="334"/>
      <c r="F2134" s="412"/>
      <c r="G2134" s="334"/>
      <c r="H2134" s="334"/>
      <c r="I2134" s="385"/>
      <c r="J2134" s="334"/>
      <c r="K2134" s="334"/>
      <c r="L2134" s="412"/>
      <c r="M2134" s="334"/>
      <c r="N2134" s="334"/>
      <c r="O2134" s="380"/>
      <c r="P2134" s="380"/>
      <c r="Q2134" s="380"/>
    </row>
    <row r="2135" spans="1:17" x14ac:dyDescent="0.2">
      <c r="A2135" s="384" t="s">
        <v>1582</v>
      </c>
      <c r="B2135" s="380"/>
      <c r="C2135" s="334" t="s">
        <v>3135</v>
      </c>
      <c r="D2135" s="334"/>
      <c r="E2135" s="334"/>
      <c r="F2135" s="412"/>
      <c r="G2135" s="334"/>
      <c r="H2135" s="334"/>
      <c r="I2135" s="385"/>
      <c r="J2135" s="334"/>
      <c r="K2135" s="334"/>
      <c r="L2135" s="412"/>
      <c r="M2135" s="334"/>
      <c r="N2135" s="334"/>
      <c r="O2135" s="380"/>
      <c r="P2135" s="380"/>
      <c r="Q2135" s="380"/>
    </row>
    <row r="2136" spans="1:17" x14ac:dyDescent="0.2">
      <c r="A2136" s="334" t="s">
        <v>1725</v>
      </c>
      <c r="B2136" s="380"/>
      <c r="C2136" s="334" t="s">
        <v>1890</v>
      </c>
      <c r="D2136" s="334"/>
      <c r="E2136" s="334"/>
      <c r="F2136" s="412"/>
      <c r="G2136" s="334"/>
      <c r="H2136" s="334"/>
      <c r="I2136" s="385"/>
      <c r="J2136" s="334"/>
      <c r="K2136" s="334"/>
      <c r="L2136" s="412"/>
      <c r="M2136" s="334"/>
      <c r="N2136" s="334"/>
      <c r="O2136" s="380"/>
      <c r="P2136" s="380"/>
      <c r="Q2136" s="380"/>
    </row>
    <row r="2137" spans="1:17" x14ac:dyDescent="0.2">
      <c r="A2137" s="384" t="s">
        <v>1734</v>
      </c>
      <c r="B2137" s="380"/>
      <c r="C2137" s="334" t="s">
        <v>1746</v>
      </c>
      <c r="D2137" s="334"/>
      <c r="E2137" s="334"/>
      <c r="F2137" s="412"/>
      <c r="G2137" s="334"/>
      <c r="H2137" s="334"/>
      <c r="I2137" s="385"/>
      <c r="J2137" s="334"/>
      <c r="K2137" s="334"/>
      <c r="L2137" s="412"/>
      <c r="M2137" s="334"/>
      <c r="N2137" s="334"/>
      <c r="O2137" s="380"/>
      <c r="P2137" s="380"/>
      <c r="Q2137" s="380"/>
    </row>
    <row r="2138" spans="1:17" x14ac:dyDescent="0.2">
      <c r="A2138" s="384" t="s">
        <v>1578</v>
      </c>
      <c r="B2138" s="380"/>
      <c r="C2138" s="334" t="s">
        <v>22</v>
      </c>
      <c r="D2138" s="334"/>
      <c r="E2138" s="334"/>
      <c r="F2138" s="412"/>
      <c r="G2138" s="334"/>
      <c r="H2138" s="334"/>
      <c r="I2138" s="385"/>
      <c r="J2138" s="334"/>
      <c r="K2138" s="334"/>
      <c r="L2138" s="412"/>
      <c r="M2138" s="334"/>
      <c r="N2138" s="334"/>
      <c r="O2138" s="380"/>
      <c r="P2138" s="380"/>
      <c r="Q2138" s="380"/>
    </row>
    <row r="2139" spans="1:17" x14ac:dyDescent="0.2">
      <c r="A2139" s="334" t="s">
        <v>1738</v>
      </c>
      <c r="B2139" s="380"/>
      <c r="C2139" s="334" t="s">
        <v>1591</v>
      </c>
      <c r="D2139" s="334"/>
      <c r="E2139" s="334"/>
      <c r="F2139" s="412"/>
      <c r="G2139" s="334"/>
      <c r="H2139" s="334"/>
      <c r="I2139" s="385"/>
      <c r="J2139" s="334"/>
      <c r="K2139" s="334"/>
      <c r="L2139" s="412"/>
      <c r="M2139" s="334"/>
      <c r="N2139" s="334"/>
      <c r="O2139" s="380"/>
      <c r="P2139" s="380"/>
      <c r="Q2139" s="380"/>
    </row>
    <row r="2140" spans="1:17" x14ac:dyDescent="0.2">
      <c r="A2140" s="334" t="s">
        <v>1727</v>
      </c>
      <c r="B2140" s="380"/>
      <c r="C2140" s="334" t="s">
        <v>307</v>
      </c>
      <c r="D2140" s="334"/>
      <c r="E2140" s="334"/>
      <c r="F2140" s="412"/>
      <c r="G2140" s="334"/>
      <c r="H2140" s="334"/>
      <c r="I2140" s="385"/>
      <c r="J2140" s="334"/>
      <c r="K2140" s="334"/>
      <c r="L2140" s="412"/>
      <c r="M2140" s="334"/>
      <c r="N2140" s="334"/>
      <c r="O2140" s="380"/>
      <c r="P2140" s="380"/>
      <c r="Q2140" s="380"/>
    </row>
    <row r="2141" spans="1:17" x14ac:dyDescent="0.2">
      <c r="A2141" s="334" t="s">
        <v>1728</v>
      </c>
      <c r="B2141" s="380"/>
      <c r="C2141" s="334" t="s">
        <v>310</v>
      </c>
      <c r="D2141" s="334"/>
      <c r="E2141" s="334"/>
      <c r="F2141" s="412"/>
      <c r="G2141" s="334"/>
      <c r="H2141" s="334"/>
      <c r="I2141" s="385"/>
      <c r="J2141" s="334"/>
      <c r="K2141" s="334"/>
      <c r="L2141" s="412"/>
      <c r="M2141" s="334"/>
      <c r="N2141" s="334"/>
      <c r="O2141" s="380"/>
      <c r="P2141" s="380"/>
      <c r="Q2141" s="380"/>
    </row>
    <row r="2142" spans="1:17" x14ac:dyDescent="0.2">
      <c r="A2142" s="384" t="s">
        <v>1729</v>
      </c>
      <c r="B2142" s="380"/>
      <c r="C2142" s="380" t="s">
        <v>1551</v>
      </c>
      <c r="D2142" s="334">
        <v>-2200</v>
      </c>
      <c r="E2142" s="334">
        <v>-14.17</v>
      </c>
      <c r="F2142" s="412">
        <v>-300</v>
      </c>
      <c r="G2142" s="334"/>
      <c r="H2142" s="334">
        <v>-300</v>
      </c>
      <c r="I2142" s="385"/>
      <c r="J2142" s="334"/>
      <c r="K2142" s="334"/>
      <c r="L2142" s="412"/>
      <c r="M2142" s="334"/>
      <c r="N2142" s="334"/>
      <c r="O2142" s="380"/>
      <c r="P2142" s="380"/>
      <c r="Q2142" s="380"/>
    </row>
    <row r="2143" spans="1:17" x14ac:dyDescent="0.2">
      <c r="A2143" s="384" t="s">
        <v>1735</v>
      </c>
      <c r="B2143" s="380"/>
      <c r="C2143" s="380" t="s">
        <v>194</v>
      </c>
      <c r="D2143" s="334"/>
      <c r="E2143" s="334"/>
      <c r="F2143" s="412"/>
      <c r="G2143" s="334"/>
      <c r="H2143" s="334"/>
      <c r="I2143" s="385"/>
      <c r="J2143" s="334"/>
      <c r="K2143" s="334"/>
      <c r="L2143" s="412"/>
      <c r="M2143" s="334"/>
      <c r="N2143" s="334"/>
      <c r="O2143" s="380"/>
      <c r="P2143" s="380"/>
      <c r="Q2143" s="380"/>
    </row>
    <row r="2144" spans="1:17" x14ac:dyDescent="0.2">
      <c r="A2144" s="384" t="s">
        <v>1741</v>
      </c>
      <c r="B2144" s="380"/>
      <c r="C2144" s="334" t="s">
        <v>1748</v>
      </c>
      <c r="D2144" s="334"/>
      <c r="E2144" s="334"/>
      <c r="F2144" s="412"/>
      <c r="G2144" s="334"/>
      <c r="H2144" s="334"/>
      <c r="I2144" s="385"/>
      <c r="J2144" s="334"/>
      <c r="K2144" s="334"/>
      <c r="L2144" s="412"/>
      <c r="M2144" s="334"/>
      <c r="N2144" s="334"/>
      <c r="O2144" s="380"/>
      <c r="P2144" s="380"/>
      <c r="Q2144" s="380"/>
    </row>
    <row r="2145" spans="1:17" x14ac:dyDescent="0.2">
      <c r="A2145" s="334" t="s">
        <v>1730</v>
      </c>
      <c r="B2145" s="380"/>
      <c r="C2145" s="334" t="s">
        <v>1985</v>
      </c>
      <c r="D2145" s="334"/>
      <c r="E2145" s="334"/>
      <c r="F2145" s="412"/>
      <c r="G2145" s="334"/>
      <c r="H2145" s="334"/>
      <c r="I2145" s="385"/>
      <c r="J2145" s="334"/>
      <c r="K2145" s="334"/>
      <c r="L2145" s="412"/>
      <c r="M2145" s="334"/>
      <c r="N2145" s="334"/>
      <c r="O2145" s="380"/>
      <c r="P2145" s="380"/>
      <c r="Q2145" s="380"/>
    </row>
    <row r="2146" spans="1:17" x14ac:dyDescent="0.2">
      <c r="A2146" s="384" t="s">
        <v>1566</v>
      </c>
      <c r="B2146" s="380"/>
      <c r="C2146" s="334" t="s">
        <v>366</v>
      </c>
      <c r="D2146" s="334"/>
      <c r="E2146" s="334"/>
      <c r="F2146" s="412"/>
      <c r="G2146" s="334"/>
      <c r="H2146" s="334"/>
      <c r="I2146" s="385"/>
      <c r="J2146" s="334"/>
      <c r="K2146" s="334"/>
      <c r="L2146" s="412"/>
      <c r="M2146" s="334"/>
      <c r="N2146" s="334"/>
      <c r="O2146" s="380"/>
      <c r="P2146" s="380"/>
      <c r="Q2146" s="380"/>
    </row>
    <row r="2147" spans="1:17" x14ac:dyDescent="0.2">
      <c r="A2147" s="380"/>
      <c r="B2147" s="380"/>
      <c r="C2147" s="380"/>
      <c r="D2147" s="410" t="s">
        <v>342</v>
      </c>
      <c r="E2147" s="410" t="s">
        <v>342</v>
      </c>
      <c r="F2147" s="445" t="s">
        <v>342</v>
      </c>
      <c r="G2147" s="410"/>
      <c r="H2147" s="410" t="s">
        <v>342</v>
      </c>
      <c r="I2147" s="385"/>
      <c r="J2147" s="410" t="s">
        <v>342</v>
      </c>
      <c r="K2147" s="410" t="s">
        <v>342</v>
      </c>
      <c r="L2147" s="445" t="s">
        <v>342</v>
      </c>
      <c r="M2147" s="410"/>
      <c r="N2147" s="410" t="s">
        <v>342</v>
      </c>
      <c r="O2147" s="380"/>
      <c r="P2147" s="380"/>
      <c r="Q2147" s="380"/>
    </row>
    <row r="2148" spans="1:17" x14ac:dyDescent="0.2">
      <c r="A2148" s="380"/>
      <c r="B2148" s="380"/>
      <c r="C2148" s="380"/>
      <c r="D2148" s="334">
        <f>SUM(D2133:D2146)</f>
        <v>8800</v>
      </c>
      <c r="E2148" s="334">
        <f>SUM(E2133:E2146)</f>
        <v>485.83</v>
      </c>
      <c r="F2148" s="412">
        <f>SUM(F2133:F2146)</f>
        <v>1200</v>
      </c>
      <c r="G2148" s="334"/>
      <c r="H2148" s="334">
        <f>SUM(H2133:H2146)</f>
        <v>1200</v>
      </c>
      <c r="I2148" s="385"/>
      <c r="J2148" s="334">
        <f>SUM(J2133:J2146)</f>
        <v>11000</v>
      </c>
      <c r="K2148" s="334">
        <f>SUM(K2133:K2146)</f>
        <v>500</v>
      </c>
      <c r="L2148" s="412">
        <f>SUM(L2133:L2146)</f>
        <v>1500</v>
      </c>
      <c r="M2148" s="334"/>
      <c r="N2148" s="334">
        <f>SUM(N2133:N2146)</f>
        <v>1500</v>
      </c>
      <c r="O2148" s="380"/>
      <c r="P2148" s="380"/>
      <c r="Q2148" s="380"/>
    </row>
    <row r="2149" spans="1:17" ht="15.75" thickTop="1" x14ac:dyDescent="0.2">
      <c r="A2149" s="334" t="s">
        <v>342</v>
      </c>
      <c r="B2149" s="380"/>
      <c r="C2149" s="334" t="s">
        <v>342</v>
      </c>
      <c r="D2149" s="400" t="s">
        <v>342</v>
      </c>
      <c r="E2149" s="395"/>
      <c r="F2149" s="401"/>
      <c r="G2149" s="395"/>
      <c r="H2149" s="395"/>
      <c r="I2149" s="385"/>
      <c r="J2149" s="400" t="s">
        <v>342</v>
      </c>
      <c r="K2149" s="395"/>
      <c r="L2149" s="401"/>
      <c r="M2149" s="395"/>
      <c r="N2149" s="395"/>
      <c r="O2149" s="380"/>
      <c r="P2149" s="380"/>
      <c r="Q2149" s="380"/>
    </row>
    <row r="2150" spans="1:17" s="15" customFormat="1" x14ac:dyDescent="0.2">
      <c r="A2150" s="385"/>
      <c r="B2150" s="382"/>
      <c r="C2150" s="385"/>
      <c r="D2150" s="385"/>
      <c r="E2150" s="399"/>
      <c r="F2150" s="416"/>
      <c r="G2150" s="399"/>
      <c r="H2150" s="399"/>
      <c r="I2150" s="385"/>
      <c r="J2150" s="385"/>
      <c r="K2150" s="399"/>
      <c r="L2150" s="416"/>
      <c r="M2150" s="399"/>
      <c r="N2150" s="399"/>
      <c r="O2150" s="382"/>
      <c r="P2150" s="382"/>
      <c r="Q2150" s="382"/>
    </row>
    <row r="2151" spans="1:17" s="15" customFormat="1" x14ac:dyDescent="0.2">
      <c r="A2151" s="385"/>
      <c r="B2151" s="382"/>
      <c r="C2151" s="385"/>
      <c r="D2151" s="385"/>
      <c r="E2151" s="399"/>
      <c r="F2151" s="416"/>
      <c r="G2151" s="399"/>
      <c r="H2151" s="399"/>
      <c r="I2151" s="385"/>
      <c r="J2151" s="385"/>
      <c r="K2151" s="399"/>
      <c r="L2151" s="416"/>
      <c r="M2151" s="399"/>
      <c r="N2151" s="399"/>
      <c r="O2151" s="382"/>
      <c r="P2151" s="382"/>
      <c r="Q2151" s="382"/>
    </row>
    <row r="2152" spans="1:17" s="15" customFormat="1" x14ac:dyDescent="0.2">
      <c r="A2152" s="334" t="s">
        <v>540</v>
      </c>
      <c r="B2152" s="380"/>
      <c r="C2152" s="380"/>
      <c r="D2152" s="334"/>
      <c r="E2152" s="334"/>
      <c r="F2152" s="412"/>
      <c r="G2152" s="334"/>
      <c r="H2152" s="334"/>
      <c r="I2152" s="385"/>
      <c r="J2152" s="334"/>
      <c r="K2152" s="334"/>
      <c r="L2152" s="412"/>
      <c r="M2152" s="334"/>
      <c r="N2152" s="334"/>
      <c r="O2152" s="382"/>
      <c r="P2152" s="382"/>
      <c r="Q2152" s="382"/>
    </row>
    <row r="2153" spans="1:17" s="15" customFormat="1" x14ac:dyDescent="0.2">
      <c r="A2153" s="334"/>
      <c r="B2153" s="380"/>
      <c r="C2153" s="334"/>
      <c r="D2153" s="384" t="s">
        <v>293</v>
      </c>
      <c r="E2153" s="384" t="s">
        <v>548</v>
      </c>
      <c r="F2153" s="421" t="s">
        <v>234</v>
      </c>
      <c r="G2153" s="384"/>
      <c r="H2153" s="334"/>
      <c r="I2153" s="424"/>
      <c r="J2153" s="384" t="s">
        <v>293</v>
      </c>
      <c r="K2153" s="384" t="s">
        <v>548</v>
      </c>
      <c r="L2153" s="421" t="s">
        <v>234</v>
      </c>
      <c r="M2153" s="384"/>
      <c r="N2153" s="334"/>
      <c r="O2153" s="382"/>
      <c r="P2153" s="382"/>
      <c r="Q2153" s="382"/>
    </row>
    <row r="2154" spans="1:17" s="15" customFormat="1" x14ac:dyDescent="0.2">
      <c r="A2154" s="380"/>
      <c r="B2154" s="380"/>
      <c r="C2154" s="380"/>
      <c r="D2154" s="334" t="s">
        <v>294</v>
      </c>
      <c r="E2154" s="334" t="s">
        <v>549</v>
      </c>
      <c r="F2154" s="412" t="s">
        <v>837</v>
      </c>
      <c r="G2154" s="334"/>
      <c r="H2154" s="334"/>
      <c r="I2154" s="385"/>
      <c r="J2154" s="334" t="s">
        <v>294</v>
      </c>
      <c r="K2154" s="334" t="s">
        <v>549</v>
      </c>
      <c r="L2154" s="412" t="s">
        <v>837</v>
      </c>
      <c r="M2154" s="334"/>
      <c r="N2154" s="334"/>
      <c r="O2154" s="382"/>
      <c r="P2154" s="382"/>
      <c r="Q2154" s="382"/>
    </row>
    <row r="2155" spans="1:17" s="15" customFormat="1" x14ac:dyDescent="0.2">
      <c r="A2155" s="334" t="s">
        <v>1574</v>
      </c>
      <c r="B2155" s="380"/>
      <c r="C2155" s="334" t="s">
        <v>1880</v>
      </c>
      <c r="D2155" s="334" t="s">
        <v>181</v>
      </c>
      <c r="E2155" s="334" t="s">
        <v>181</v>
      </c>
      <c r="F2155" s="412" t="s">
        <v>181</v>
      </c>
      <c r="G2155" s="334"/>
      <c r="H2155" s="334" t="s">
        <v>181</v>
      </c>
      <c r="I2155" s="385"/>
      <c r="J2155" s="334" t="s">
        <v>181</v>
      </c>
      <c r="K2155" s="334" t="s">
        <v>181</v>
      </c>
      <c r="L2155" s="412" t="s">
        <v>181</v>
      </c>
      <c r="M2155" s="334"/>
      <c r="N2155" s="334" t="s">
        <v>181</v>
      </c>
      <c r="O2155" s="382"/>
      <c r="P2155" s="382"/>
      <c r="Q2155" s="382"/>
    </row>
    <row r="2156" spans="1:17" s="15" customFormat="1" x14ac:dyDescent="0.2">
      <c r="A2156" s="380"/>
      <c r="B2156" s="380"/>
      <c r="C2156" s="380"/>
      <c r="D2156" s="380"/>
      <c r="E2156" s="380"/>
      <c r="F2156" s="378"/>
      <c r="G2156" s="380"/>
      <c r="H2156" s="380"/>
      <c r="I2156" s="382"/>
      <c r="J2156" s="380"/>
      <c r="K2156" s="380"/>
      <c r="L2156" s="378"/>
      <c r="M2156" s="380"/>
      <c r="N2156" s="380"/>
      <c r="O2156" s="382"/>
      <c r="P2156" s="382"/>
      <c r="Q2156" s="382"/>
    </row>
    <row r="2157" spans="1:17" s="15" customFormat="1" x14ac:dyDescent="0.2">
      <c r="A2157" s="442" t="s">
        <v>1569</v>
      </c>
      <c r="B2157" s="380"/>
      <c r="C2157" s="334" t="s">
        <v>1888</v>
      </c>
      <c r="D2157" s="380"/>
      <c r="E2157" s="380">
        <v>18000</v>
      </c>
      <c r="F2157" s="378"/>
      <c r="G2157" s="380"/>
      <c r="H2157" s="380"/>
      <c r="I2157" s="382"/>
      <c r="J2157" s="380"/>
      <c r="K2157" s="380">
        <v>18000</v>
      </c>
      <c r="L2157" s="378"/>
      <c r="M2157" s="380"/>
      <c r="N2157" s="380"/>
      <c r="O2157" s="382"/>
      <c r="P2157" s="382"/>
      <c r="Q2157" s="382"/>
    </row>
    <row r="2158" spans="1:17" s="15" customFormat="1" x14ac:dyDescent="0.2">
      <c r="A2158" s="334" t="s">
        <v>1724</v>
      </c>
      <c r="B2158" s="380"/>
      <c r="C2158" s="380" t="s">
        <v>1881</v>
      </c>
      <c r="D2158" s="380">
        <v>1000</v>
      </c>
      <c r="E2158" s="380"/>
      <c r="F2158" s="378"/>
      <c r="G2158" s="380"/>
      <c r="H2158" s="334"/>
      <c r="I2158" s="382"/>
      <c r="J2158" s="380">
        <v>1000</v>
      </c>
      <c r="K2158" s="380">
        <v>1000</v>
      </c>
      <c r="L2158" s="378"/>
      <c r="M2158" s="380"/>
      <c r="N2158" s="334"/>
      <c r="O2158" s="382"/>
      <c r="P2158" s="382"/>
      <c r="Q2158" s="382"/>
    </row>
    <row r="2159" spans="1:17" s="15" customFormat="1" x14ac:dyDescent="0.2">
      <c r="A2159" s="384" t="s">
        <v>1736</v>
      </c>
      <c r="B2159" s="380"/>
      <c r="C2159" s="380" t="s">
        <v>1747</v>
      </c>
      <c r="D2159" s="380">
        <v>500</v>
      </c>
      <c r="E2159" s="380"/>
      <c r="F2159" s="378"/>
      <c r="G2159" s="380"/>
      <c r="H2159" s="334"/>
      <c r="I2159" s="382"/>
      <c r="J2159" s="380"/>
      <c r="K2159" s="380"/>
      <c r="L2159" s="378"/>
      <c r="M2159" s="380"/>
      <c r="N2159" s="334"/>
      <c r="O2159" s="382"/>
      <c r="P2159" s="382"/>
      <c r="Q2159" s="382"/>
    </row>
    <row r="2160" spans="1:17" s="15" customFormat="1" x14ac:dyDescent="0.2">
      <c r="A2160" s="384" t="s">
        <v>1744</v>
      </c>
      <c r="B2160" s="380"/>
      <c r="C2160" s="334" t="s">
        <v>1254</v>
      </c>
      <c r="D2160" s="380">
        <v>2000</v>
      </c>
      <c r="E2160" s="380"/>
      <c r="F2160" s="378"/>
      <c r="G2160" s="380"/>
      <c r="H2160" s="334"/>
      <c r="I2160" s="382"/>
      <c r="J2160" s="380">
        <v>1000</v>
      </c>
      <c r="K2160" s="380"/>
      <c r="L2160" s="378"/>
      <c r="M2160" s="380"/>
      <c r="N2160" s="334"/>
      <c r="O2160" s="382"/>
      <c r="P2160" s="382"/>
      <c r="Q2160" s="382"/>
    </row>
    <row r="2161" spans="1:17" s="15" customFormat="1" x14ac:dyDescent="0.2">
      <c r="A2161" s="384" t="s">
        <v>1582</v>
      </c>
      <c r="B2161" s="380"/>
      <c r="C2161" s="334" t="s">
        <v>3135</v>
      </c>
      <c r="D2161" s="380">
        <v>1000</v>
      </c>
      <c r="E2161" s="380"/>
      <c r="F2161" s="378"/>
      <c r="G2161" s="380"/>
      <c r="H2161" s="334"/>
      <c r="I2161" s="382"/>
      <c r="J2161" s="380">
        <v>2000</v>
      </c>
      <c r="K2161" s="380"/>
      <c r="L2161" s="378"/>
      <c r="M2161" s="380"/>
      <c r="N2161" s="334"/>
      <c r="O2161" s="382"/>
      <c r="P2161" s="382"/>
      <c r="Q2161" s="382"/>
    </row>
    <row r="2162" spans="1:17" s="15" customFormat="1" x14ac:dyDescent="0.2">
      <c r="A2162" s="403" t="s">
        <v>1575</v>
      </c>
      <c r="B2162" s="380"/>
      <c r="C2162" s="334" t="s">
        <v>1889</v>
      </c>
      <c r="D2162" s="380">
        <v>1000</v>
      </c>
      <c r="E2162" s="380"/>
      <c r="F2162" s="378"/>
      <c r="G2162" s="380"/>
      <c r="H2162" s="334"/>
      <c r="I2162" s="382"/>
      <c r="J2162" s="380">
        <v>1000</v>
      </c>
      <c r="K2162" s="380"/>
      <c r="L2162" s="378"/>
      <c r="M2162" s="380"/>
      <c r="N2162" s="334"/>
      <c r="O2162" s="382"/>
      <c r="P2162" s="382"/>
      <c r="Q2162" s="382"/>
    </row>
    <row r="2163" spans="1:17" s="15" customFormat="1" x14ac:dyDescent="0.2">
      <c r="A2163" s="334" t="s">
        <v>1725</v>
      </c>
      <c r="B2163" s="380"/>
      <c r="C2163" s="334" t="s">
        <v>1890</v>
      </c>
      <c r="D2163" s="380">
        <v>300</v>
      </c>
      <c r="E2163" s="380"/>
      <c r="F2163" s="378"/>
      <c r="G2163" s="380"/>
      <c r="H2163" s="334"/>
      <c r="I2163" s="382"/>
      <c r="J2163" s="380">
        <v>300</v>
      </c>
      <c r="K2163" s="380"/>
      <c r="L2163" s="378"/>
      <c r="M2163" s="380"/>
      <c r="N2163" s="334"/>
      <c r="O2163" s="382"/>
      <c r="P2163" s="382"/>
      <c r="Q2163" s="382"/>
    </row>
    <row r="2164" spans="1:17" s="15" customFormat="1" x14ac:dyDescent="0.2">
      <c r="A2164" s="384" t="s">
        <v>1906</v>
      </c>
      <c r="B2164" s="380"/>
      <c r="C2164" s="334" t="s">
        <v>39</v>
      </c>
      <c r="D2164" s="380">
        <v>1500</v>
      </c>
      <c r="E2164" s="380"/>
      <c r="F2164" s="378"/>
      <c r="G2164" s="380"/>
      <c r="H2164" s="334"/>
      <c r="I2164" s="382"/>
      <c r="J2164" s="380"/>
      <c r="K2164" s="380">
        <v>9500</v>
      </c>
      <c r="L2164" s="378"/>
      <c r="M2164" s="380"/>
      <c r="N2164" s="334"/>
      <c r="O2164" s="382"/>
      <c r="P2164" s="382"/>
      <c r="Q2164" s="382"/>
    </row>
    <row r="2165" spans="1:17" s="15" customFormat="1" x14ac:dyDescent="0.2">
      <c r="A2165" s="384" t="s">
        <v>1828</v>
      </c>
      <c r="B2165" s="380"/>
      <c r="C2165" s="334" t="s">
        <v>2712</v>
      </c>
      <c r="D2165" s="380">
        <v>3000</v>
      </c>
      <c r="E2165" s="380"/>
      <c r="F2165" s="378"/>
      <c r="G2165" s="380"/>
      <c r="H2165" s="334"/>
      <c r="I2165" s="382"/>
      <c r="J2165" s="380"/>
      <c r="K2165" s="380"/>
      <c r="L2165" s="378"/>
      <c r="M2165" s="380"/>
      <c r="N2165" s="334"/>
      <c r="O2165" s="382"/>
      <c r="P2165" s="382"/>
      <c r="Q2165" s="382"/>
    </row>
    <row r="2166" spans="1:17" s="15" customFormat="1" x14ac:dyDescent="0.2">
      <c r="A2166" s="384" t="s">
        <v>1751</v>
      </c>
      <c r="B2166" s="380"/>
      <c r="C2166" s="334" t="s">
        <v>3138</v>
      </c>
      <c r="D2166" s="380">
        <v>2000</v>
      </c>
      <c r="E2166" s="380"/>
      <c r="F2166" s="378"/>
      <c r="G2166" s="380"/>
      <c r="H2166" s="334"/>
      <c r="I2166" s="382"/>
      <c r="J2166" s="380">
        <v>1000</v>
      </c>
      <c r="K2166" s="380"/>
      <c r="L2166" s="378"/>
      <c r="M2166" s="380"/>
      <c r="N2166" s="334"/>
      <c r="O2166" s="382"/>
      <c r="P2166" s="382"/>
      <c r="Q2166" s="382"/>
    </row>
    <row r="2167" spans="1:17" s="15" customFormat="1" x14ac:dyDescent="0.2">
      <c r="A2167" s="403" t="s">
        <v>1577</v>
      </c>
      <c r="B2167" s="380"/>
      <c r="C2167" s="334" t="s">
        <v>1815</v>
      </c>
      <c r="D2167" s="380">
        <v>250</v>
      </c>
      <c r="E2167" s="380"/>
      <c r="F2167" s="378"/>
      <c r="G2167" s="380"/>
      <c r="H2167" s="334"/>
      <c r="I2167" s="382"/>
      <c r="J2167" s="380"/>
      <c r="K2167" s="380">
        <v>250</v>
      </c>
      <c r="L2167" s="378"/>
      <c r="M2167" s="380"/>
      <c r="N2167" s="334"/>
      <c r="O2167" s="382"/>
      <c r="P2167" s="382"/>
      <c r="Q2167" s="382"/>
    </row>
    <row r="2168" spans="1:17" s="15" customFormat="1" x14ac:dyDescent="0.2">
      <c r="A2168" s="384" t="s">
        <v>1734</v>
      </c>
      <c r="B2168" s="380"/>
      <c r="C2168" s="334" t="s">
        <v>1746</v>
      </c>
      <c r="D2168" s="380">
        <v>1500</v>
      </c>
      <c r="E2168" s="380"/>
      <c r="F2168" s="378"/>
      <c r="G2168" s="380"/>
      <c r="H2168" s="334"/>
      <c r="I2168" s="382"/>
      <c r="J2168" s="380"/>
      <c r="K2168" s="380">
        <v>1500</v>
      </c>
      <c r="L2168" s="378"/>
      <c r="M2168" s="380"/>
      <c r="N2168" s="334"/>
      <c r="O2168" s="382"/>
      <c r="P2168" s="382"/>
      <c r="Q2168" s="382"/>
    </row>
    <row r="2169" spans="1:17" s="15" customFormat="1" x14ac:dyDescent="0.2">
      <c r="A2169" s="403" t="s">
        <v>1571</v>
      </c>
      <c r="B2169" s="380"/>
      <c r="C2169" s="334" t="s">
        <v>3</v>
      </c>
      <c r="D2169" s="380">
        <v>1500</v>
      </c>
      <c r="E2169" s="380"/>
      <c r="F2169" s="378"/>
      <c r="G2169" s="380"/>
      <c r="H2169" s="334"/>
      <c r="I2169" s="382"/>
      <c r="J2169" s="380"/>
      <c r="K2169" s="380">
        <v>1500</v>
      </c>
      <c r="L2169" s="378"/>
      <c r="M2169" s="380"/>
      <c r="N2169" s="334"/>
      <c r="O2169" s="382"/>
      <c r="P2169" s="382"/>
      <c r="Q2169" s="382"/>
    </row>
    <row r="2170" spans="1:17" s="15" customFormat="1" x14ac:dyDescent="0.2">
      <c r="A2170" s="384" t="s">
        <v>1578</v>
      </c>
      <c r="B2170" s="380"/>
      <c r="C2170" s="334" t="s">
        <v>22</v>
      </c>
      <c r="D2170" s="380">
        <v>1500</v>
      </c>
      <c r="E2170" s="380"/>
      <c r="F2170" s="378"/>
      <c r="G2170" s="380"/>
      <c r="H2170" s="334"/>
      <c r="I2170" s="382"/>
      <c r="J2170" s="380"/>
      <c r="K2170" s="380">
        <v>1500</v>
      </c>
      <c r="L2170" s="378"/>
      <c r="M2170" s="380"/>
      <c r="N2170" s="334"/>
      <c r="O2170" s="382"/>
      <c r="P2170" s="382"/>
      <c r="Q2170" s="382"/>
    </row>
    <row r="2171" spans="1:17" s="15" customFormat="1" x14ac:dyDescent="0.2">
      <c r="A2171" s="334" t="s">
        <v>1738</v>
      </c>
      <c r="B2171" s="380"/>
      <c r="C2171" s="334" t="s">
        <v>1591</v>
      </c>
      <c r="D2171" s="380">
        <v>1000</v>
      </c>
      <c r="E2171" s="380"/>
      <c r="F2171" s="378"/>
      <c r="G2171" s="380"/>
      <c r="H2171" s="334"/>
      <c r="I2171" s="382"/>
      <c r="J2171" s="380">
        <v>1000</v>
      </c>
      <c r="K2171" s="380"/>
      <c r="L2171" s="378"/>
      <c r="M2171" s="380"/>
      <c r="N2171" s="334"/>
      <c r="O2171" s="382"/>
      <c r="P2171" s="382"/>
      <c r="Q2171" s="382"/>
    </row>
    <row r="2172" spans="1:17" s="15" customFormat="1" x14ac:dyDescent="0.2">
      <c r="A2172" s="334" t="s">
        <v>1727</v>
      </c>
      <c r="B2172" s="380"/>
      <c r="C2172" s="334" t="s">
        <v>307</v>
      </c>
      <c r="D2172" s="380">
        <v>4000</v>
      </c>
      <c r="E2172" s="380"/>
      <c r="F2172" s="378"/>
      <c r="G2172" s="380"/>
      <c r="H2172" s="334"/>
      <c r="I2172" s="382"/>
      <c r="J2172" s="380">
        <v>3000</v>
      </c>
      <c r="K2172" s="380"/>
      <c r="L2172" s="378"/>
      <c r="M2172" s="380"/>
      <c r="N2172" s="334"/>
      <c r="O2172" s="382"/>
      <c r="P2172" s="382"/>
      <c r="Q2172" s="382"/>
    </row>
    <row r="2173" spans="1:17" s="15" customFormat="1" x14ac:dyDescent="0.2">
      <c r="A2173" s="334" t="s">
        <v>1728</v>
      </c>
      <c r="B2173" s="380"/>
      <c r="C2173" s="334" t="s">
        <v>310</v>
      </c>
      <c r="D2173" s="380">
        <v>300</v>
      </c>
      <c r="E2173" s="380"/>
      <c r="F2173" s="378"/>
      <c r="G2173" s="380"/>
      <c r="H2173" s="334"/>
      <c r="I2173" s="382"/>
      <c r="J2173" s="380">
        <v>300</v>
      </c>
      <c r="K2173" s="380"/>
      <c r="L2173" s="378"/>
      <c r="M2173" s="380"/>
      <c r="N2173" s="334"/>
      <c r="O2173" s="382"/>
      <c r="P2173" s="382"/>
      <c r="Q2173" s="382"/>
    </row>
    <row r="2174" spans="1:17" s="15" customFormat="1" x14ac:dyDescent="0.2">
      <c r="A2174" s="384" t="s">
        <v>1729</v>
      </c>
      <c r="B2174" s="380"/>
      <c r="C2174" s="380" t="s">
        <v>1551</v>
      </c>
      <c r="D2174" s="380">
        <f>-6577.5-20000</f>
        <v>-26577.5</v>
      </c>
      <c r="E2174" s="334">
        <f>-825-15000</f>
        <v>-15825</v>
      </c>
      <c r="F2174" s="378"/>
      <c r="G2174" s="380"/>
      <c r="H2174" s="334"/>
      <c r="I2174" s="382"/>
      <c r="J2174" s="380">
        <v>100</v>
      </c>
      <c r="K2174" s="380"/>
      <c r="L2174" s="378"/>
      <c r="M2174" s="380"/>
      <c r="N2174" s="334"/>
      <c r="O2174" s="382"/>
      <c r="P2174" s="382"/>
      <c r="Q2174" s="382"/>
    </row>
    <row r="2175" spans="1:17" s="15" customFormat="1" x14ac:dyDescent="0.2">
      <c r="A2175" s="384" t="s">
        <v>1735</v>
      </c>
      <c r="B2175" s="380"/>
      <c r="C2175" s="380" t="s">
        <v>194</v>
      </c>
      <c r="D2175" s="380"/>
      <c r="E2175" s="380"/>
      <c r="F2175" s="378"/>
      <c r="G2175" s="380"/>
      <c r="H2175" s="334"/>
      <c r="I2175" s="382"/>
      <c r="J2175" s="380">
        <v>3700</v>
      </c>
      <c r="K2175" s="380"/>
      <c r="L2175" s="378"/>
      <c r="M2175" s="380"/>
      <c r="N2175" s="334"/>
      <c r="O2175" s="382"/>
      <c r="P2175" s="382"/>
      <c r="Q2175" s="382"/>
    </row>
    <row r="2176" spans="1:17" s="15" customFormat="1" x14ac:dyDescent="0.2">
      <c r="A2176" s="384" t="s">
        <v>1741</v>
      </c>
      <c r="B2176" s="380"/>
      <c r="C2176" s="334" t="s">
        <v>1748</v>
      </c>
      <c r="D2176" s="380">
        <v>2500</v>
      </c>
      <c r="E2176" s="380"/>
      <c r="F2176" s="378"/>
      <c r="G2176" s="380"/>
      <c r="H2176" s="334"/>
      <c r="I2176" s="382"/>
      <c r="J2176" s="380"/>
      <c r="K2176" s="380"/>
      <c r="L2176" s="378"/>
      <c r="M2176" s="380"/>
      <c r="N2176" s="334"/>
      <c r="O2176" s="382"/>
      <c r="P2176" s="382"/>
      <c r="Q2176" s="382"/>
    </row>
    <row r="2177" spans="1:17" s="15" customFormat="1" x14ac:dyDescent="0.2">
      <c r="A2177" s="391" t="s">
        <v>1572</v>
      </c>
      <c r="B2177" s="380"/>
      <c r="C2177" s="334" t="s">
        <v>3134</v>
      </c>
      <c r="D2177" s="380">
        <v>500</v>
      </c>
      <c r="E2177" s="380"/>
      <c r="F2177" s="378"/>
      <c r="G2177" s="380"/>
      <c r="H2177" s="334"/>
      <c r="I2177" s="382"/>
      <c r="J2177" s="380">
        <v>500</v>
      </c>
      <c r="K2177" s="380"/>
      <c r="L2177" s="378"/>
      <c r="M2177" s="380"/>
      <c r="N2177" s="334"/>
      <c r="O2177" s="382"/>
      <c r="P2177" s="382"/>
      <c r="Q2177" s="382"/>
    </row>
    <row r="2178" spans="1:17" s="15" customFormat="1" x14ac:dyDescent="0.2">
      <c r="A2178" s="334" t="s">
        <v>1730</v>
      </c>
      <c r="B2178" s="380"/>
      <c r="C2178" s="334" t="s">
        <v>1985</v>
      </c>
      <c r="D2178" s="380">
        <v>3500</v>
      </c>
      <c r="E2178" s="380"/>
      <c r="F2178" s="378"/>
      <c r="G2178" s="380"/>
      <c r="H2178" s="334"/>
      <c r="I2178" s="382"/>
      <c r="J2178" s="380">
        <v>3500</v>
      </c>
      <c r="K2178" s="380"/>
      <c r="L2178" s="378"/>
      <c r="M2178" s="380"/>
      <c r="N2178" s="334"/>
      <c r="O2178" s="382"/>
      <c r="P2178" s="382"/>
      <c r="Q2178" s="382"/>
    </row>
    <row r="2179" spans="1:17" s="15" customFormat="1" x14ac:dyDescent="0.2">
      <c r="A2179" s="384" t="s">
        <v>1566</v>
      </c>
      <c r="B2179" s="380"/>
      <c r="C2179" s="334" t="s">
        <v>366</v>
      </c>
      <c r="D2179" s="380">
        <v>5000</v>
      </c>
      <c r="E2179" s="380"/>
      <c r="F2179" s="378"/>
      <c r="G2179" s="380"/>
      <c r="H2179" s="334"/>
      <c r="I2179" s="382"/>
      <c r="J2179" s="380"/>
      <c r="K2179" s="380"/>
      <c r="L2179" s="378"/>
      <c r="M2179" s="380"/>
      <c r="N2179" s="334"/>
      <c r="O2179" s="382"/>
      <c r="P2179" s="382"/>
      <c r="Q2179" s="382"/>
    </row>
    <row r="2180" spans="1:17" s="15" customFormat="1" x14ac:dyDescent="0.2">
      <c r="A2180" s="384" t="s">
        <v>1973</v>
      </c>
      <c r="B2180" s="380"/>
      <c r="C2180" s="380" t="s">
        <v>31</v>
      </c>
      <c r="D2180" s="380"/>
      <c r="E2180" s="380"/>
      <c r="F2180" s="380">
        <v>1700</v>
      </c>
      <c r="G2180" s="380"/>
      <c r="H2180" s="334"/>
      <c r="I2180" s="382"/>
      <c r="J2180" s="380"/>
      <c r="K2180" s="380"/>
      <c r="L2180" s="378">
        <v>1700</v>
      </c>
      <c r="M2180" s="380"/>
      <c r="N2180" s="334"/>
      <c r="O2180" s="382"/>
      <c r="P2180" s="382"/>
      <c r="Q2180" s="382"/>
    </row>
    <row r="2181" spans="1:17" s="15" customFormat="1" x14ac:dyDescent="0.2">
      <c r="A2181" s="384" t="s">
        <v>1979</v>
      </c>
      <c r="B2181" s="380"/>
      <c r="C2181" s="380" t="s">
        <v>32</v>
      </c>
      <c r="D2181" s="380"/>
      <c r="E2181" s="380"/>
      <c r="F2181" s="380">
        <v>1500</v>
      </c>
      <c r="G2181" s="380"/>
      <c r="H2181" s="334"/>
      <c r="I2181" s="382"/>
      <c r="J2181" s="380"/>
      <c r="K2181" s="380"/>
      <c r="L2181" s="378">
        <v>1500</v>
      </c>
      <c r="M2181" s="380"/>
      <c r="N2181" s="334"/>
      <c r="O2181" s="382"/>
      <c r="P2181" s="382"/>
      <c r="Q2181" s="382"/>
    </row>
    <row r="2182" spans="1:17" s="15" customFormat="1" x14ac:dyDescent="0.2">
      <c r="A2182" s="384" t="s">
        <v>1958</v>
      </c>
      <c r="B2182" s="380"/>
      <c r="C2182" s="380" t="s">
        <v>33</v>
      </c>
      <c r="D2182" s="334"/>
      <c r="E2182" s="334"/>
      <c r="F2182" s="412">
        <v>27000</v>
      </c>
      <c r="G2182" s="334"/>
      <c r="H2182" s="334"/>
      <c r="I2182" s="385"/>
      <c r="J2182" s="334"/>
      <c r="K2182" s="334"/>
      <c r="L2182" s="412">
        <v>27000</v>
      </c>
      <c r="M2182" s="334"/>
      <c r="N2182" s="334"/>
      <c r="O2182" s="382"/>
      <c r="P2182" s="382"/>
      <c r="Q2182" s="382"/>
    </row>
    <row r="2183" spans="1:17" s="15" customFormat="1" x14ac:dyDescent="0.2">
      <c r="A2183" s="334" t="s">
        <v>1903</v>
      </c>
      <c r="B2183" s="380"/>
      <c r="C2183" s="334" t="s">
        <v>35</v>
      </c>
      <c r="D2183" s="334"/>
      <c r="E2183" s="382"/>
      <c r="F2183" s="412">
        <v>3000</v>
      </c>
      <c r="G2183" s="334"/>
      <c r="H2183" s="334"/>
      <c r="I2183" s="385"/>
      <c r="J2183" s="334"/>
      <c r="K2183" s="334"/>
      <c r="L2183" s="412">
        <v>3000</v>
      </c>
      <c r="M2183" s="334"/>
      <c r="N2183" s="334"/>
      <c r="O2183" s="382"/>
      <c r="P2183" s="382"/>
      <c r="Q2183" s="382"/>
    </row>
    <row r="2184" spans="1:17" s="15" customFormat="1" x14ac:dyDescent="0.2">
      <c r="A2184" s="403" t="s">
        <v>1743</v>
      </c>
      <c r="B2184" s="380"/>
      <c r="C2184" s="334" t="s">
        <v>1886</v>
      </c>
      <c r="D2184" s="334"/>
      <c r="E2184" s="334"/>
      <c r="F2184" s="412"/>
      <c r="G2184" s="334"/>
      <c r="H2184" s="334"/>
      <c r="I2184" s="385"/>
      <c r="J2184" s="334">
        <v>4500</v>
      </c>
      <c r="K2184" s="334"/>
      <c r="L2184" s="412"/>
      <c r="M2184" s="334"/>
      <c r="N2184" s="334"/>
      <c r="O2184" s="382"/>
      <c r="P2184" s="382"/>
      <c r="Q2184" s="382"/>
    </row>
    <row r="2185" spans="1:17" s="15" customFormat="1" x14ac:dyDescent="0.2">
      <c r="A2185" s="403" t="s">
        <v>1567</v>
      </c>
      <c r="B2185" s="380"/>
      <c r="C2185" s="334" t="s">
        <v>3142</v>
      </c>
      <c r="D2185" s="334"/>
      <c r="E2185" s="334"/>
      <c r="F2185" s="412"/>
      <c r="G2185" s="334"/>
      <c r="H2185" s="334"/>
      <c r="I2185" s="385"/>
      <c r="J2185" s="334"/>
      <c r="K2185" s="334">
        <v>2500</v>
      </c>
      <c r="L2185" s="412"/>
      <c r="M2185" s="334"/>
      <c r="N2185" s="334"/>
      <c r="O2185" s="382"/>
      <c r="P2185" s="382"/>
      <c r="Q2185" s="382"/>
    </row>
    <row r="2186" spans="1:17" s="15" customFormat="1" x14ac:dyDescent="0.2">
      <c r="A2186" s="391" t="s">
        <v>1962</v>
      </c>
      <c r="B2186" s="380"/>
      <c r="C2186" s="380" t="s">
        <v>572</v>
      </c>
      <c r="D2186" s="334">
        <v>10000</v>
      </c>
      <c r="E2186" s="334"/>
      <c r="F2186" s="412"/>
      <c r="G2186" s="334"/>
      <c r="H2186" s="334"/>
      <c r="I2186" s="385"/>
      <c r="J2186" s="334">
        <v>1000</v>
      </c>
      <c r="K2186" s="334">
        <v>1000</v>
      </c>
      <c r="L2186" s="412"/>
      <c r="M2186" s="334"/>
      <c r="N2186" s="334"/>
      <c r="O2186" s="382"/>
      <c r="P2186" s="382"/>
      <c r="Q2186" s="382"/>
    </row>
    <row r="2187" spans="1:17" s="15" customFormat="1" x14ac:dyDescent="0.2">
      <c r="A2187" s="380"/>
      <c r="B2187" s="380"/>
      <c r="C2187" s="380"/>
      <c r="D2187" s="410" t="s">
        <v>342</v>
      </c>
      <c r="E2187" s="410" t="s">
        <v>342</v>
      </c>
      <c r="F2187" s="445" t="s">
        <v>342</v>
      </c>
      <c r="G2187" s="410"/>
      <c r="H2187" s="410" t="s">
        <v>342</v>
      </c>
      <c r="I2187" s="385"/>
      <c r="J2187" s="410" t="s">
        <v>342</v>
      </c>
      <c r="K2187" s="410" t="s">
        <v>342</v>
      </c>
      <c r="L2187" s="445" t="s">
        <v>342</v>
      </c>
      <c r="M2187" s="410"/>
      <c r="N2187" s="410" t="s">
        <v>342</v>
      </c>
      <c r="O2187" s="382"/>
      <c r="P2187" s="382"/>
      <c r="Q2187" s="382"/>
    </row>
    <row r="2188" spans="1:17" s="15" customFormat="1" ht="15.75" thickBot="1" x14ac:dyDescent="0.25">
      <c r="A2188" s="380"/>
      <c r="B2188" s="380"/>
      <c r="C2188" s="380"/>
      <c r="D2188" s="411">
        <f t="shared" ref="D2188:H2188" si="21">SUM(D2157:D2186)</f>
        <v>17272.5</v>
      </c>
      <c r="E2188" s="411">
        <f t="shared" si="21"/>
        <v>2175</v>
      </c>
      <c r="F2188" s="414">
        <f t="shared" si="21"/>
        <v>33200</v>
      </c>
      <c r="G2188" s="411"/>
      <c r="H2188" s="411">
        <f t="shared" si="21"/>
        <v>0</v>
      </c>
      <c r="I2188" s="385"/>
      <c r="J2188" s="411">
        <f t="shared" ref="J2188:L2188" si="22">SUM(J2157:J2186)</f>
        <v>23900</v>
      </c>
      <c r="K2188" s="411">
        <f t="shared" si="22"/>
        <v>36750</v>
      </c>
      <c r="L2188" s="414">
        <f t="shared" si="22"/>
        <v>33200</v>
      </c>
      <c r="M2188" s="411"/>
      <c r="N2188" s="411">
        <f t="shared" ref="N2188" si="23">SUM(N2157:N2186)</f>
        <v>0</v>
      </c>
      <c r="O2188" s="382"/>
      <c r="P2188" s="382"/>
      <c r="Q2188" s="382"/>
    </row>
    <row r="2189" spans="1:17" s="15" customFormat="1" x14ac:dyDescent="0.2">
      <c r="A2189" s="380"/>
      <c r="B2189" s="380"/>
      <c r="C2189" s="380"/>
      <c r="D2189" s="334"/>
      <c r="E2189" s="334"/>
      <c r="F2189" s="412"/>
      <c r="G2189" s="334"/>
      <c r="H2189" s="334"/>
      <c r="I2189" s="385"/>
      <c r="J2189" s="334"/>
      <c r="K2189" s="334"/>
      <c r="L2189" s="412"/>
      <c r="M2189" s="334"/>
      <c r="N2189" s="334"/>
      <c r="O2189" s="382"/>
      <c r="P2189" s="382"/>
      <c r="Q2189" s="382"/>
    </row>
    <row r="2190" spans="1:17" s="15" customFormat="1" x14ac:dyDescent="0.2">
      <c r="A2190" s="380"/>
      <c r="B2190" s="380"/>
      <c r="C2190" s="380"/>
      <c r="D2190" s="334"/>
      <c r="E2190" s="334"/>
      <c r="F2190" s="412"/>
      <c r="G2190" s="334"/>
      <c r="H2190" s="334"/>
      <c r="I2190" s="385"/>
      <c r="J2190" s="334"/>
      <c r="K2190" s="334"/>
      <c r="L2190" s="412"/>
      <c r="M2190" s="334"/>
      <c r="N2190" s="334"/>
      <c r="O2190" s="382"/>
      <c r="P2190" s="382"/>
      <c r="Q2190" s="382"/>
    </row>
    <row r="2191" spans="1:17" s="15" customFormat="1" x14ac:dyDescent="0.2">
      <c r="A2191" s="334" t="s">
        <v>1807</v>
      </c>
      <c r="B2191" s="380"/>
      <c r="C2191" s="380"/>
      <c r="D2191" s="334" t="s">
        <v>55</v>
      </c>
      <c r="E2191" s="334"/>
      <c r="F2191" s="412"/>
      <c r="G2191" s="334"/>
      <c r="H2191" s="334"/>
      <c r="I2191" s="385"/>
      <c r="J2191" s="334" t="s">
        <v>55</v>
      </c>
      <c r="K2191" s="334"/>
      <c r="L2191" s="412"/>
      <c r="M2191" s="334"/>
      <c r="N2191" s="334"/>
      <c r="O2191" s="382"/>
      <c r="P2191" s="382"/>
      <c r="Q2191" s="382"/>
    </row>
    <row r="2192" spans="1:17" s="15" customFormat="1" x14ac:dyDescent="0.2">
      <c r="A2192" s="334" t="s">
        <v>1799</v>
      </c>
      <c r="B2192" s="380"/>
      <c r="C2192" s="384" t="s">
        <v>2138</v>
      </c>
      <c r="D2192" s="384" t="s">
        <v>2927</v>
      </c>
      <c r="E2192" s="334"/>
      <c r="F2192" s="412"/>
      <c r="G2192" s="334"/>
      <c r="H2192" s="334"/>
      <c r="I2192" s="385"/>
      <c r="J2192" s="384" t="s">
        <v>2927</v>
      </c>
      <c r="K2192" s="334"/>
      <c r="L2192" s="412"/>
      <c r="M2192" s="334"/>
      <c r="N2192" s="334"/>
      <c r="O2192" s="382"/>
      <c r="P2192" s="382"/>
      <c r="Q2192" s="382"/>
    </row>
    <row r="2193" spans="1:17" s="15" customFormat="1" x14ac:dyDescent="0.2">
      <c r="A2193" s="380"/>
      <c r="B2193" s="380"/>
      <c r="C2193" s="380"/>
      <c r="D2193" s="334" t="s">
        <v>53</v>
      </c>
      <c r="E2193" s="334"/>
      <c r="F2193" s="412"/>
      <c r="G2193" s="334"/>
      <c r="H2193" s="334"/>
      <c r="I2193" s="385"/>
      <c r="J2193" s="334" t="s">
        <v>53</v>
      </c>
      <c r="K2193" s="334"/>
      <c r="L2193" s="412"/>
      <c r="M2193" s="334"/>
      <c r="N2193" s="334"/>
      <c r="O2193" s="382"/>
      <c r="P2193" s="382"/>
      <c r="Q2193" s="382"/>
    </row>
    <row r="2194" spans="1:17" s="15" customFormat="1" x14ac:dyDescent="0.2">
      <c r="A2194" s="334" t="s">
        <v>1574</v>
      </c>
      <c r="B2194" s="380"/>
      <c r="C2194" s="334" t="s">
        <v>1880</v>
      </c>
      <c r="D2194" s="334" t="s">
        <v>181</v>
      </c>
      <c r="E2194" s="334"/>
      <c r="F2194" s="412"/>
      <c r="G2194" s="334"/>
      <c r="H2194" s="334"/>
      <c r="I2194" s="385"/>
      <c r="J2194" s="334" t="s">
        <v>181</v>
      </c>
      <c r="K2194" s="334"/>
      <c r="L2194" s="412"/>
      <c r="M2194" s="334"/>
      <c r="N2194" s="334"/>
      <c r="O2194" s="382"/>
      <c r="P2194" s="382"/>
      <c r="Q2194" s="382"/>
    </row>
    <row r="2195" spans="1:17" s="15" customFormat="1" x14ac:dyDescent="0.2">
      <c r="A2195" s="380"/>
      <c r="B2195" s="380"/>
      <c r="C2195" s="380"/>
      <c r="D2195" s="380"/>
      <c r="E2195" s="334"/>
      <c r="F2195" s="412"/>
      <c r="G2195" s="334"/>
      <c r="H2195" s="334"/>
      <c r="I2195" s="382"/>
      <c r="J2195" s="380"/>
      <c r="K2195" s="334"/>
      <c r="L2195" s="412"/>
      <c r="M2195" s="334"/>
      <c r="N2195" s="334"/>
      <c r="O2195" s="382"/>
      <c r="P2195" s="382"/>
      <c r="Q2195" s="382"/>
    </row>
    <row r="2196" spans="1:17" s="15" customFormat="1" x14ac:dyDescent="0.2">
      <c r="A2196" s="334" t="s">
        <v>1724</v>
      </c>
      <c r="B2196" s="380"/>
      <c r="C2196" s="380" t="s">
        <v>1881</v>
      </c>
      <c r="D2196" s="334"/>
      <c r="E2196" s="399"/>
      <c r="F2196" s="416"/>
      <c r="G2196" s="399"/>
      <c r="H2196" s="399"/>
      <c r="I2196" s="385"/>
      <c r="J2196" s="334"/>
      <c r="K2196" s="399"/>
      <c r="L2196" s="416"/>
      <c r="M2196" s="399"/>
      <c r="N2196" s="399"/>
      <c r="O2196" s="382"/>
      <c r="P2196" s="382"/>
      <c r="Q2196" s="382"/>
    </row>
    <row r="2197" spans="1:17" s="15" customFormat="1" x14ac:dyDescent="0.2">
      <c r="A2197" s="384" t="s">
        <v>1744</v>
      </c>
      <c r="B2197" s="380"/>
      <c r="C2197" s="334" t="s">
        <v>1254</v>
      </c>
      <c r="D2197" s="334"/>
      <c r="E2197" s="399"/>
      <c r="F2197" s="416"/>
      <c r="G2197" s="399"/>
      <c r="H2197" s="399"/>
      <c r="I2197" s="385"/>
      <c r="J2197" s="334"/>
      <c r="K2197" s="399"/>
      <c r="L2197" s="416"/>
      <c r="M2197" s="399"/>
      <c r="N2197" s="399"/>
      <c r="O2197" s="382"/>
      <c r="P2197" s="382"/>
      <c r="Q2197" s="382"/>
    </row>
    <row r="2198" spans="1:17" s="15" customFormat="1" x14ac:dyDescent="0.2">
      <c r="A2198" s="384" t="s">
        <v>1582</v>
      </c>
      <c r="B2198" s="380"/>
      <c r="C2198" s="334" t="s">
        <v>3135</v>
      </c>
      <c r="D2198" s="334"/>
      <c r="E2198" s="399"/>
      <c r="F2198" s="416"/>
      <c r="G2198" s="399"/>
      <c r="H2198" s="399"/>
      <c r="I2198" s="385"/>
      <c r="J2198" s="334"/>
      <c r="K2198" s="399"/>
      <c r="L2198" s="416"/>
      <c r="M2198" s="399"/>
      <c r="N2198" s="399"/>
      <c r="O2198" s="382"/>
      <c r="P2198" s="382"/>
      <c r="Q2198" s="382"/>
    </row>
    <row r="2199" spans="1:17" s="15" customFormat="1" x14ac:dyDescent="0.2">
      <c r="A2199" s="334" t="s">
        <v>1725</v>
      </c>
      <c r="B2199" s="380"/>
      <c r="C2199" s="334" t="s">
        <v>1890</v>
      </c>
      <c r="D2199" s="334"/>
      <c r="E2199" s="399"/>
      <c r="F2199" s="416"/>
      <c r="G2199" s="399"/>
      <c r="H2199" s="399"/>
      <c r="I2199" s="385"/>
      <c r="J2199" s="334"/>
      <c r="K2199" s="399"/>
      <c r="L2199" s="416"/>
      <c r="M2199" s="399"/>
      <c r="N2199" s="399"/>
      <c r="O2199" s="382"/>
      <c r="P2199" s="382"/>
      <c r="Q2199" s="382"/>
    </row>
    <row r="2200" spans="1:17" s="15" customFormat="1" x14ac:dyDescent="0.2">
      <c r="A2200" s="384" t="s">
        <v>1734</v>
      </c>
      <c r="B2200" s="380"/>
      <c r="C2200" s="334" t="s">
        <v>1746</v>
      </c>
      <c r="D2200" s="334"/>
      <c r="E2200" s="399"/>
      <c r="F2200" s="416"/>
      <c r="G2200" s="399"/>
      <c r="H2200" s="399"/>
      <c r="I2200" s="385"/>
      <c r="J2200" s="334"/>
      <c r="K2200" s="399"/>
      <c r="L2200" s="416"/>
      <c r="M2200" s="399"/>
      <c r="N2200" s="399"/>
      <c r="O2200" s="382"/>
      <c r="P2200" s="382"/>
      <c r="Q2200" s="382"/>
    </row>
    <row r="2201" spans="1:17" s="15" customFormat="1" x14ac:dyDescent="0.2">
      <c r="A2201" s="384" t="s">
        <v>1578</v>
      </c>
      <c r="B2201" s="380"/>
      <c r="C2201" s="334" t="s">
        <v>22</v>
      </c>
      <c r="D2201" s="334"/>
      <c r="E2201" s="399"/>
      <c r="F2201" s="416"/>
      <c r="G2201" s="399"/>
      <c r="H2201" s="399"/>
      <c r="I2201" s="385"/>
      <c r="J2201" s="334"/>
      <c r="K2201" s="399"/>
      <c r="L2201" s="416"/>
      <c r="M2201" s="399"/>
      <c r="N2201" s="399"/>
      <c r="O2201" s="382"/>
      <c r="P2201" s="382"/>
      <c r="Q2201" s="382"/>
    </row>
    <row r="2202" spans="1:17" s="15" customFormat="1" x14ac:dyDescent="0.2">
      <c r="A2202" s="334" t="s">
        <v>1738</v>
      </c>
      <c r="B2202" s="380"/>
      <c r="C2202" s="334" t="s">
        <v>1591</v>
      </c>
      <c r="D2202" s="334"/>
      <c r="E2202" s="399"/>
      <c r="F2202" s="416"/>
      <c r="G2202" s="399"/>
      <c r="H2202" s="399"/>
      <c r="I2202" s="385"/>
      <c r="J2202" s="334"/>
      <c r="K2202" s="399"/>
      <c r="L2202" s="416"/>
      <c r="M2202" s="399"/>
      <c r="N2202" s="399"/>
      <c r="O2202" s="382"/>
      <c r="P2202" s="382"/>
      <c r="Q2202" s="382"/>
    </row>
    <row r="2203" spans="1:17" s="15" customFormat="1" x14ac:dyDescent="0.2">
      <c r="A2203" s="334" t="s">
        <v>1727</v>
      </c>
      <c r="B2203" s="380"/>
      <c r="C2203" s="334" t="s">
        <v>307</v>
      </c>
      <c r="D2203" s="334"/>
      <c r="E2203" s="399"/>
      <c r="F2203" s="416"/>
      <c r="G2203" s="399"/>
      <c r="H2203" s="399"/>
      <c r="I2203" s="385"/>
      <c r="J2203" s="334"/>
      <c r="K2203" s="399"/>
      <c r="L2203" s="416"/>
      <c r="M2203" s="399"/>
      <c r="N2203" s="399"/>
      <c r="O2203" s="382"/>
      <c r="P2203" s="382"/>
      <c r="Q2203" s="382"/>
    </row>
    <row r="2204" spans="1:17" s="15" customFormat="1" x14ac:dyDescent="0.2">
      <c r="A2204" s="334" t="s">
        <v>1728</v>
      </c>
      <c r="B2204" s="380"/>
      <c r="C2204" s="334" t="s">
        <v>310</v>
      </c>
      <c r="D2204" s="334"/>
      <c r="E2204" s="399"/>
      <c r="F2204" s="416"/>
      <c r="G2204" s="399"/>
      <c r="H2204" s="399"/>
      <c r="I2204" s="385"/>
      <c r="J2204" s="334"/>
      <c r="K2204" s="399"/>
      <c r="L2204" s="416"/>
      <c r="M2204" s="399"/>
      <c r="N2204" s="399"/>
      <c r="O2204" s="382"/>
      <c r="P2204" s="382"/>
      <c r="Q2204" s="382"/>
    </row>
    <row r="2205" spans="1:17" s="15" customFormat="1" x14ac:dyDescent="0.2">
      <c r="A2205" s="384" t="s">
        <v>1729</v>
      </c>
      <c r="B2205" s="380"/>
      <c r="C2205" s="380" t="s">
        <v>1551</v>
      </c>
      <c r="D2205" s="334"/>
      <c r="E2205" s="399"/>
      <c r="F2205" s="416"/>
      <c r="G2205" s="399"/>
      <c r="H2205" s="399"/>
      <c r="I2205" s="385"/>
      <c r="J2205" s="334"/>
      <c r="K2205" s="399"/>
      <c r="L2205" s="416"/>
      <c r="M2205" s="399"/>
      <c r="N2205" s="399"/>
      <c r="O2205" s="382"/>
      <c r="P2205" s="382"/>
      <c r="Q2205" s="382"/>
    </row>
    <row r="2206" spans="1:17" s="15" customFormat="1" x14ac:dyDescent="0.2">
      <c r="A2206" s="384" t="s">
        <v>1735</v>
      </c>
      <c r="B2206" s="380"/>
      <c r="C2206" s="380" t="s">
        <v>194</v>
      </c>
      <c r="D2206" s="334"/>
      <c r="E2206" s="399"/>
      <c r="F2206" s="416"/>
      <c r="G2206" s="399"/>
      <c r="H2206" s="399"/>
      <c r="I2206" s="385"/>
      <c r="J2206" s="334"/>
      <c r="K2206" s="399"/>
      <c r="L2206" s="416"/>
      <c r="M2206" s="399"/>
      <c r="N2206" s="399"/>
      <c r="O2206" s="382"/>
      <c r="P2206" s="382"/>
      <c r="Q2206" s="382"/>
    </row>
    <row r="2207" spans="1:17" s="15" customFormat="1" x14ac:dyDescent="0.2">
      <c r="A2207" s="334" t="s">
        <v>1730</v>
      </c>
      <c r="B2207" s="380"/>
      <c r="C2207" s="334" t="s">
        <v>1985</v>
      </c>
      <c r="D2207" s="334"/>
      <c r="E2207" s="399"/>
      <c r="F2207" s="416"/>
      <c r="G2207" s="399"/>
      <c r="H2207" s="399"/>
      <c r="I2207" s="385"/>
      <c r="J2207" s="334"/>
      <c r="K2207" s="399"/>
      <c r="L2207" s="416"/>
      <c r="M2207" s="399"/>
      <c r="N2207" s="399"/>
      <c r="O2207" s="382"/>
      <c r="P2207" s="382"/>
      <c r="Q2207" s="382"/>
    </row>
    <row r="2208" spans="1:17" x14ac:dyDescent="0.2">
      <c r="A2208" s="380"/>
      <c r="B2208" s="380"/>
      <c r="C2208" s="380"/>
      <c r="D2208" s="410" t="s">
        <v>342</v>
      </c>
      <c r="E2208" s="377"/>
      <c r="F2208" s="378"/>
      <c r="G2208" s="377"/>
      <c r="H2208" s="377"/>
      <c r="I2208" s="385"/>
      <c r="J2208" s="410" t="s">
        <v>342</v>
      </c>
      <c r="K2208" s="377"/>
      <c r="L2208" s="378"/>
      <c r="M2208" s="377"/>
      <c r="N2208" s="377"/>
      <c r="O2208" s="380"/>
      <c r="P2208" s="380"/>
      <c r="Q2208" s="380"/>
    </row>
    <row r="2209" spans="1:17" ht="15.75" thickBot="1" x14ac:dyDescent="0.25">
      <c r="A2209" s="334" t="s">
        <v>342</v>
      </c>
      <c r="B2209" s="380"/>
      <c r="C2209" s="334" t="s">
        <v>342</v>
      </c>
      <c r="D2209" s="411">
        <f>SUM(D2196:D2207)</f>
        <v>0</v>
      </c>
      <c r="E2209" s="377"/>
      <c r="F2209" s="378"/>
      <c r="G2209" s="377"/>
      <c r="H2209" s="377"/>
      <c r="I2209" s="385"/>
      <c r="J2209" s="411">
        <f>SUM(J2196:J2207)</f>
        <v>0</v>
      </c>
      <c r="K2209" s="377"/>
      <c r="L2209" s="378"/>
      <c r="M2209" s="377"/>
      <c r="N2209" s="377"/>
      <c r="O2209" s="380"/>
      <c r="P2209" s="380"/>
      <c r="Q2209" s="380"/>
    </row>
    <row r="2210" spans="1:17" x14ac:dyDescent="0.2">
      <c r="A2210" s="334"/>
      <c r="B2210" s="380"/>
      <c r="C2210" s="334"/>
      <c r="D2210" s="385"/>
      <c r="E2210" s="377"/>
      <c r="F2210" s="378"/>
      <c r="G2210" s="377"/>
      <c r="H2210" s="377"/>
      <c r="I2210" s="385"/>
      <c r="J2210" s="385"/>
      <c r="K2210" s="377"/>
      <c r="L2210" s="378"/>
      <c r="M2210" s="377"/>
      <c r="N2210" s="377"/>
      <c r="O2210" s="380"/>
      <c r="P2210" s="380"/>
      <c r="Q2210" s="380"/>
    </row>
    <row r="2211" spans="1:17" x14ac:dyDescent="0.2">
      <c r="A2211" s="334"/>
      <c r="B2211" s="380"/>
      <c r="C2211" s="334"/>
      <c r="D2211" s="385"/>
      <c r="E2211" s="377"/>
      <c r="F2211" s="378"/>
      <c r="G2211" s="377"/>
      <c r="H2211" s="377"/>
      <c r="I2211" s="385"/>
      <c r="J2211" s="385"/>
      <c r="K2211" s="377"/>
      <c r="L2211" s="378"/>
      <c r="M2211" s="377"/>
      <c r="N2211" s="377"/>
      <c r="O2211" s="380"/>
      <c r="P2211" s="380"/>
      <c r="Q2211" s="380"/>
    </row>
    <row r="2212" spans="1:17" x14ac:dyDescent="0.2">
      <c r="A2212" s="334" t="s">
        <v>551</v>
      </c>
      <c r="B2212" s="380"/>
      <c r="C2212" s="334"/>
      <c r="D2212" s="385"/>
      <c r="E2212" s="377"/>
      <c r="F2212" s="378"/>
      <c r="G2212" s="377"/>
      <c r="H2212" s="377"/>
      <c r="I2212" s="385"/>
      <c r="J2212" s="385"/>
      <c r="K2212" s="377"/>
      <c r="L2212" s="378"/>
      <c r="M2212" s="377"/>
      <c r="N2212" s="377"/>
      <c r="O2212" s="380"/>
      <c r="P2212" s="380"/>
      <c r="Q2212" s="380"/>
    </row>
    <row r="2213" spans="1:17" x14ac:dyDescent="0.2">
      <c r="A2213" s="334"/>
      <c r="B2213" s="380"/>
      <c r="C2213" s="334"/>
      <c r="D2213" s="385"/>
      <c r="E2213" s="377"/>
      <c r="F2213" s="378"/>
      <c r="G2213" s="377"/>
      <c r="H2213" s="377"/>
      <c r="I2213" s="385"/>
      <c r="J2213" s="385"/>
      <c r="K2213" s="377"/>
      <c r="L2213" s="378"/>
      <c r="M2213" s="377"/>
      <c r="N2213" s="377"/>
      <c r="O2213" s="380"/>
      <c r="P2213" s="380"/>
      <c r="Q2213" s="380"/>
    </row>
    <row r="2214" spans="1:17" x14ac:dyDescent="0.2">
      <c r="A2214" s="334"/>
      <c r="B2214" s="380"/>
      <c r="C2214" s="334"/>
      <c r="D2214" s="424" t="s">
        <v>296</v>
      </c>
      <c r="E2214" s="377"/>
      <c r="F2214" s="378"/>
      <c r="G2214" s="377"/>
      <c r="H2214" s="377"/>
      <c r="I2214" s="424"/>
      <c r="J2214" s="424" t="s">
        <v>296</v>
      </c>
      <c r="K2214" s="377"/>
      <c r="L2214" s="378"/>
      <c r="M2214" s="377"/>
      <c r="N2214" s="377"/>
      <c r="O2214" s="380"/>
      <c r="P2214" s="380"/>
      <c r="Q2214" s="380"/>
    </row>
    <row r="2215" spans="1:17" x14ac:dyDescent="0.2">
      <c r="A2215" s="334"/>
      <c r="B2215" s="380"/>
      <c r="C2215" s="334"/>
      <c r="D2215" s="385" t="s">
        <v>960</v>
      </c>
      <c r="E2215" s="377"/>
      <c r="F2215" s="378"/>
      <c r="G2215" s="377"/>
      <c r="H2215" s="377"/>
      <c r="I2215" s="385"/>
      <c r="J2215" s="385" t="s">
        <v>960</v>
      </c>
      <c r="K2215" s="377"/>
      <c r="L2215" s="378"/>
      <c r="M2215" s="377"/>
      <c r="N2215" s="377"/>
      <c r="O2215" s="380"/>
      <c r="P2215" s="380"/>
      <c r="Q2215" s="380"/>
    </row>
    <row r="2216" spans="1:17" x14ac:dyDescent="0.2">
      <c r="A2216" s="334" t="s">
        <v>1723</v>
      </c>
      <c r="B2216" s="380"/>
      <c r="C2216" s="334" t="s">
        <v>1880</v>
      </c>
      <c r="D2216" s="385" t="s">
        <v>181</v>
      </c>
      <c r="E2216" s="377"/>
      <c r="F2216" s="378"/>
      <c r="G2216" s="377"/>
      <c r="H2216" s="377"/>
      <c r="I2216" s="385"/>
      <c r="J2216" s="385" t="s">
        <v>181</v>
      </c>
      <c r="K2216" s="377"/>
      <c r="L2216" s="378"/>
      <c r="M2216" s="377"/>
      <c r="N2216" s="377"/>
      <c r="O2216" s="380"/>
      <c r="P2216" s="380"/>
      <c r="Q2216" s="380"/>
    </row>
    <row r="2217" spans="1:17" x14ac:dyDescent="0.2">
      <c r="A2217" s="334"/>
      <c r="B2217" s="380"/>
      <c r="C2217" s="334"/>
      <c r="D2217" s="385"/>
      <c r="E2217" s="377"/>
      <c r="F2217" s="378"/>
      <c r="G2217" s="377"/>
      <c r="H2217" s="377"/>
      <c r="I2217" s="385"/>
      <c r="J2217" s="385"/>
      <c r="K2217" s="377"/>
      <c r="L2217" s="378"/>
      <c r="M2217" s="377"/>
      <c r="N2217" s="377"/>
      <c r="O2217" s="380"/>
      <c r="P2217" s="380"/>
      <c r="Q2217" s="380"/>
    </row>
    <row r="2218" spans="1:17" x14ac:dyDescent="0.2">
      <c r="A2218" s="384" t="s">
        <v>1724</v>
      </c>
      <c r="B2218" s="380"/>
      <c r="C2218" s="334" t="s">
        <v>1881</v>
      </c>
      <c r="D2218" s="377"/>
      <c r="E2218" s="377"/>
      <c r="F2218" s="378"/>
      <c r="G2218" s="377"/>
      <c r="H2218" s="377"/>
      <c r="I2218" s="399"/>
      <c r="J2218" s="377"/>
      <c r="K2218" s="377"/>
      <c r="L2218" s="378"/>
      <c r="M2218" s="377"/>
      <c r="N2218" s="377"/>
      <c r="O2218" s="380"/>
      <c r="P2218" s="380"/>
      <c r="Q2218" s="380"/>
    </row>
    <row r="2219" spans="1:17" x14ac:dyDescent="0.2">
      <c r="A2219" s="334"/>
      <c r="B2219" s="380"/>
      <c r="C2219" s="334"/>
      <c r="D2219" s="385"/>
      <c r="E2219" s="377"/>
      <c r="F2219" s="378"/>
      <c r="G2219" s="377"/>
      <c r="H2219" s="377"/>
      <c r="I2219" s="385"/>
      <c r="J2219" s="385"/>
      <c r="K2219" s="377"/>
      <c r="L2219" s="378"/>
      <c r="M2219" s="377"/>
      <c r="N2219" s="377"/>
      <c r="O2219" s="380"/>
      <c r="P2219" s="380"/>
      <c r="Q2219" s="380"/>
    </row>
    <row r="2220" spans="1:17" ht="15.75" thickBot="1" x14ac:dyDescent="0.25">
      <c r="A2220" s="334"/>
      <c r="B2220" s="380"/>
      <c r="C2220" s="334"/>
      <c r="D2220" s="411">
        <f>D2218</f>
        <v>0</v>
      </c>
      <c r="E2220" s="377"/>
      <c r="F2220" s="378"/>
      <c r="G2220" s="377"/>
      <c r="H2220" s="377"/>
      <c r="I2220" s="385"/>
      <c r="J2220" s="411">
        <f>J2218</f>
        <v>0</v>
      </c>
      <c r="K2220" s="377"/>
      <c r="L2220" s="378"/>
      <c r="M2220" s="377"/>
      <c r="N2220" s="377"/>
      <c r="O2220" s="380"/>
      <c r="P2220" s="380"/>
      <c r="Q2220" s="380"/>
    </row>
    <row r="2221" spans="1:17" x14ac:dyDescent="0.2">
      <c r="A2221" s="334"/>
      <c r="B2221" s="380"/>
      <c r="C2221" s="334"/>
      <c r="D2221" s="385"/>
      <c r="E2221" s="377"/>
      <c r="F2221" s="378"/>
      <c r="G2221" s="377"/>
      <c r="H2221" s="377"/>
      <c r="I2221" s="385"/>
      <c r="J2221" s="385"/>
      <c r="K2221" s="377"/>
      <c r="L2221" s="378"/>
      <c r="M2221" s="377"/>
      <c r="N2221" s="377"/>
      <c r="O2221" s="380"/>
      <c r="P2221" s="380"/>
      <c r="Q2221" s="380"/>
    </row>
    <row r="2222" spans="1:17" x14ac:dyDescent="0.2">
      <c r="A2222" s="334"/>
      <c r="B2222" s="380"/>
      <c r="C2222" s="334"/>
      <c r="D2222" s="385"/>
      <c r="E2222" s="377"/>
      <c r="F2222" s="378"/>
      <c r="G2222" s="377"/>
      <c r="H2222" s="377"/>
      <c r="I2222" s="385"/>
      <c r="J2222" s="385"/>
      <c r="K2222" s="377"/>
      <c r="L2222" s="378"/>
      <c r="M2222" s="377"/>
      <c r="N2222" s="377"/>
      <c r="O2222" s="380"/>
      <c r="P2222" s="380"/>
      <c r="Q2222" s="380"/>
    </row>
    <row r="2223" spans="1:17" x14ac:dyDescent="0.2">
      <c r="A2223" s="334"/>
      <c r="B2223" s="380"/>
      <c r="C2223" s="334"/>
      <c r="D2223" s="385"/>
      <c r="E2223" s="377"/>
      <c r="F2223" s="378"/>
      <c r="G2223" s="377"/>
      <c r="H2223" s="377"/>
      <c r="I2223" s="385"/>
      <c r="J2223" s="385"/>
      <c r="K2223" s="377"/>
      <c r="L2223" s="378"/>
      <c r="M2223" s="377"/>
      <c r="N2223" s="377"/>
      <c r="O2223" s="380"/>
      <c r="P2223" s="380"/>
      <c r="Q2223" s="380"/>
    </row>
    <row r="2224" spans="1:17" x14ac:dyDescent="0.2">
      <c r="A2224" s="334"/>
      <c r="B2224" s="380"/>
      <c r="C2224" s="334"/>
      <c r="D2224" s="385"/>
      <c r="E2224" s="377"/>
      <c r="F2224" s="378"/>
      <c r="G2224" s="377"/>
      <c r="H2224" s="377"/>
      <c r="I2224" s="385"/>
      <c r="J2224" s="385"/>
      <c r="K2224" s="377"/>
      <c r="L2224" s="378"/>
      <c r="M2224" s="377"/>
      <c r="N2224" s="377"/>
      <c r="O2224" s="380"/>
      <c r="P2224" s="380"/>
      <c r="Q2224" s="380"/>
    </row>
    <row r="2225" spans="1:17" x14ac:dyDescent="0.2">
      <c r="A2225" s="334" t="s">
        <v>2029</v>
      </c>
      <c r="B2225" s="380"/>
      <c r="C2225" s="380"/>
      <c r="D2225" s="380"/>
      <c r="E2225" s="377"/>
      <c r="F2225" s="378"/>
      <c r="G2225" s="377"/>
      <c r="H2225" s="377"/>
      <c r="I2225" s="382"/>
      <c r="J2225" s="380"/>
      <c r="K2225" s="377"/>
      <c r="L2225" s="378"/>
      <c r="M2225" s="377"/>
      <c r="N2225" s="377"/>
      <c r="O2225" s="380"/>
      <c r="P2225" s="380"/>
      <c r="Q2225" s="380"/>
    </row>
    <row r="2226" spans="1:17" x14ac:dyDescent="0.2">
      <c r="A2226" s="334" t="s">
        <v>342</v>
      </c>
      <c r="B2226" s="380"/>
      <c r="C2226" s="384" t="s">
        <v>2139</v>
      </c>
      <c r="D2226" s="380"/>
      <c r="E2226" s="384"/>
      <c r="F2226" s="378"/>
      <c r="G2226" s="377"/>
      <c r="H2226" s="377"/>
      <c r="I2226" s="382"/>
      <c r="J2226" s="380"/>
      <c r="K2226" s="384"/>
      <c r="L2226" s="378"/>
      <c r="M2226" s="377"/>
      <c r="N2226" s="377"/>
      <c r="O2226" s="380"/>
      <c r="P2226" s="380"/>
      <c r="Q2226" s="380"/>
    </row>
    <row r="2227" spans="1:17" x14ac:dyDescent="0.2">
      <c r="A2227" s="334" t="s">
        <v>342</v>
      </c>
      <c r="B2227" s="380"/>
      <c r="C2227" s="334" t="s">
        <v>342</v>
      </c>
      <c r="D2227" s="334" t="s">
        <v>342</v>
      </c>
      <c r="E2227" s="377"/>
      <c r="F2227" s="378"/>
      <c r="G2227" s="377"/>
      <c r="H2227" s="377"/>
      <c r="I2227" s="385"/>
      <c r="J2227" s="334" t="s">
        <v>342</v>
      </c>
      <c r="K2227" s="377"/>
      <c r="L2227" s="378"/>
      <c r="M2227" s="377"/>
      <c r="N2227" s="377"/>
      <c r="O2227" s="380"/>
      <c r="P2227" s="380"/>
      <c r="Q2227" s="380"/>
    </row>
    <row r="2228" spans="1:17" x14ac:dyDescent="0.2">
      <c r="A2228" s="334" t="s">
        <v>1723</v>
      </c>
      <c r="B2228" s="380"/>
      <c r="C2228" s="334" t="s">
        <v>1880</v>
      </c>
      <c r="D2228" s="334" t="s">
        <v>181</v>
      </c>
      <c r="E2228" s="377"/>
      <c r="F2228" s="378"/>
      <c r="G2228" s="377"/>
      <c r="H2228" s="377"/>
      <c r="I2228" s="385"/>
      <c r="J2228" s="334" t="s">
        <v>181</v>
      </c>
      <c r="K2228" s="377"/>
      <c r="L2228" s="378"/>
      <c r="M2228" s="377"/>
      <c r="N2228" s="377"/>
      <c r="O2228" s="380"/>
      <c r="P2228" s="380"/>
      <c r="Q2228" s="380"/>
    </row>
    <row r="2229" spans="1:17" x14ac:dyDescent="0.2">
      <c r="A2229" s="334" t="s">
        <v>342</v>
      </c>
      <c r="B2229" s="380"/>
      <c r="C2229" s="334" t="s">
        <v>342</v>
      </c>
      <c r="D2229" s="334" t="s">
        <v>342</v>
      </c>
      <c r="E2229" s="377"/>
      <c r="F2229" s="378"/>
      <c r="G2229" s="377"/>
      <c r="H2229" s="377"/>
      <c r="I2229" s="385"/>
      <c r="J2229" s="334" t="s">
        <v>342</v>
      </c>
      <c r="K2229" s="377"/>
      <c r="L2229" s="378"/>
      <c r="M2229" s="377"/>
      <c r="N2229" s="377"/>
      <c r="O2229" s="380"/>
      <c r="P2229" s="380"/>
      <c r="Q2229" s="380"/>
    </row>
    <row r="2230" spans="1:17" x14ac:dyDescent="0.2">
      <c r="A2230" s="391" t="s">
        <v>1743</v>
      </c>
      <c r="B2230" s="377"/>
      <c r="C2230" s="334" t="s">
        <v>1886</v>
      </c>
      <c r="D2230" s="334">
        <v>19000</v>
      </c>
      <c r="E2230" s="377"/>
      <c r="F2230" s="378"/>
      <c r="G2230" s="377"/>
      <c r="H2230" s="377"/>
      <c r="I2230" s="385"/>
      <c r="J2230" s="334">
        <v>9000</v>
      </c>
      <c r="K2230" s="377"/>
      <c r="L2230" s="378"/>
      <c r="M2230" s="377"/>
      <c r="N2230" s="377"/>
      <c r="O2230" s="380"/>
      <c r="P2230" s="380"/>
      <c r="Q2230" s="380"/>
    </row>
    <row r="2231" spans="1:17" x14ac:dyDescent="0.2">
      <c r="A2231" s="334" t="s">
        <v>1724</v>
      </c>
      <c r="B2231" s="380"/>
      <c r="C2231" s="334" t="s">
        <v>1881</v>
      </c>
      <c r="D2231" s="427">
        <v>750</v>
      </c>
      <c r="E2231" s="384"/>
      <c r="F2231" s="378"/>
      <c r="G2231" s="377"/>
      <c r="H2231" s="377"/>
      <c r="I2231" s="399"/>
      <c r="J2231" s="377">
        <v>900</v>
      </c>
      <c r="K2231" s="384"/>
      <c r="L2231" s="378"/>
      <c r="M2231" s="377"/>
      <c r="N2231" s="377"/>
      <c r="O2231" s="380"/>
      <c r="P2231" s="380"/>
      <c r="Q2231" s="380"/>
    </row>
    <row r="2232" spans="1:17" x14ac:dyDescent="0.2">
      <c r="A2232" s="334" t="s">
        <v>1736</v>
      </c>
      <c r="B2232" s="380"/>
      <c r="C2232" s="334" t="s">
        <v>1747</v>
      </c>
      <c r="D2232" s="427">
        <v>250</v>
      </c>
      <c r="E2232" s="384"/>
      <c r="F2232" s="378"/>
      <c r="G2232" s="377"/>
      <c r="H2232" s="377"/>
      <c r="I2232" s="399"/>
      <c r="J2232" s="377">
        <v>250</v>
      </c>
      <c r="K2232" s="384"/>
      <c r="L2232" s="378"/>
      <c r="M2232" s="377"/>
      <c r="N2232" s="377"/>
      <c r="O2232" s="380"/>
      <c r="P2232" s="380"/>
      <c r="Q2232" s="380"/>
    </row>
    <row r="2233" spans="1:17" x14ac:dyDescent="0.2">
      <c r="A2233" s="384" t="s">
        <v>1744</v>
      </c>
      <c r="B2233" s="380"/>
      <c r="C2233" s="334" t="s">
        <v>1254</v>
      </c>
      <c r="D2233" s="427">
        <v>1500</v>
      </c>
      <c r="E2233" s="384"/>
      <c r="F2233" s="378"/>
      <c r="G2233" s="377"/>
      <c r="H2233" s="377"/>
      <c r="I2233" s="399"/>
      <c r="J2233" s="377"/>
      <c r="K2233" s="384"/>
      <c r="L2233" s="378"/>
      <c r="M2233" s="377"/>
      <c r="N2233" s="377"/>
      <c r="O2233" s="380"/>
      <c r="P2233" s="380"/>
      <c r="Q2233" s="380"/>
    </row>
    <row r="2234" spans="1:17" x14ac:dyDescent="0.2">
      <c r="A2234" s="334" t="s">
        <v>1582</v>
      </c>
      <c r="B2234" s="380"/>
      <c r="C2234" s="334" t="s">
        <v>3135</v>
      </c>
      <c r="D2234" s="427"/>
      <c r="E2234" s="384"/>
      <c r="F2234" s="378"/>
      <c r="G2234" s="377"/>
      <c r="H2234" s="377"/>
      <c r="I2234" s="399"/>
      <c r="J2234" s="377">
        <v>1200</v>
      </c>
      <c r="K2234" s="384"/>
      <c r="L2234" s="378"/>
      <c r="M2234" s="377"/>
      <c r="N2234" s="377"/>
      <c r="O2234" s="380"/>
      <c r="P2234" s="380"/>
      <c r="Q2234" s="380"/>
    </row>
    <row r="2235" spans="1:17" x14ac:dyDescent="0.2">
      <c r="A2235" s="334" t="s">
        <v>1725</v>
      </c>
      <c r="B2235" s="380"/>
      <c r="C2235" s="334" t="s">
        <v>1890</v>
      </c>
      <c r="D2235" s="427">
        <v>200</v>
      </c>
      <c r="E2235" s="384"/>
      <c r="F2235" s="378"/>
      <c r="G2235" s="377"/>
      <c r="H2235" s="377"/>
      <c r="I2235" s="399"/>
      <c r="J2235" s="377">
        <v>200</v>
      </c>
      <c r="K2235" s="384"/>
      <c r="L2235" s="378"/>
      <c r="M2235" s="377"/>
      <c r="N2235" s="377"/>
      <c r="O2235" s="380"/>
      <c r="P2235" s="380"/>
      <c r="Q2235" s="380"/>
    </row>
    <row r="2236" spans="1:17" x14ac:dyDescent="0.2">
      <c r="A2236" s="384" t="s">
        <v>1828</v>
      </c>
      <c r="B2236" s="380"/>
      <c r="C2236" s="334" t="s">
        <v>2712</v>
      </c>
      <c r="D2236" s="427">
        <v>1500</v>
      </c>
      <c r="E2236" s="384"/>
      <c r="F2236" s="378"/>
      <c r="G2236" s="377"/>
      <c r="H2236" s="377"/>
      <c r="I2236" s="399"/>
      <c r="J2236" s="377"/>
      <c r="K2236" s="384"/>
      <c r="L2236" s="378"/>
      <c r="M2236" s="377"/>
      <c r="N2236" s="377"/>
      <c r="O2236" s="380"/>
      <c r="P2236" s="380"/>
      <c r="Q2236" s="380"/>
    </row>
    <row r="2237" spans="1:17" x14ac:dyDescent="0.2">
      <c r="A2237" s="384" t="s">
        <v>1751</v>
      </c>
      <c r="B2237" s="380"/>
      <c r="C2237" s="334" t="s">
        <v>3138</v>
      </c>
      <c r="D2237" s="427"/>
      <c r="E2237" s="384"/>
      <c r="F2237" s="378"/>
      <c r="G2237" s="377"/>
      <c r="H2237" s="377"/>
      <c r="I2237" s="399"/>
      <c r="J2237" s="377">
        <v>200</v>
      </c>
      <c r="K2237" s="384"/>
      <c r="L2237" s="378"/>
      <c r="M2237" s="377"/>
      <c r="N2237" s="377"/>
      <c r="O2237" s="380"/>
      <c r="P2237" s="380"/>
      <c r="Q2237" s="380"/>
    </row>
    <row r="2238" spans="1:17" x14ac:dyDescent="0.2">
      <c r="A2238" s="334" t="s">
        <v>1734</v>
      </c>
      <c r="B2238" s="380"/>
      <c r="C2238" s="334" t="s">
        <v>1746</v>
      </c>
      <c r="D2238" s="427">
        <v>50</v>
      </c>
      <c r="E2238" s="384"/>
      <c r="F2238" s="378"/>
      <c r="G2238" s="377"/>
      <c r="H2238" s="377"/>
      <c r="I2238" s="399"/>
      <c r="J2238" s="377">
        <v>100</v>
      </c>
      <c r="K2238" s="384"/>
      <c r="L2238" s="378"/>
      <c r="M2238" s="377"/>
      <c r="N2238" s="377"/>
      <c r="O2238" s="380"/>
      <c r="P2238" s="380"/>
      <c r="Q2238" s="380"/>
    </row>
    <row r="2239" spans="1:17" x14ac:dyDescent="0.2">
      <c r="A2239" s="403" t="s">
        <v>1571</v>
      </c>
      <c r="B2239" s="380"/>
      <c r="C2239" s="334" t="s">
        <v>3</v>
      </c>
      <c r="D2239" s="427">
        <v>50</v>
      </c>
      <c r="E2239" s="384"/>
      <c r="F2239" s="378"/>
      <c r="G2239" s="377"/>
      <c r="H2239" s="377"/>
      <c r="I2239" s="399"/>
      <c r="J2239" s="377"/>
      <c r="K2239" s="384"/>
      <c r="L2239" s="378"/>
      <c r="M2239" s="377"/>
      <c r="N2239" s="377"/>
      <c r="O2239" s="380"/>
      <c r="P2239" s="380"/>
      <c r="Q2239" s="380"/>
    </row>
    <row r="2240" spans="1:17" x14ac:dyDescent="0.2">
      <c r="A2240" s="334" t="s">
        <v>1738</v>
      </c>
      <c r="B2240" s="380"/>
      <c r="C2240" s="334" t="s">
        <v>1591</v>
      </c>
      <c r="D2240" s="427">
        <v>100</v>
      </c>
      <c r="E2240" s="384"/>
      <c r="F2240" s="378"/>
      <c r="G2240" s="377"/>
      <c r="H2240" s="377"/>
      <c r="I2240" s="399"/>
      <c r="J2240" s="377">
        <v>100</v>
      </c>
      <c r="K2240" s="384"/>
      <c r="L2240" s="378"/>
      <c r="M2240" s="377"/>
      <c r="N2240" s="377"/>
      <c r="O2240" s="380"/>
      <c r="P2240" s="380"/>
      <c r="Q2240" s="380"/>
    </row>
    <row r="2241" spans="1:17" x14ac:dyDescent="0.2">
      <c r="A2241" s="334" t="s">
        <v>1727</v>
      </c>
      <c r="B2241" s="380"/>
      <c r="C2241" s="334" t="s">
        <v>307</v>
      </c>
      <c r="D2241" s="427">
        <v>500</v>
      </c>
      <c r="E2241" s="384"/>
      <c r="F2241" s="378"/>
      <c r="G2241" s="377"/>
      <c r="H2241" s="377"/>
      <c r="I2241" s="399"/>
      <c r="J2241" s="377">
        <v>2500</v>
      </c>
      <c r="K2241" s="384"/>
      <c r="L2241" s="378"/>
      <c r="M2241" s="377"/>
      <c r="N2241" s="377"/>
      <c r="O2241" s="380"/>
      <c r="P2241" s="380"/>
      <c r="Q2241" s="380"/>
    </row>
    <row r="2242" spans="1:17" x14ac:dyDescent="0.2">
      <c r="A2242" s="334" t="s">
        <v>1728</v>
      </c>
      <c r="B2242" s="380"/>
      <c r="C2242" s="334" t="s">
        <v>310</v>
      </c>
      <c r="D2242" s="427">
        <v>500</v>
      </c>
      <c r="E2242" s="384"/>
      <c r="F2242" s="378"/>
      <c r="G2242" s="377"/>
      <c r="H2242" s="377"/>
      <c r="I2242" s="399"/>
      <c r="J2242" s="377">
        <v>500</v>
      </c>
      <c r="K2242" s="384"/>
      <c r="L2242" s="378"/>
      <c r="M2242" s="377"/>
      <c r="N2242" s="377"/>
      <c r="O2242" s="380"/>
      <c r="P2242" s="380"/>
      <c r="Q2242" s="380"/>
    </row>
    <row r="2243" spans="1:17" x14ac:dyDescent="0.2">
      <c r="A2243" s="334" t="s">
        <v>1729</v>
      </c>
      <c r="B2243" s="380"/>
      <c r="C2243" s="380" t="s">
        <v>1551</v>
      </c>
      <c r="D2243" s="427">
        <v>-12235.22</v>
      </c>
      <c r="E2243" s="384"/>
      <c r="F2243" s="378"/>
      <c r="G2243" s="377"/>
      <c r="H2243" s="377"/>
      <c r="I2243" s="399"/>
      <c r="J2243" s="377">
        <v>50</v>
      </c>
      <c r="K2243" s="384"/>
      <c r="L2243" s="378"/>
      <c r="M2243" s="377"/>
      <c r="N2243" s="377"/>
      <c r="O2243" s="380"/>
      <c r="P2243" s="380"/>
      <c r="Q2243" s="380"/>
    </row>
    <row r="2244" spans="1:17" x14ac:dyDescent="0.2">
      <c r="A2244" s="384" t="s">
        <v>1735</v>
      </c>
      <c r="B2244" s="380"/>
      <c r="C2244" s="380" t="s">
        <v>194</v>
      </c>
      <c r="D2244" s="427"/>
      <c r="E2244" s="384"/>
      <c r="F2244" s="378"/>
      <c r="G2244" s="377"/>
      <c r="H2244" s="377"/>
      <c r="I2244" s="399"/>
      <c r="J2244" s="377">
        <v>50</v>
      </c>
      <c r="K2244" s="384"/>
      <c r="L2244" s="378"/>
      <c r="M2244" s="377"/>
      <c r="N2244" s="377"/>
      <c r="O2244" s="380"/>
      <c r="P2244" s="380"/>
      <c r="Q2244" s="380"/>
    </row>
    <row r="2245" spans="1:17" x14ac:dyDescent="0.2">
      <c r="A2245" s="384" t="s">
        <v>1741</v>
      </c>
      <c r="B2245" s="380"/>
      <c r="C2245" s="334" t="s">
        <v>1748</v>
      </c>
      <c r="D2245" s="427">
        <v>1500</v>
      </c>
      <c r="E2245" s="384"/>
      <c r="F2245" s="378"/>
      <c r="G2245" s="377"/>
      <c r="H2245" s="377"/>
      <c r="I2245" s="399"/>
      <c r="J2245" s="377"/>
      <c r="K2245" s="384"/>
      <c r="L2245" s="378"/>
      <c r="M2245" s="377"/>
      <c r="N2245" s="377"/>
      <c r="O2245" s="380"/>
      <c r="P2245" s="380"/>
      <c r="Q2245" s="380"/>
    </row>
    <row r="2246" spans="1:17" x14ac:dyDescent="0.2">
      <c r="A2246" s="384" t="s">
        <v>1754</v>
      </c>
      <c r="B2246" s="380"/>
      <c r="C2246" s="334" t="s">
        <v>1929</v>
      </c>
      <c r="D2246" s="427">
        <v>500</v>
      </c>
      <c r="E2246" s="384"/>
      <c r="F2246" s="378"/>
      <c r="G2246" s="377"/>
      <c r="H2246" s="377"/>
      <c r="I2246" s="399"/>
      <c r="J2246" s="377"/>
      <c r="K2246" s="384"/>
      <c r="L2246" s="378"/>
      <c r="M2246" s="377"/>
      <c r="N2246" s="377"/>
      <c r="O2246" s="380"/>
      <c r="P2246" s="380"/>
      <c r="Q2246" s="380"/>
    </row>
    <row r="2247" spans="1:17" x14ac:dyDescent="0.2">
      <c r="A2247" s="384" t="s">
        <v>1730</v>
      </c>
      <c r="B2247" s="380"/>
      <c r="C2247" s="334" t="s">
        <v>1985</v>
      </c>
      <c r="D2247" s="427">
        <v>1000</v>
      </c>
      <c r="E2247" s="384"/>
      <c r="F2247" s="378"/>
      <c r="G2247" s="377"/>
      <c r="H2247" s="377"/>
      <c r="I2247" s="399"/>
      <c r="J2247" s="377">
        <v>500</v>
      </c>
      <c r="K2247" s="384"/>
      <c r="L2247" s="378"/>
      <c r="M2247" s="377"/>
      <c r="N2247" s="377"/>
      <c r="O2247" s="380"/>
      <c r="P2247" s="380"/>
      <c r="Q2247" s="380"/>
    </row>
    <row r="2248" spans="1:17" x14ac:dyDescent="0.2">
      <c r="A2248" s="334" t="s">
        <v>1566</v>
      </c>
      <c r="B2248" s="380"/>
      <c r="C2248" s="334" t="s">
        <v>366</v>
      </c>
      <c r="D2248" s="427"/>
      <c r="E2248" s="384"/>
      <c r="F2248" s="378"/>
      <c r="G2248" s="377"/>
      <c r="H2248" s="377"/>
      <c r="I2248" s="399"/>
      <c r="J2248" s="377"/>
      <c r="K2248" s="384"/>
      <c r="L2248" s="378"/>
      <c r="M2248" s="377"/>
      <c r="N2248" s="377"/>
      <c r="O2248" s="380"/>
      <c r="P2248" s="380"/>
      <c r="Q2248" s="380"/>
    </row>
    <row r="2249" spans="1:17" x14ac:dyDescent="0.2">
      <c r="A2249" s="334" t="s">
        <v>1755</v>
      </c>
      <c r="B2249" s="380"/>
      <c r="C2249" s="380" t="s">
        <v>1986</v>
      </c>
      <c r="D2249" s="427">
        <v>1000</v>
      </c>
      <c r="E2249" s="384"/>
      <c r="F2249" s="378"/>
      <c r="G2249" s="377"/>
      <c r="H2249" s="377"/>
      <c r="I2249" s="399"/>
      <c r="J2249" s="377"/>
      <c r="K2249" s="384"/>
      <c r="L2249" s="378"/>
      <c r="M2249" s="377"/>
      <c r="N2249" s="377"/>
      <c r="O2249" s="380"/>
      <c r="P2249" s="380"/>
      <c r="Q2249" s="380"/>
    </row>
    <row r="2250" spans="1:17" x14ac:dyDescent="0.2">
      <c r="A2250" s="384" t="s">
        <v>1587</v>
      </c>
      <c r="B2250" s="380"/>
      <c r="C2250" s="334" t="s">
        <v>34</v>
      </c>
      <c r="D2250" s="427">
        <v>550</v>
      </c>
      <c r="E2250" s="384"/>
      <c r="F2250" s="378"/>
      <c r="G2250" s="377"/>
      <c r="H2250" s="377"/>
      <c r="I2250" s="399"/>
      <c r="J2250" s="377">
        <v>900</v>
      </c>
      <c r="K2250" s="384"/>
      <c r="L2250" s="378"/>
      <c r="M2250" s="377"/>
      <c r="N2250" s="377"/>
      <c r="O2250" s="380"/>
      <c r="P2250" s="380"/>
      <c r="Q2250" s="380"/>
    </row>
    <row r="2251" spans="1:17" x14ac:dyDescent="0.2">
      <c r="A2251" s="334" t="s">
        <v>342</v>
      </c>
      <c r="B2251" s="380"/>
      <c r="C2251" s="334" t="s">
        <v>342</v>
      </c>
      <c r="D2251" s="410" t="s">
        <v>342</v>
      </c>
      <c r="E2251" s="377"/>
      <c r="F2251" s="378"/>
      <c r="G2251" s="377"/>
      <c r="H2251" s="377"/>
      <c r="I2251" s="385"/>
      <c r="J2251" s="410" t="s">
        <v>342</v>
      </c>
      <c r="K2251" s="377"/>
      <c r="L2251" s="378"/>
      <c r="M2251" s="377"/>
      <c r="N2251" s="377"/>
      <c r="O2251" s="380"/>
      <c r="P2251" s="380"/>
      <c r="Q2251" s="380"/>
    </row>
    <row r="2252" spans="1:17" x14ac:dyDescent="0.2">
      <c r="A2252" s="334" t="s">
        <v>342</v>
      </c>
      <c r="B2252" s="380"/>
      <c r="C2252" s="334" t="s">
        <v>342</v>
      </c>
      <c r="D2252" s="334">
        <f>SUM(D2230:D2251)</f>
        <v>16714.78</v>
      </c>
      <c r="E2252" s="377"/>
      <c r="F2252" s="378"/>
      <c r="G2252" s="377"/>
      <c r="H2252" s="377"/>
      <c r="I2252" s="385"/>
      <c r="J2252" s="334">
        <f>SUM(J2230:J2250)</f>
        <v>16450</v>
      </c>
      <c r="K2252" s="377"/>
      <c r="L2252" s="378"/>
      <c r="M2252" s="377"/>
      <c r="N2252" s="377"/>
      <c r="O2252" s="380"/>
      <c r="P2252" s="380"/>
      <c r="Q2252" s="380"/>
    </row>
    <row r="2253" spans="1:17" ht="15.75" thickTop="1" x14ac:dyDescent="0.2">
      <c r="A2253" s="334" t="s">
        <v>342</v>
      </c>
      <c r="B2253" s="380"/>
      <c r="C2253" s="334" t="s">
        <v>342</v>
      </c>
      <c r="D2253" s="395"/>
      <c r="E2253" s="377"/>
      <c r="F2253" s="378"/>
      <c r="G2253" s="377"/>
      <c r="H2253" s="377"/>
      <c r="I2253" s="399"/>
      <c r="J2253" s="395"/>
      <c r="K2253" s="377"/>
      <c r="L2253" s="378"/>
      <c r="M2253" s="377"/>
      <c r="N2253" s="377"/>
      <c r="O2253" s="380"/>
      <c r="P2253" s="380"/>
      <c r="Q2253" s="380"/>
    </row>
    <row r="2254" spans="1:17" x14ac:dyDescent="0.2">
      <c r="A2254" s="334"/>
      <c r="B2254" s="377"/>
      <c r="C2254" s="334"/>
      <c r="D2254" s="334"/>
      <c r="E2254" s="377"/>
      <c r="F2254" s="378"/>
      <c r="G2254" s="377"/>
      <c r="H2254" s="377"/>
      <c r="I2254" s="385"/>
      <c r="J2254" s="334"/>
      <c r="K2254" s="377"/>
      <c r="L2254" s="378"/>
      <c r="M2254" s="377"/>
      <c r="N2254" s="377"/>
      <c r="O2254" s="380"/>
      <c r="P2254" s="380"/>
      <c r="Q2254" s="380"/>
    </row>
    <row r="2255" spans="1:17" x14ac:dyDescent="0.2">
      <c r="A2255" s="334"/>
      <c r="B2255" s="380"/>
      <c r="C2255" s="334"/>
      <c r="D2255" s="380"/>
      <c r="E2255" s="334"/>
      <c r="F2255" s="378"/>
      <c r="G2255" s="377"/>
      <c r="H2255" s="334"/>
      <c r="I2255" s="382"/>
      <c r="J2255" s="380"/>
      <c r="K2255" s="334"/>
      <c r="L2255" s="378"/>
      <c r="M2255" s="377"/>
      <c r="N2255" s="334"/>
      <c r="O2255" s="380"/>
      <c r="P2255" s="380"/>
      <c r="Q2255" s="380"/>
    </row>
    <row r="2256" spans="1:17" x14ac:dyDescent="0.2">
      <c r="A2256" s="377"/>
      <c r="B2256" s="377"/>
      <c r="C2256" s="377"/>
      <c r="D2256" s="377"/>
      <c r="E2256" s="377"/>
      <c r="F2256" s="378"/>
      <c r="G2256" s="377"/>
      <c r="H2256" s="334" t="s">
        <v>342</v>
      </c>
      <c r="I2256" s="399"/>
      <c r="J2256" s="377"/>
      <c r="K2256" s="377"/>
      <c r="L2256" s="378"/>
      <c r="M2256" s="377"/>
      <c r="N2256" s="334" t="s">
        <v>342</v>
      </c>
      <c r="O2256" s="380"/>
      <c r="P2256" s="380"/>
      <c r="Q2256" s="380"/>
    </row>
    <row r="2257" spans="1:17" x14ac:dyDescent="0.2">
      <c r="A2257" s="334" t="s">
        <v>1808</v>
      </c>
      <c r="B2257" s="380"/>
      <c r="C2257" s="380"/>
      <c r="D2257" s="380"/>
      <c r="E2257" s="380"/>
      <c r="F2257" s="378"/>
      <c r="G2257" s="377"/>
      <c r="H2257" s="380"/>
      <c r="I2257" s="382"/>
      <c r="J2257" s="380"/>
      <c r="K2257" s="380"/>
      <c r="L2257" s="378"/>
      <c r="M2257" s="377"/>
      <c r="N2257" s="380"/>
      <c r="O2257" s="380"/>
      <c r="P2257" s="380"/>
      <c r="Q2257" s="380"/>
    </row>
    <row r="2258" spans="1:17" x14ac:dyDescent="0.2">
      <c r="A2258" s="334" t="s">
        <v>342</v>
      </c>
      <c r="B2258" s="380"/>
      <c r="C2258" s="384" t="s">
        <v>2140</v>
      </c>
      <c r="D2258" s="377"/>
      <c r="E2258" s="384"/>
      <c r="F2258" s="378"/>
      <c r="G2258" s="377"/>
      <c r="H2258" s="446"/>
      <c r="I2258" s="399"/>
      <c r="J2258" s="377"/>
      <c r="K2258" s="384"/>
      <c r="L2258" s="378"/>
      <c r="M2258" s="377"/>
      <c r="N2258" s="446"/>
      <c r="O2258" s="380"/>
      <c r="P2258" s="380"/>
      <c r="Q2258" s="380"/>
    </row>
    <row r="2259" spans="1:17" x14ac:dyDescent="0.2">
      <c r="A2259" s="334"/>
      <c r="B2259" s="380"/>
      <c r="C2259" s="334"/>
      <c r="D2259" s="377"/>
      <c r="E2259" s="334"/>
      <c r="F2259" s="378"/>
      <c r="G2259" s="377"/>
      <c r="H2259" s="446"/>
      <c r="I2259" s="399"/>
      <c r="J2259" s="377"/>
      <c r="K2259" s="334"/>
      <c r="L2259" s="378"/>
      <c r="M2259" s="377"/>
      <c r="N2259" s="446"/>
      <c r="O2259" s="380"/>
      <c r="P2259" s="380"/>
      <c r="Q2259" s="380"/>
    </row>
    <row r="2260" spans="1:17" x14ac:dyDescent="0.2">
      <c r="A2260" s="334" t="s">
        <v>1723</v>
      </c>
      <c r="B2260" s="380"/>
      <c r="C2260" s="334" t="s">
        <v>1880</v>
      </c>
      <c r="D2260" s="334" t="s">
        <v>181</v>
      </c>
      <c r="E2260" s="334"/>
      <c r="F2260" s="378"/>
      <c r="G2260" s="377"/>
      <c r="H2260" s="334"/>
      <c r="I2260" s="385"/>
      <c r="J2260" s="334" t="s">
        <v>181</v>
      </c>
      <c r="K2260" s="334"/>
      <c r="L2260" s="378"/>
      <c r="M2260" s="377"/>
      <c r="N2260" s="334"/>
      <c r="O2260" s="380"/>
      <c r="P2260" s="380"/>
      <c r="Q2260" s="380"/>
    </row>
    <row r="2261" spans="1:17" x14ac:dyDescent="0.2">
      <c r="A2261" s="334"/>
      <c r="B2261" s="380"/>
      <c r="C2261" s="334"/>
      <c r="D2261" s="334"/>
      <c r="E2261" s="334"/>
      <c r="F2261" s="378"/>
      <c r="G2261" s="377"/>
      <c r="H2261" s="334"/>
      <c r="I2261" s="385"/>
      <c r="J2261" s="334"/>
      <c r="K2261" s="334"/>
      <c r="L2261" s="378"/>
      <c r="M2261" s="377"/>
      <c r="N2261" s="334"/>
      <c r="O2261" s="380"/>
      <c r="P2261" s="380"/>
      <c r="Q2261" s="380"/>
    </row>
    <row r="2262" spans="1:17" x14ac:dyDescent="0.2">
      <c r="A2262" s="334" t="s">
        <v>1569</v>
      </c>
      <c r="B2262" s="380"/>
      <c r="C2262" s="334" t="s">
        <v>1888</v>
      </c>
      <c r="D2262" s="377"/>
      <c r="E2262" s="384"/>
      <c r="F2262" s="378"/>
      <c r="G2262" s="377"/>
      <c r="H2262" s="334"/>
      <c r="I2262" s="399"/>
      <c r="J2262" s="377"/>
      <c r="K2262" s="384"/>
      <c r="L2262" s="378"/>
      <c r="M2262" s="377"/>
      <c r="N2262" s="334"/>
      <c r="O2262" s="380"/>
      <c r="P2262" s="380"/>
      <c r="Q2262" s="380"/>
    </row>
    <row r="2263" spans="1:17" x14ac:dyDescent="0.2">
      <c r="A2263" s="334" t="s">
        <v>1724</v>
      </c>
      <c r="B2263" s="380"/>
      <c r="C2263" s="334" t="s">
        <v>1881</v>
      </c>
      <c r="D2263" s="377">
        <v>2350</v>
      </c>
      <c r="E2263" s="384"/>
      <c r="F2263" s="378"/>
      <c r="G2263" s="377"/>
      <c r="H2263" s="334"/>
      <c r="I2263" s="399"/>
      <c r="J2263" s="377">
        <v>2350</v>
      </c>
      <c r="K2263" s="384"/>
      <c r="L2263" s="378"/>
      <c r="M2263" s="377"/>
      <c r="N2263" s="334"/>
      <c r="O2263" s="380"/>
      <c r="P2263" s="380"/>
      <c r="Q2263" s="380"/>
    </row>
    <row r="2264" spans="1:17" x14ac:dyDescent="0.2">
      <c r="A2264" s="334" t="s">
        <v>1736</v>
      </c>
      <c r="B2264" s="380"/>
      <c r="C2264" s="334" t="s">
        <v>1747</v>
      </c>
      <c r="D2264" s="377"/>
      <c r="E2264" s="384"/>
      <c r="F2264" s="378"/>
      <c r="G2264" s="377"/>
      <c r="H2264" s="334"/>
      <c r="I2264" s="399"/>
      <c r="J2264" s="377"/>
      <c r="K2264" s="384"/>
      <c r="L2264" s="378"/>
      <c r="M2264" s="377"/>
      <c r="N2264" s="334"/>
      <c r="O2264" s="380"/>
      <c r="P2264" s="380"/>
      <c r="Q2264" s="380"/>
    </row>
    <row r="2265" spans="1:17" x14ac:dyDescent="0.2">
      <c r="A2265" s="334" t="s">
        <v>1744</v>
      </c>
      <c r="B2265" s="380"/>
      <c r="C2265" s="334" t="s">
        <v>1254</v>
      </c>
      <c r="D2265" s="377">
        <v>500</v>
      </c>
      <c r="E2265" s="384"/>
      <c r="F2265" s="378"/>
      <c r="G2265" s="377"/>
      <c r="H2265" s="334"/>
      <c r="I2265" s="399"/>
      <c r="J2265" s="377">
        <v>500</v>
      </c>
      <c r="K2265" s="384"/>
      <c r="L2265" s="378"/>
      <c r="M2265" s="377"/>
      <c r="N2265" s="334"/>
      <c r="O2265" s="380"/>
      <c r="P2265" s="380"/>
      <c r="Q2265" s="380"/>
    </row>
    <row r="2266" spans="1:17" x14ac:dyDescent="0.2">
      <c r="A2266" s="384" t="s">
        <v>1582</v>
      </c>
      <c r="B2266" s="380"/>
      <c r="C2266" s="334" t="s">
        <v>3135</v>
      </c>
      <c r="D2266" s="377">
        <v>825</v>
      </c>
      <c r="E2266" s="384"/>
      <c r="F2266" s="378"/>
      <c r="G2266" s="377"/>
      <c r="H2266" s="334"/>
      <c r="I2266" s="399"/>
      <c r="J2266" s="377">
        <v>825</v>
      </c>
      <c r="K2266" s="384"/>
      <c r="L2266" s="378"/>
      <c r="M2266" s="377"/>
      <c r="N2266" s="334"/>
      <c r="O2266" s="380"/>
      <c r="P2266" s="380"/>
      <c r="Q2266" s="380"/>
    </row>
    <row r="2267" spans="1:17" x14ac:dyDescent="0.2">
      <c r="A2267" s="334" t="s">
        <v>1575</v>
      </c>
      <c r="B2267" s="380"/>
      <c r="C2267" s="334" t="s">
        <v>1889</v>
      </c>
      <c r="D2267" s="377">
        <v>440</v>
      </c>
      <c r="E2267" s="384"/>
      <c r="F2267" s="378"/>
      <c r="G2267" s="377"/>
      <c r="H2267" s="334"/>
      <c r="I2267" s="399"/>
      <c r="J2267" s="377">
        <v>440</v>
      </c>
      <c r="K2267" s="384"/>
      <c r="L2267" s="378"/>
      <c r="M2267" s="377"/>
      <c r="N2267" s="334"/>
      <c r="O2267" s="380"/>
      <c r="P2267" s="380"/>
      <c r="Q2267" s="380"/>
    </row>
    <row r="2268" spans="1:17" x14ac:dyDescent="0.2">
      <c r="A2268" s="334" t="s">
        <v>1725</v>
      </c>
      <c r="B2268" s="380"/>
      <c r="C2268" s="334" t="s">
        <v>1890</v>
      </c>
      <c r="D2268" s="377">
        <v>90</v>
      </c>
      <c r="E2268" s="384"/>
      <c r="F2268" s="378"/>
      <c r="G2268" s="377"/>
      <c r="H2268" s="334"/>
      <c r="I2268" s="399"/>
      <c r="J2268" s="377">
        <v>90</v>
      </c>
      <c r="K2268" s="384"/>
      <c r="L2268" s="378"/>
      <c r="M2268" s="377"/>
      <c r="N2268" s="334"/>
      <c r="O2268" s="380"/>
      <c r="P2268" s="380"/>
      <c r="Q2268" s="380"/>
    </row>
    <row r="2269" spans="1:17" x14ac:dyDescent="0.2">
      <c r="A2269" s="384" t="s">
        <v>1745</v>
      </c>
      <c r="B2269" s="380"/>
      <c r="C2269" s="334" t="s">
        <v>1887</v>
      </c>
      <c r="D2269" s="377">
        <v>90</v>
      </c>
      <c r="E2269" s="384"/>
      <c r="F2269" s="378"/>
      <c r="G2269" s="377"/>
      <c r="H2269" s="334"/>
      <c r="I2269" s="399"/>
      <c r="J2269" s="377">
        <v>90</v>
      </c>
      <c r="K2269" s="384"/>
      <c r="L2269" s="378"/>
      <c r="M2269" s="377"/>
      <c r="N2269" s="334"/>
      <c r="O2269" s="380"/>
      <c r="P2269" s="380"/>
      <c r="Q2269" s="380"/>
    </row>
    <row r="2270" spans="1:17" x14ac:dyDescent="0.2">
      <c r="A2270" s="384" t="s">
        <v>1737</v>
      </c>
      <c r="B2270" s="380"/>
      <c r="C2270" s="334" t="s">
        <v>1984</v>
      </c>
      <c r="D2270" s="377">
        <v>90</v>
      </c>
      <c r="E2270" s="384"/>
      <c r="F2270" s="378"/>
      <c r="G2270" s="377"/>
      <c r="H2270" s="334"/>
      <c r="I2270" s="399"/>
      <c r="J2270" s="377">
        <v>90</v>
      </c>
      <c r="K2270" s="384"/>
      <c r="L2270" s="378"/>
      <c r="M2270" s="377"/>
      <c r="N2270" s="334"/>
      <c r="O2270" s="380"/>
      <c r="P2270" s="380"/>
      <c r="Q2270" s="380"/>
    </row>
    <row r="2271" spans="1:17" x14ac:dyDescent="0.2">
      <c r="A2271" s="334" t="s">
        <v>1734</v>
      </c>
      <c r="B2271" s="380"/>
      <c r="C2271" s="334" t="s">
        <v>1746</v>
      </c>
      <c r="D2271" s="377">
        <v>90</v>
      </c>
      <c r="E2271" s="384"/>
      <c r="F2271" s="378"/>
      <c r="G2271" s="377"/>
      <c r="H2271" s="334"/>
      <c r="I2271" s="399"/>
      <c r="J2271" s="377">
        <v>90</v>
      </c>
      <c r="K2271" s="384"/>
      <c r="L2271" s="378"/>
      <c r="M2271" s="377"/>
      <c r="N2271" s="334"/>
      <c r="O2271" s="380"/>
      <c r="P2271" s="380"/>
      <c r="Q2271" s="380"/>
    </row>
    <row r="2272" spans="1:17" x14ac:dyDescent="0.2">
      <c r="A2272" s="334" t="s">
        <v>1738</v>
      </c>
      <c r="B2272" s="380"/>
      <c r="C2272" s="334" t="s">
        <v>1591</v>
      </c>
      <c r="D2272" s="377">
        <v>90</v>
      </c>
      <c r="E2272" s="384"/>
      <c r="F2272" s="378"/>
      <c r="G2272" s="377"/>
      <c r="H2272" s="334"/>
      <c r="I2272" s="399"/>
      <c r="J2272" s="377">
        <v>90</v>
      </c>
      <c r="K2272" s="384"/>
      <c r="L2272" s="378"/>
      <c r="M2272" s="377"/>
      <c r="N2272" s="334"/>
      <c r="O2272" s="380"/>
      <c r="P2272" s="380"/>
      <c r="Q2272" s="380"/>
    </row>
    <row r="2273" spans="1:17" x14ac:dyDescent="0.2">
      <c r="A2273" s="334" t="s">
        <v>1727</v>
      </c>
      <c r="B2273" s="380"/>
      <c r="C2273" s="334" t="s">
        <v>307</v>
      </c>
      <c r="D2273" s="377">
        <v>90</v>
      </c>
      <c r="E2273" s="384"/>
      <c r="F2273" s="378"/>
      <c r="G2273" s="380"/>
      <c r="H2273" s="334"/>
      <c r="I2273" s="399"/>
      <c r="J2273" s="377">
        <v>90</v>
      </c>
      <c r="K2273" s="384"/>
      <c r="L2273" s="378"/>
      <c r="M2273" s="380"/>
      <c r="N2273" s="334"/>
      <c r="O2273" s="380"/>
      <c r="P2273" s="380"/>
      <c r="Q2273" s="380"/>
    </row>
    <row r="2274" spans="1:17" x14ac:dyDescent="0.2">
      <c r="A2274" s="334" t="s">
        <v>1728</v>
      </c>
      <c r="B2274" s="380"/>
      <c r="C2274" s="334" t="s">
        <v>310</v>
      </c>
      <c r="D2274" s="377">
        <v>90</v>
      </c>
      <c r="E2274" s="384"/>
      <c r="F2274" s="378"/>
      <c r="G2274" s="380"/>
      <c r="H2274" s="334"/>
      <c r="I2274" s="399"/>
      <c r="J2274" s="377">
        <v>90</v>
      </c>
      <c r="K2274" s="384"/>
      <c r="L2274" s="378"/>
      <c r="M2274" s="380"/>
      <c r="N2274" s="334"/>
      <c r="O2274" s="380"/>
      <c r="P2274" s="380"/>
      <c r="Q2274" s="380"/>
    </row>
    <row r="2275" spans="1:17" x14ac:dyDescent="0.2">
      <c r="A2275" s="384" t="s">
        <v>1729</v>
      </c>
      <c r="B2275" s="380"/>
      <c r="C2275" s="380" t="s">
        <v>1551</v>
      </c>
      <c r="D2275" s="377">
        <f>-624.41-5000</f>
        <v>-5624.41</v>
      </c>
      <c r="E2275" s="384"/>
      <c r="F2275" s="378"/>
      <c r="G2275" s="380"/>
      <c r="H2275" s="334"/>
      <c r="I2275" s="399"/>
      <c r="J2275" s="377">
        <v>25</v>
      </c>
      <c r="K2275" s="384"/>
      <c r="L2275" s="378"/>
      <c r="M2275" s="380"/>
      <c r="N2275" s="334"/>
      <c r="O2275" s="380"/>
      <c r="P2275" s="380"/>
      <c r="Q2275" s="380"/>
    </row>
    <row r="2276" spans="1:17" x14ac:dyDescent="0.2">
      <c r="A2276" s="334" t="s">
        <v>1735</v>
      </c>
      <c r="B2276" s="380"/>
      <c r="C2276" s="380" t="s">
        <v>194</v>
      </c>
      <c r="D2276" s="377"/>
      <c r="E2276" s="384"/>
      <c r="F2276" s="378"/>
      <c r="G2276" s="380"/>
      <c r="H2276" s="334"/>
      <c r="I2276" s="399"/>
      <c r="J2276" s="377">
        <v>45</v>
      </c>
      <c r="K2276" s="384"/>
      <c r="L2276" s="378"/>
      <c r="M2276" s="380"/>
      <c r="N2276" s="334"/>
      <c r="O2276" s="380"/>
      <c r="P2276" s="380"/>
      <c r="Q2276" s="380"/>
    </row>
    <row r="2277" spans="1:17" x14ac:dyDescent="0.2">
      <c r="A2277" s="334" t="s">
        <v>1572</v>
      </c>
      <c r="B2277" s="380"/>
      <c r="C2277" s="334" t="s">
        <v>3134</v>
      </c>
      <c r="D2277" s="377">
        <v>45</v>
      </c>
      <c r="E2277" s="384"/>
      <c r="F2277" s="378"/>
      <c r="G2277" s="380"/>
      <c r="H2277" s="334"/>
      <c r="I2277" s="399"/>
      <c r="J2277" s="377">
        <v>45</v>
      </c>
      <c r="K2277" s="384"/>
      <c r="L2277" s="378"/>
      <c r="M2277" s="380"/>
      <c r="N2277" s="334"/>
      <c r="O2277" s="380"/>
      <c r="P2277" s="380"/>
      <c r="Q2277" s="380"/>
    </row>
    <row r="2278" spans="1:17" x14ac:dyDescent="0.2">
      <c r="A2278" s="384" t="s">
        <v>1730</v>
      </c>
      <c r="B2278" s="380"/>
      <c r="C2278" s="334" t="s">
        <v>1985</v>
      </c>
      <c r="D2278" s="377"/>
      <c r="E2278" s="384"/>
      <c r="F2278" s="378"/>
      <c r="G2278" s="380"/>
      <c r="H2278" s="334"/>
      <c r="I2278" s="399"/>
      <c r="J2278" s="377"/>
      <c r="K2278" s="384"/>
      <c r="L2278" s="378"/>
      <c r="M2278" s="380"/>
      <c r="N2278" s="334"/>
      <c r="O2278" s="380"/>
      <c r="P2278" s="380"/>
      <c r="Q2278" s="380"/>
    </row>
    <row r="2279" spans="1:17" x14ac:dyDescent="0.2">
      <c r="A2279" s="334" t="s">
        <v>1566</v>
      </c>
      <c r="B2279" s="380"/>
      <c r="C2279" s="334" t="s">
        <v>366</v>
      </c>
      <c r="D2279" s="377">
        <v>400</v>
      </c>
      <c r="E2279" s="384"/>
      <c r="F2279" s="378"/>
      <c r="G2279" s="380"/>
      <c r="H2279" s="334"/>
      <c r="I2279" s="399"/>
      <c r="J2279" s="377">
        <v>400</v>
      </c>
      <c r="K2279" s="384"/>
      <c r="L2279" s="378"/>
      <c r="M2279" s="380"/>
      <c r="N2279" s="334"/>
      <c r="O2279" s="380"/>
      <c r="P2279" s="380"/>
      <c r="Q2279" s="380"/>
    </row>
    <row r="2280" spans="1:17" x14ac:dyDescent="0.2">
      <c r="A2280" s="334" t="s">
        <v>1755</v>
      </c>
      <c r="B2280" s="380"/>
      <c r="C2280" s="380" t="s">
        <v>1986</v>
      </c>
      <c r="D2280" s="377">
        <v>1500</v>
      </c>
      <c r="E2280" s="384"/>
      <c r="F2280" s="378"/>
      <c r="G2280" s="380"/>
      <c r="H2280" s="334"/>
      <c r="I2280" s="399"/>
      <c r="J2280" s="377">
        <v>1500</v>
      </c>
      <c r="K2280" s="384"/>
      <c r="L2280" s="378"/>
      <c r="M2280" s="380"/>
      <c r="N2280" s="334"/>
      <c r="O2280" s="380"/>
      <c r="P2280" s="380"/>
      <c r="Q2280" s="380"/>
    </row>
    <row r="2281" spans="1:17" x14ac:dyDescent="0.2">
      <c r="A2281" s="384" t="s">
        <v>1962</v>
      </c>
      <c r="B2281" s="380"/>
      <c r="C2281" s="380" t="s">
        <v>572</v>
      </c>
      <c r="D2281" s="377"/>
      <c r="E2281" s="384"/>
      <c r="F2281" s="378"/>
      <c r="G2281" s="380"/>
      <c r="H2281" s="334"/>
      <c r="I2281" s="399"/>
      <c r="J2281" s="377"/>
      <c r="K2281" s="384"/>
      <c r="L2281" s="378"/>
      <c r="M2281" s="380"/>
      <c r="N2281" s="334"/>
      <c r="O2281" s="380"/>
      <c r="P2281" s="380"/>
      <c r="Q2281" s="380"/>
    </row>
    <row r="2282" spans="1:17" x14ac:dyDescent="0.2">
      <c r="A2282" s="334" t="s">
        <v>342</v>
      </c>
      <c r="B2282" s="380"/>
      <c r="C2282" s="334" t="s">
        <v>342</v>
      </c>
      <c r="D2282" s="410" t="s">
        <v>342</v>
      </c>
      <c r="E2282" s="380"/>
      <c r="F2282" s="378"/>
      <c r="G2282" s="380"/>
      <c r="H2282" s="334"/>
      <c r="I2282" s="385"/>
      <c r="J2282" s="410" t="s">
        <v>342</v>
      </c>
      <c r="K2282" s="380"/>
      <c r="L2282" s="378"/>
      <c r="M2282" s="380"/>
      <c r="N2282" s="334"/>
      <c r="O2282" s="380"/>
      <c r="P2282" s="380"/>
      <c r="Q2282" s="380"/>
    </row>
    <row r="2283" spans="1:17" x14ac:dyDescent="0.2">
      <c r="A2283" s="334" t="s">
        <v>342</v>
      </c>
      <c r="B2283" s="380"/>
      <c r="C2283" s="334" t="s">
        <v>342</v>
      </c>
      <c r="D2283" s="334">
        <f>SUM(D2262:D2281)</f>
        <v>1065.5899999999999</v>
      </c>
      <c r="E2283" s="380"/>
      <c r="F2283" s="378"/>
      <c r="G2283" s="380"/>
      <c r="H2283" s="334"/>
      <c r="I2283" s="385"/>
      <c r="J2283" s="334">
        <f>SUM(J2262:J2281)</f>
        <v>6760</v>
      </c>
      <c r="K2283" s="380"/>
      <c r="L2283" s="378"/>
      <c r="M2283" s="380"/>
      <c r="N2283" s="334"/>
      <c r="O2283" s="380"/>
      <c r="P2283" s="380"/>
      <c r="Q2283" s="380"/>
    </row>
    <row r="2284" spans="1:17" ht="15.75" thickTop="1" x14ac:dyDescent="0.2">
      <c r="A2284" s="334" t="s">
        <v>342</v>
      </c>
      <c r="B2284" s="380"/>
      <c r="C2284" s="334" t="s">
        <v>342</v>
      </c>
      <c r="D2284" s="400" t="s">
        <v>342</v>
      </c>
      <c r="E2284" s="380"/>
      <c r="F2284" s="378"/>
      <c r="G2284" s="380"/>
      <c r="H2284" s="334"/>
      <c r="I2284" s="385"/>
      <c r="J2284" s="400" t="s">
        <v>342</v>
      </c>
      <c r="K2284" s="380"/>
      <c r="L2284" s="378"/>
      <c r="M2284" s="380"/>
      <c r="N2284" s="334"/>
      <c r="O2284" s="380"/>
      <c r="P2284" s="380"/>
      <c r="Q2284" s="380"/>
    </row>
    <row r="2285" spans="1:17" x14ac:dyDescent="0.2">
      <c r="A2285" s="334" t="s">
        <v>342</v>
      </c>
      <c r="B2285" s="380"/>
      <c r="C2285" s="334" t="s">
        <v>342</v>
      </c>
      <c r="D2285" s="334" t="s">
        <v>342</v>
      </c>
      <c r="E2285" s="380"/>
      <c r="F2285" s="378"/>
      <c r="G2285" s="380"/>
      <c r="H2285" s="334"/>
      <c r="I2285" s="385"/>
      <c r="J2285" s="334" t="s">
        <v>342</v>
      </c>
      <c r="K2285" s="380"/>
      <c r="L2285" s="378"/>
      <c r="M2285" s="380"/>
      <c r="N2285" s="334"/>
      <c r="O2285" s="380"/>
      <c r="P2285" s="380"/>
      <c r="Q2285" s="380"/>
    </row>
    <row r="2286" spans="1:17" x14ac:dyDescent="0.2">
      <c r="A2286" s="334" t="s">
        <v>342</v>
      </c>
      <c r="B2286" s="377"/>
      <c r="C2286" s="334" t="s">
        <v>342</v>
      </c>
      <c r="D2286" s="334" t="s">
        <v>342</v>
      </c>
      <c r="E2286" s="377"/>
      <c r="F2286" s="378"/>
      <c r="G2286" s="377"/>
      <c r="H2286" s="334"/>
      <c r="I2286" s="385"/>
      <c r="J2286" s="334" t="s">
        <v>342</v>
      </c>
      <c r="K2286" s="377"/>
      <c r="L2286" s="378"/>
      <c r="M2286" s="377"/>
      <c r="N2286" s="334"/>
      <c r="O2286" s="380"/>
      <c r="P2286" s="380"/>
      <c r="Q2286" s="380"/>
    </row>
    <row r="2287" spans="1:17" x14ac:dyDescent="0.2">
      <c r="A2287" s="334" t="s">
        <v>1809</v>
      </c>
      <c r="B2287" s="380"/>
      <c r="C2287" s="380"/>
      <c r="D2287" s="377"/>
      <c r="E2287" s="380"/>
      <c r="F2287" s="378"/>
      <c r="G2287" s="380"/>
      <c r="H2287" s="334"/>
      <c r="I2287" s="399"/>
      <c r="J2287" s="377"/>
      <c r="K2287" s="380"/>
      <c r="L2287" s="378"/>
      <c r="M2287" s="380"/>
      <c r="N2287" s="334"/>
      <c r="O2287" s="380"/>
      <c r="P2287" s="380"/>
      <c r="Q2287" s="380"/>
    </row>
    <row r="2288" spans="1:17" x14ac:dyDescent="0.2">
      <c r="A2288" s="334" t="s">
        <v>342</v>
      </c>
      <c r="B2288" s="380"/>
      <c r="C2288" s="384" t="s">
        <v>2141</v>
      </c>
      <c r="D2288" s="380"/>
      <c r="E2288" s="380"/>
      <c r="F2288" s="378"/>
      <c r="G2288" s="380"/>
      <c r="H2288" s="334"/>
      <c r="I2288" s="382"/>
      <c r="J2288" s="380"/>
      <c r="K2288" s="380"/>
      <c r="L2288" s="378"/>
      <c r="M2288" s="380"/>
      <c r="N2288" s="334"/>
      <c r="O2288" s="380"/>
      <c r="P2288" s="380"/>
      <c r="Q2288" s="380"/>
    </row>
    <row r="2289" spans="1:17" x14ac:dyDescent="0.2">
      <c r="A2289" s="380"/>
      <c r="B2289" s="380"/>
      <c r="C2289" s="380"/>
      <c r="D2289" s="334" t="s">
        <v>342</v>
      </c>
      <c r="E2289" s="380"/>
      <c r="F2289" s="378"/>
      <c r="G2289" s="380"/>
      <c r="H2289" s="334"/>
      <c r="I2289" s="385"/>
      <c r="J2289" s="334" t="s">
        <v>342</v>
      </c>
      <c r="K2289" s="380"/>
      <c r="L2289" s="378"/>
      <c r="M2289" s="380"/>
      <c r="N2289" s="334"/>
      <c r="O2289" s="380"/>
      <c r="P2289" s="380"/>
      <c r="Q2289" s="380"/>
    </row>
    <row r="2290" spans="1:17" x14ac:dyDescent="0.2">
      <c r="A2290" s="334" t="s">
        <v>1723</v>
      </c>
      <c r="B2290" s="380"/>
      <c r="C2290" s="334" t="s">
        <v>1880</v>
      </c>
      <c r="D2290" s="334" t="s">
        <v>181</v>
      </c>
      <c r="E2290" s="380"/>
      <c r="F2290" s="378"/>
      <c r="G2290" s="380"/>
      <c r="H2290" s="380"/>
      <c r="I2290" s="385"/>
      <c r="J2290" s="334" t="s">
        <v>181</v>
      </c>
      <c r="K2290" s="380"/>
      <c r="L2290" s="378"/>
      <c r="M2290" s="380"/>
      <c r="N2290" s="380"/>
      <c r="O2290" s="380"/>
      <c r="P2290" s="380"/>
      <c r="Q2290" s="380"/>
    </row>
    <row r="2291" spans="1:17" x14ac:dyDescent="0.2">
      <c r="A2291" s="380"/>
      <c r="B2291" s="380"/>
      <c r="C2291" s="380"/>
      <c r="D2291" s="380"/>
      <c r="E2291" s="380"/>
      <c r="F2291" s="378"/>
      <c r="G2291" s="380"/>
      <c r="H2291" s="380"/>
      <c r="I2291" s="382"/>
      <c r="J2291" s="380"/>
      <c r="K2291" s="380"/>
      <c r="L2291" s="378"/>
      <c r="M2291" s="380"/>
      <c r="N2291" s="380"/>
      <c r="O2291" s="380"/>
      <c r="P2291" s="380"/>
      <c r="Q2291" s="380"/>
    </row>
    <row r="2292" spans="1:17" x14ac:dyDescent="0.2">
      <c r="A2292" s="334" t="s">
        <v>1569</v>
      </c>
      <c r="B2292" s="380"/>
      <c r="C2292" s="334" t="s">
        <v>1888</v>
      </c>
      <c r="D2292" s="377"/>
      <c r="E2292" s="380"/>
      <c r="F2292" s="378"/>
      <c r="G2292" s="380"/>
      <c r="H2292" s="380"/>
      <c r="I2292" s="399"/>
      <c r="J2292" s="377">
        <v>0</v>
      </c>
      <c r="K2292" s="380"/>
      <c r="L2292" s="378"/>
      <c r="M2292" s="380"/>
      <c r="N2292" s="380"/>
      <c r="O2292" s="380"/>
      <c r="P2292" s="380"/>
      <c r="Q2292" s="380"/>
    </row>
    <row r="2293" spans="1:17" x14ac:dyDescent="0.2">
      <c r="A2293" s="334" t="s">
        <v>1724</v>
      </c>
      <c r="B2293" s="380"/>
      <c r="C2293" s="334" t="s">
        <v>1881</v>
      </c>
      <c r="D2293" s="377"/>
      <c r="E2293" s="380"/>
      <c r="F2293" s="378"/>
      <c r="G2293" s="380"/>
      <c r="H2293" s="380"/>
      <c r="I2293" s="399"/>
      <c r="J2293" s="377">
        <v>0</v>
      </c>
      <c r="K2293" s="380"/>
      <c r="L2293" s="378"/>
      <c r="M2293" s="380"/>
      <c r="N2293" s="380"/>
      <c r="O2293" s="380"/>
      <c r="P2293" s="380"/>
      <c r="Q2293" s="380"/>
    </row>
    <row r="2294" spans="1:17" x14ac:dyDescent="0.2">
      <c r="A2294" s="384" t="s">
        <v>1736</v>
      </c>
      <c r="B2294" s="380"/>
      <c r="C2294" s="334" t="s">
        <v>1747</v>
      </c>
      <c r="D2294" s="377"/>
      <c r="E2294" s="380"/>
      <c r="F2294" s="378"/>
      <c r="G2294" s="380"/>
      <c r="H2294" s="380"/>
      <c r="I2294" s="399"/>
      <c r="J2294" s="377">
        <v>0</v>
      </c>
      <c r="K2294" s="380"/>
      <c r="L2294" s="378"/>
      <c r="M2294" s="380"/>
      <c r="N2294" s="380"/>
      <c r="O2294" s="380"/>
      <c r="P2294" s="380"/>
      <c r="Q2294" s="380"/>
    </row>
    <row r="2295" spans="1:17" x14ac:dyDescent="0.2">
      <c r="A2295" s="384" t="s">
        <v>1745</v>
      </c>
      <c r="B2295" s="380"/>
      <c r="C2295" s="334" t="s">
        <v>1887</v>
      </c>
      <c r="D2295" s="377"/>
      <c r="E2295" s="380"/>
      <c r="F2295" s="378"/>
      <c r="G2295" s="380"/>
      <c r="H2295" s="380"/>
      <c r="I2295" s="399"/>
      <c r="J2295" s="377">
        <v>0</v>
      </c>
      <c r="K2295" s="380"/>
      <c r="L2295" s="378"/>
      <c r="M2295" s="380"/>
      <c r="N2295" s="380"/>
      <c r="O2295" s="380"/>
      <c r="P2295" s="380"/>
      <c r="Q2295" s="380"/>
    </row>
    <row r="2296" spans="1:17" x14ac:dyDescent="0.2">
      <c r="A2296" s="334" t="s">
        <v>1737</v>
      </c>
      <c r="B2296" s="380"/>
      <c r="C2296" s="334" t="s">
        <v>1984</v>
      </c>
      <c r="D2296" s="377"/>
      <c r="E2296" s="380"/>
      <c r="F2296" s="378"/>
      <c r="G2296" s="380"/>
      <c r="H2296" s="380"/>
      <c r="I2296" s="399"/>
      <c r="J2296" s="377">
        <v>0</v>
      </c>
      <c r="K2296" s="380"/>
      <c r="L2296" s="378"/>
      <c r="M2296" s="380"/>
      <c r="N2296" s="380"/>
      <c r="O2296" s="380"/>
      <c r="P2296" s="380"/>
      <c r="Q2296" s="380"/>
    </row>
    <row r="2297" spans="1:17" x14ac:dyDescent="0.2">
      <c r="A2297" s="334" t="s">
        <v>1726</v>
      </c>
      <c r="B2297" s="380"/>
      <c r="C2297" s="334" t="s">
        <v>1117</v>
      </c>
      <c r="D2297" s="377"/>
      <c r="E2297" s="380"/>
      <c r="F2297" s="378"/>
      <c r="G2297" s="380"/>
      <c r="H2297" s="380"/>
      <c r="I2297" s="399"/>
      <c r="J2297" s="377">
        <v>0</v>
      </c>
      <c r="K2297" s="380"/>
      <c r="L2297" s="378"/>
      <c r="M2297" s="380"/>
      <c r="N2297" s="380"/>
      <c r="O2297" s="380"/>
      <c r="P2297" s="380"/>
      <c r="Q2297" s="380"/>
    </row>
    <row r="2298" spans="1:17" x14ac:dyDescent="0.2">
      <c r="A2298" s="334" t="s">
        <v>1734</v>
      </c>
      <c r="B2298" s="380"/>
      <c r="C2298" s="334" t="s">
        <v>1746</v>
      </c>
      <c r="D2298" s="377"/>
      <c r="E2298" s="380"/>
      <c r="F2298" s="378"/>
      <c r="G2298" s="380"/>
      <c r="H2298" s="380"/>
      <c r="I2298" s="399"/>
      <c r="J2298" s="377">
        <v>0</v>
      </c>
      <c r="K2298" s="380"/>
      <c r="L2298" s="378"/>
      <c r="M2298" s="380"/>
      <c r="N2298" s="380"/>
      <c r="O2298" s="380"/>
      <c r="P2298" s="380"/>
      <c r="Q2298" s="380"/>
    </row>
    <row r="2299" spans="1:17" x14ac:dyDescent="0.2">
      <c r="A2299" s="334" t="s">
        <v>1578</v>
      </c>
      <c r="B2299" s="380"/>
      <c r="C2299" s="334" t="s">
        <v>22</v>
      </c>
      <c r="D2299" s="377"/>
      <c r="E2299" s="380"/>
      <c r="F2299" s="378"/>
      <c r="G2299" s="380"/>
      <c r="H2299" s="380"/>
      <c r="I2299" s="399"/>
      <c r="J2299" s="377">
        <v>0</v>
      </c>
      <c r="K2299" s="380"/>
      <c r="L2299" s="378"/>
      <c r="M2299" s="380"/>
      <c r="N2299" s="380"/>
      <c r="O2299" s="380"/>
      <c r="P2299" s="380"/>
      <c r="Q2299" s="380"/>
    </row>
    <row r="2300" spans="1:17" x14ac:dyDescent="0.2">
      <c r="A2300" s="334" t="s">
        <v>1738</v>
      </c>
      <c r="B2300" s="380"/>
      <c r="C2300" s="334" t="s">
        <v>1591</v>
      </c>
      <c r="D2300" s="377"/>
      <c r="E2300" s="380"/>
      <c r="F2300" s="378"/>
      <c r="G2300" s="380"/>
      <c r="H2300" s="380"/>
      <c r="I2300" s="399"/>
      <c r="J2300" s="377">
        <v>0</v>
      </c>
      <c r="K2300" s="380"/>
      <c r="L2300" s="378"/>
      <c r="M2300" s="380"/>
      <c r="N2300" s="380"/>
      <c r="O2300" s="380"/>
      <c r="P2300" s="380"/>
      <c r="Q2300" s="380"/>
    </row>
    <row r="2301" spans="1:17" x14ac:dyDescent="0.2">
      <c r="A2301" s="334" t="s">
        <v>1727</v>
      </c>
      <c r="B2301" s="380"/>
      <c r="C2301" s="334" t="s">
        <v>307</v>
      </c>
      <c r="D2301" s="377"/>
      <c r="E2301" s="380"/>
      <c r="F2301" s="378"/>
      <c r="G2301" s="380"/>
      <c r="H2301" s="380"/>
      <c r="I2301" s="399"/>
      <c r="J2301" s="377">
        <v>0</v>
      </c>
      <c r="K2301" s="380"/>
      <c r="L2301" s="378"/>
      <c r="M2301" s="380"/>
      <c r="N2301" s="380"/>
      <c r="O2301" s="380"/>
      <c r="P2301" s="380"/>
      <c r="Q2301" s="380"/>
    </row>
    <row r="2302" spans="1:17" x14ac:dyDescent="0.2">
      <c r="A2302" s="334" t="s">
        <v>1728</v>
      </c>
      <c r="B2302" s="380"/>
      <c r="C2302" s="334" t="s">
        <v>310</v>
      </c>
      <c r="D2302" s="377"/>
      <c r="E2302" s="380"/>
      <c r="F2302" s="378"/>
      <c r="G2302" s="380"/>
      <c r="H2302" s="380"/>
      <c r="I2302" s="399"/>
      <c r="J2302" s="377">
        <v>0</v>
      </c>
      <c r="K2302" s="380"/>
      <c r="L2302" s="378"/>
      <c r="M2302" s="380"/>
      <c r="N2302" s="380"/>
      <c r="O2302" s="380"/>
      <c r="P2302" s="380"/>
      <c r="Q2302" s="380"/>
    </row>
    <row r="2303" spans="1:17" x14ac:dyDescent="0.2">
      <c r="A2303" s="334" t="s">
        <v>1729</v>
      </c>
      <c r="B2303" s="380"/>
      <c r="C2303" s="380" t="s">
        <v>1551</v>
      </c>
      <c r="D2303" s="377"/>
      <c r="E2303" s="380"/>
      <c r="F2303" s="378"/>
      <c r="G2303" s="380"/>
      <c r="H2303" s="380"/>
      <c r="I2303" s="399"/>
      <c r="J2303" s="377">
        <v>0</v>
      </c>
      <c r="K2303" s="380"/>
      <c r="L2303" s="378"/>
      <c r="M2303" s="380"/>
      <c r="N2303" s="380"/>
      <c r="O2303" s="380"/>
      <c r="P2303" s="380"/>
      <c r="Q2303" s="380"/>
    </row>
    <row r="2304" spans="1:17" x14ac:dyDescent="0.2">
      <c r="A2304" s="334" t="s">
        <v>1735</v>
      </c>
      <c r="B2304" s="380"/>
      <c r="C2304" s="380" t="s">
        <v>194</v>
      </c>
      <c r="D2304" s="377"/>
      <c r="E2304" s="380"/>
      <c r="F2304" s="378"/>
      <c r="G2304" s="380"/>
      <c r="H2304" s="380"/>
      <c r="I2304" s="399"/>
      <c r="J2304" s="377">
        <v>0</v>
      </c>
      <c r="K2304" s="380"/>
      <c r="L2304" s="378"/>
      <c r="M2304" s="380"/>
      <c r="N2304" s="380"/>
      <c r="O2304" s="380"/>
      <c r="P2304" s="380"/>
      <c r="Q2304" s="380"/>
    </row>
    <row r="2305" spans="1:17" x14ac:dyDescent="0.2">
      <c r="A2305" s="384" t="s">
        <v>1754</v>
      </c>
      <c r="B2305" s="380"/>
      <c r="C2305" s="334" t="s">
        <v>1929</v>
      </c>
      <c r="D2305" s="377"/>
      <c r="E2305" s="380"/>
      <c r="F2305" s="378"/>
      <c r="G2305" s="380"/>
      <c r="H2305" s="380"/>
      <c r="I2305" s="399"/>
      <c r="J2305" s="377">
        <v>0</v>
      </c>
      <c r="K2305" s="380"/>
      <c r="L2305" s="378"/>
      <c r="M2305" s="380"/>
      <c r="N2305" s="380"/>
      <c r="O2305" s="380"/>
      <c r="P2305" s="380"/>
      <c r="Q2305" s="380"/>
    </row>
    <row r="2306" spans="1:17" x14ac:dyDescent="0.2">
      <c r="A2306" s="334" t="s">
        <v>1572</v>
      </c>
      <c r="B2306" s="380"/>
      <c r="C2306" s="334" t="s">
        <v>3134</v>
      </c>
      <c r="D2306" s="377"/>
      <c r="E2306" s="380"/>
      <c r="F2306" s="378"/>
      <c r="G2306" s="380"/>
      <c r="H2306" s="380"/>
      <c r="I2306" s="399"/>
      <c r="J2306" s="377">
        <v>0</v>
      </c>
      <c r="K2306" s="380"/>
      <c r="L2306" s="378"/>
      <c r="M2306" s="380"/>
      <c r="N2306" s="380"/>
      <c r="O2306" s="380"/>
      <c r="P2306" s="380"/>
      <c r="Q2306" s="380"/>
    </row>
    <row r="2307" spans="1:17" x14ac:dyDescent="0.2">
      <c r="A2307" s="334" t="s">
        <v>1566</v>
      </c>
      <c r="B2307" s="380"/>
      <c r="C2307" s="334" t="s">
        <v>366</v>
      </c>
      <c r="D2307" s="377"/>
      <c r="E2307" s="380"/>
      <c r="F2307" s="378"/>
      <c r="G2307" s="380"/>
      <c r="H2307" s="380"/>
      <c r="I2307" s="399"/>
      <c r="J2307" s="377">
        <v>0</v>
      </c>
      <c r="K2307" s="380"/>
      <c r="L2307" s="378"/>
      <c r="M2307" s="380"/>
      <c r="N2307" s="380"/>
      <c r="O2307" s="380"/>
      <c r="P2307" s="380"/>
      <c r="Q2307" s="380"/>
    </row>
    <row r="2308" spans="1:17" x14ac:dyDescent="0.2">
      <c r="A2308" s="384" t="s">
        <v>1962</v>
      </c>
      <c r="B2308" s="380"/>
      <c r="C2308" s="380" t="s">
        <v>572</v>
      </c>
      <c r="D2308" s="377"/>
      <c r="E2308" s="380"/>
      <c r="F2308" s="378"/>
      <c r="G2308" s="380"/>
      <c r="H2308" s="380"/>
      <c r="I2308" s="399"/>
      <c r="J2308" s="377">
        <v>0</v>
      </c>
      <c r="K2308" s="380"/>
      <c r="L2308" s="378"/>
      <c r="M2308" s="380"/>
      <c r="N2308" s="380"/>
      <c r="O2308" s="380"/>
      <c r="P2308" s="380"/>
      <c r="Q2308" s="380"/>
    </row>
    <row r="2309" spans="1:17" x14ac:dyDescent="0.2">
      <c r="A2309" s="334" t="s">
        <v>342</v>
      </c>
      <c r="B2309" s="380"/>
      <c r="C2309" s="334" t="s">
        <v>342</v>
      </c>
      <c r="D2309" s="410" t="s">
        <v>342</v>
      </c>
      <c r="E2309" s="380"/>
      <c r="F2309" s="378"/>
      <c r="G2309" s="380"/>
      <c r="H2309" s="380"/>
      <c r="I2309" s="385"/>
      <c r="J2309" s="410" t="s">
        <v>342</v>
      </c>
      <c r="K2309" s="380"/>
      <c r="L2309" s="378"/>
      <c r="M2309" s="380"/>
      <c r="N2309" s="380"/>
      <c r="O2309" s="380"/>
      <c r="P2309" s="380"/>
      <c r="Q2309" s="380"/>
    </row>
    <row r="2310" spans="1:17" x14ac:dyDescent="0.2">
      <c r="A2310" s="334" t="s">
        <v>342</v>
      </c>
      <c r="B2310" s="380"/>
      <c r="C2310" s="334" t="s">
        <v>342</v>
      </c>
      <c r="D2310" s="334">
        <f>SUM(D2292:D2308)</f>
        <v>0</v>
      </c>
      <c r="E2310" s="380"/>
      <c r="F2310" s="378"/>
      <c r="G2310" s="380"/>
      <c r="H2310" s="380"/>
      <c r="I2310" s="385"/>
      <c r="J2310" s="334">
        <f>SUM(J2292:J2308)</f>
        <v>0</v>
      </c>
      <c r="K2310" s="380"/>
      <c r="L2310" s="378"/>
      <c r="M2310" s="380"/>
      <c r="N2310" s="380"/>
      <c r="O2310" s="380"/>
      <c r="P2310" s="380"/>
      <c r="Q2310" s="380"/>
    </row>
    <row r="2311" spans="1:17" ht="15.75" thickTop="1" x14ac:dyDescent="0.2">
      <c r="A2311" s="334" t="s">
        <v>342</v>
      </c>
      <c r="B2311" s="380"/>
      <c r="C2311" s="334" t="s">
        <v>342</v>
      </c>
      <c r="D2311" s="400" t="s">
        <v>342</v>
      </c>
      <c r="E2311" s="380"/>
      <c r="F2311" s="378"/>
      <c r="G2311" s="380"/>
      <c r="H2311" s="380"/>
      <c r="I2311" s="385"/>
      <c r="J2311" s="400" t="s">
        <v>342</v>
      </c>
      <c r="K2311" s="380"/>
      <c r="L2311" s="378"/>
      <c r="M2311" s="380"/>
      <c r="N2311" s="380"/>
      <c r="O2311" s="380"/>
      <c r="P2311" s="380"/>
      <c r="Q2311" s="380"/>
    </row>
    <row r="2312" spans="1:17" x14ac:dyDescent="0.2">
      <c r="A2312" s="334" t="s">
        <v>342</v>
      </c>
      <c r="B2312" s="380"/>
      <c r="C2312" s="334" t="s">
        <v>342</v>
      </c>
      <c r="D2312" s="334" t="s">
        <v>342</v>
      </c>
      <c r="E2312" s="380"/>
      <c r="F2312" s="378"/>
      <c r="G2312" s="380"/>
      <c r="H2312" s="380"/>
      <c r="I2312" s="385"/>
      <c r="J2312" s="334" t="s">
        <v>342</v>
      </c>
      <c r="K2312" s="380"/>
      <c r="L2312" s="378"/>
      <c r="M2312" s="380"/>
      <c r="N2312" s="380"/>
      <c r="O2312" s="380"/>
      <c r="P2312" s="380"/>
      <c r="Q2312" s="380"/>
    </row>
    <row r="2313" spans="1:17" x14ac:dyDescent="0.2">
      <c r="A2313" s="334" t="s">
        <v>342</v>
      </c>
      <c r="B2313" s="380"/>
      <c r="C2313" s="334" t="s">
        <v>342</v>
      </c>
      <c r="D2313" s="334" t="s">
        <v>342</v>
      </c>
      <c r="E2313" s="380"/>
      <c r="F2313" s="378"/>
      <c r="G2313" s="380"/>
      <c r="H2313" s="380"/>
      <c r="I2313" s="385"/>
      <c r="J2313" s="334" t="s">
        <v>342</v>
      </c>
      <c r="K2313" s="380"/>
      <c r="L2313" s="378"/>
      <c r="M2313" s="380"/>
      <c r="N2313" s="380"/>
      <c r="O2313" s="380"/>
      <c r="P2313" s="380"/>
      <c r="Q2313" s="380"/>
    </row>
    <row r="2314" spans="1:17" x14ac:dyDescent="0.2">
      <c r="A2314" s="334" t="s">
        <v>1810</v>
      </c>
      <c r="B2314" s="377"/>
      <c r="C2314" s="377"/>
      <c r="D2314" s="334" t="s">
        <v>342</v>
      </c>
      <c r="E2314" s="377"/>
      <c r="F2314" s="378"/>
      <c r="G2314" s="377"/>
      <c r="H2314" s="377"/>
      <c r="I2314" s="385"/>
      <c r="J2314" s="334" t="s">
        <v>342</v>
      </c>
      <c r="K2314" s="377"/>
      <c r="L2314" s="378"/>
      <c r="M2314" s="377"/>
      <c r="N2314" s="377"/>
      <c r="O2314" s="380"/>
      <c r="P2314" s="380"/>
      <c r="Q2314" s="380"/>
    </row>
    <row r="2315" spans="1:17" x14ac:dyDescent="0.2">
      <c r="A2315" s="334" t="s">
        <v>342</v>
      </c>
      <c r="B2315" s="380"/>
      <c r="C2315" s="384" t="s">
        <v>2142</v>
      </c>
      <c r="D2315" s="380"/>
      <c r="E2315" s="380"/>
      <c r="F2315" s="378"/>
      <c r="G2315" s="380"/>
      <c r="H2315" s="380"/>
      <c r="I2315" s="382"/>
      <c r="J2315" s="380"/>
      <c r="K2315" s="380"/>
      <c r="L2315" s="378"/>
      <c r="M2315" s="380"/>
      <c r="N2315" s="380"/>
      <c r="O2315" s="380"/>
      <c r="P2315" s="380"/>
      <c r="Q2315" s="380"/>
    </row>
    <row r="2316" spans="1:17" x14ac:dyDescent="0.2">
      <c r="A2316" s="334" t="s">
        <v>342</v>
      </c>
      <c r="B2316" s="380"/>
      <c r="C2316" s="334" t="s">
        <v>342</v>
      </c>
      <c r="D2316" s="334" t="s">
        <v>342</v>
      </c>
      <c r="E2316" s="380"/>
      <c r="F2316" s="378"/>
      <c r="G2316" s="380"/>
      <c r="H2316" s="380"/>
      <c r="I2316" s="385"/>
      <c r="J2316" s="334" t="s">
        <v>342</v>
      </c>
      <c r="K2316" s="380"/>
      <c r="L2316" s="378"/>
      <c r="M2316" s="380"/>
      <c r="N2316" s="380"/>
      <c r="O2316" s="380"/>
      <c r="P2316" s="380"/>
      <c r="Q2316" s="380"/>
    </row>
    <row r="2317" spans="1:17" x14ac:dyDescent="0.2">
      <c r="A2317" s="334" t="s">
        <v>1574</v>
      </c>
      <c r="B2317" s="380"/>
      <c r="C2317" s="334" t="s">
        <v>1880</v>
      </c>
      <c r="D2317" s="334" t="s">
        <v>181</v>
      </c>
      <c r="E2317" s="380"/>
      <c r="F2317" s="378"/>
      <c r="G2317" s="380"/>
      <c r="H2317" s="380"/>
      <c r="I2317" s="385"/>
      <c r="J2317" s="334" t="s">
        <v>181</v>
      </c>
      <c r="K2317" s="380"/>
      <c r="L2317" s="378"/>
      <c r="M2317" s="380"/>
      <c r="N2317" s="380"/>
      <c r="O2317" s="380"/>
      <c r="P2317" s="380"/>
      <c r="Q2317" s="380"/>
    </row>
    <row r="2318" spans="1:17" x14ac:dyDescent="0.2">
      <c r="A2318" s="334" t="s">
        <v>342</v>
      </c>
      <c r="B2318" s="380"/>
      <c r="C2318" s="334" t="s">
        <v>342</v>
      </c>
      <c r="D2318" s="334" t="s">
        <v>342</v>
      </c>
      <c r="E2318" s="380"/>
      <c r="F2318" s="378"/>
      <c r="G2318" s="380"/>
      <c r="H2318" s="380"/>
      <c r="I2318" s="385"/>
      <c r="J2318" s="334" t="s">
        <v>342</v>
      </c>
      <c r="K2318" s="380"/>
      <c r="L2318" s="378"/>
      <c r="M2318" s="380"/>
      <c r="N2318" s="380"/>
      <c r="O2318" s="380"/>
      <c r="P2318" s="380"/>
      <c r="Q2318" s="380"/>
    </row>
    <row r="2319" spans="1:17" x14ac:dyDescent="0.2">
      <c r="A2319" s="391" t="s">
        <v>1743</v>
      </c>
      <c r="B2319" s="380"/>
      <c r="C2319" s="334" t="s">
        <v>1886</v>
      </c>
      <c r="D2319" s="377">
        <v>450</v>
      </c>
      <c r="E2319" s="380"/>
      <c r="F2319" s="378"/>
      <c r="G2319" s="380"/>
      <c r="H2319" s="380"/>
      <c r="I2319" s="399"/>
      <c r="J2319" s="377">
        <v>450</v>
      </c>
      <c r="K2319" s="380"/>
      <c r="L2319" s="378"/>
      <c r="M2319" s="380"/>
      <c r="N2319" s="380"/>
      <c r="O2319" s="380"/>
      <c r="P2319" s="380"/>
      <c r="Q2319" s="380"/>
    </row>
    <row r="2320" spans="1:17" x14ac:dyDescent="0.2">
      <c r="A2320" s="334" t="s">
        <v>1724</v>
      </c>
      <c r="B2320" s="380"/>
      <c r="C2320" s="334" t="s">
        <v>1881</v>
      </c>
      <c r="D2320" s="377">
        <v>450</v>
      </c>
      <c r="E2320" s="380"/>
      <c r="F2320" s="378"/>
      <c r="G2320" s="380"/>
      <c r="H2320" s="380"/>
      <c r="I2320" s="399"/>
      <c r="J2320" s="377">
        <v>450</v>
      </c>
      <c r="K2320" s="380"/>
      <c r="L2320" s="378"/>
      <c r="M2320" s="380"/>
      <c r="N2320" s="380"/>
      <c r="O2320" s="380"/>
      <c r="P2320" s="380"/>
      <c r="Q2320" s="380"/>
    </row>
    <row r="2321" spans="1:17" x14ac:dyDescent="0.2">
      <c r="A2321" s="334" t="s">
        <v>1736</v>
      </c>
      <c r="B2321" s="380"/>
      <c r="C2321" s="334" t="s">
        <v>1747</v>
      </c>
      <c r="D2321" s="377">
        <v>450</v>
      </c>
      <c r="E2321" s="380"/>
      <c r="F2321" s="378"/>
      <c r="G2321" s="380"/>
      <c r="H2321" s="380"/>
      <c r="I2321" s="399"/>
      <c r="J2321" s="377">
        <v>450</v>
      </c>
      <c r="K2321" s="380"/>
      <c r="L2321" s="378"/>
      <c r="M2321" s="380"/>
      <c r="N2321" s="380"/>
      <c r="O2321" s="380"/>
      <c r="P2321" s="380"/>
      <c r="Q2321" s="380"/>
    </row>
    <row r="2322" spans="1:17" x14ac:dyDescent="0.2">
      <c r="A2322" s="334" t="s">
        <v>1744</v>
      </c>
      <c r="B2322" s="380"/>
      <c r="C2322" s="334" t="s">
        <v>1254</v>
      </c>
      <c r="D2322" s="377"/>
      <c r="E2322" s="380"/>
      <c r="F2322" s="378"/>
      <c r="G2322" s="380"/>
      <c r="H2322" s="380"/>
      <c r="I2322" s="399"/>
      <c r="J2322" s="377"/>
      <c r="K2322" s="380"/>
      <c r="L2322" s="378"/>
      <c r="M2322" s="380"/>
      <c r="N2322" s="380"/>
      <c r="O2322" s="380"/>
      <c r="P2322" s="380"/>
      <c r="Q2322" s="380"/>
    </row>
    <row r="2323" spans="1:17" x14ac:dyDescent="0.2">
      <c r="A2323" s="334" t="s">
        <v>1582</v>
      </c>
      <c r="B2323" s="380"/>
      <c r="C2323" s="334" t="s">
        <v>3135</v>
      </c>
      <c r="D2323" s="377">
        <v>270</v>
      </c>
      <c r="E2323" s="380"/>
      <c r="F2323" s="378"/>
      <c r="G2323" s="380"/>
      <c r="H2323" s="380"/>
      <c r="I2323" s="399"/>
      <c r="J2323" s="377">
        <v>270</v>
      </c>
      <c r="K2323" s="380"/>
      <c r="L2323" s="378"/>
      <c r="M2323" s="380"/>
      <c r="N2323" s="380"/>
      <c r="O2323" s="380"/>
      <c r="P2323" s="380"/>
      <c r="Q2323" s="380"/>
    </row>
    <row r="2324" spans="1:17" x14ac:dyDescent="0.2">
      <c r="A2324" s="334" t="s">
        <v>1575</v>
      </c>
      <c r="B2324" s="380"/>
      <c r="C2324" s="334" t="s">
        <v>1889</v>
      </c>
      <c r="D2324" s="377">
        <v>180</v>
      </c>
      <c r="E2324" s="380"/>
      <c r="F2324" s="378"/>
      <c r="G2324" s="380"/>
      <c r="H2324" s="380"/>
      <c r="I2324" s="399"/>
      <c r="J2324" s="377">
        <v>180</v>
      </c>
      <c r="K2324" s="380"/>
      <c r="L2324" s="378"/>
      <c r="M2324" s="380"/>
      <c r="N2324" s="380"/>
      <c r="O2324" s="380"/>
      <c r="P2324" s="380"/>
      <c r="Q2324" s="380"/>
    </row>
    <row r="2325" spans="1:17" x14ac:dyDescent="0.2">
      <c r="A2325" s="334" t="s">
        <v>1725</v>
      </c>
      <c r="B2325" s="380"/>
      <c r="C2325" s="334" t="s">
        <v>1890</v>
      </c>
      <c r="D2325" s="377">
        <v>180</v>
      </c>
      <c r="E2325" s="380"/>
      <c r="F2325" s="378"/>
      <c r="G2325" s="380"/>
      <c r="H2325" s="380"/>
      <c r="I2325" s="399"/>
      <c r="J2325" s="377">
        <v>180</v>
      </c>
      <c r="K2325" s="380"/>
      <c r="L2325" s="378"/>
      <c r="M2325" s="380"/>
      <c r="N2325" s="380"/>
      <c r="O2325" s="380"/>
      <c r="P2325" s="380"/>
      <c r="Q2325" s="380"/>
    </row>
    <row r="2326" spans="1:17" x14ac:dyDescent="0.2">
      <c r="A2326" s="384" t="s">
        <v>1745</v>
      </c>
      <c r="B2326" s="380"/>
      <c r="C2326" s="334" t="s">
        <v>1887</v>
      </c>
      <c r="D2326" s="377"/>
      <c r="E2326" s="380"/>
      <c r="F2326" s="378"/>
      <c r="G2326" s="380"/>
      <c r="H2326" s="380"/>
      <c r="I2326" s="399"/>
      <c r="J2326" s="377"/>
      <c r="K2326" s="380"/>
      <c r="L2326" s="378"/>
      <c r="M2326" s="380"/>
      <c r="N2326" s="380"/>
      <c r="O2326" s="380"/>
      <c r="P2326" s="380"/>
      <c r="Q2326" s="380"/>
    </row>
    <row r="2327" spans="1:17" x14ac:dyDescent="0.2">
      <c r="A2327" s="334" t="s">
        <v>1737</v>
      </c>
      <c r="B2327" s="380"/>
      <c r="C2327" s="334" t="s">
        <v>1984</v>
      </c>
      <c r="D2327" s="377">
        <v>90</v>
      </c>
      <c r="E2327" s="380"/>
      <c r="F2327" s="378"/>
      <c r="G2327" s="380"/>
      <c r="H2327" s="380"/>
      <c r="I2327" s="399"/>
      <c r="J2327" s="377">
        <v>90</v>
      </c>
      <c r="K2327" s="380"/>
      <c r="L2327" s="378"/>
      <c r="M2327" s="380"/>
      <c r="N2327" s="380"/>
      <c r="O2327" s="380"/>
      <c r="P2327" s="380"/>
      <c r="Q2327" s="380"/>
    </row>
    <row r="2328" spans="1:17" x14ac:dyDescent="0.2">
      <c r="A2328" s="334" t="s">
        <v>1726</v>
      </c>
      <c r="B2328" s="380"/>
      <c r="C2328" s="334" t="s">
        <v>1117</v>
      </c>
      <c r="D2328" s="377"/>
      <c r="E2328" s="380"/>
      <c r="F2328" s="378"/>
      <c r="G2328" s="380"/>
      <c r="H2328" s="380"/>
      <c r="I2328" s="399"/>
      <c r="J2328" s="377"/>
      <c r="K2328" s="380"/>
      <c r="L2328" s="378"/>
      <c r="M2328" s="380"/>
      <c r="N2328" s="380"/>
      <c r="O2328" s="380"/>
      <c r="P2328" s="380"/>
      <c r="Q2328" s="380"/>
    </row>
    <row r="2329" spans="1:17" x14ac:dyDescent="0.2">
      <c r="A2329" s="334" t="s">
        <v>1577</v>
      </c>
      <c r="B2329" s="380"/>
      <c r="C2329" s="334" t="s">
        <v>1815</v>
      </c>
      <c r="D2329" s="377"/>
      <c r="E2329" s="380"/>
      <c r="F2329" s="378"/>
      <c r="G2329" s="380"/>
      <c r="H2329" s="380"/>
      <c r="I2329" s="399"/>
      <c r="J2329" s="377"/>
      <c r="K2329" s="380"/>
      <c r="L2329" s="378"/>
      <c r="M2329" s="380"/>
      <c r="N2329" s="380"/>
      <c r="O2329" s="380"/>
      <c r="P2329" s="380"/>
      <c r="Q2329" s="380"/>
    </row>
    <row r="2330" spans="1:17" x14ac:dyDescent="0.2">
      <c r="A2330" s="334" t="s">
        <v>1734</v>
      </c>
      <c r="B2330" s="380"/>
      <c r="C2330" s="334" t="s">
        <v>1746</v>
      </c>
      <c r="D2330" s="377">
        <v>630</v>
      </c>
      <c r="E2330" s="380"/>
      <c r="F2330" s="378"/>
      <c r="G2330" s="380"/>
      <c r="H2330" s="380"/>
      <c r="I2330" s="399"/>
      <c r="J2330" s="377">
        <v>630</v>
      </c>
      <c r="K2330" s="380"/>
      <c r="L2330" s="378"/>
      <c r="M2330" s="380"/>
      <c r="N2330" s="380"/>
      <c r="O2330" s="380"/>
      <c r="P2330" s="380"/>
      <c r="Q2330" s="380"/>
    </row>
    <row r="2331" spans="1:17" x14ac:dyDescent="0.2">
      <c r="A2331" s="334" t="s">
        <v>1571</v>
      </c>
      <c r="B2331" s="380"/>
      <c r="C2331" s="334" t="s">
        <v>3</v>
      </c>
      <c r="D2331" s="377"/>
      <c r="E2331" s="380"/>
      <c r="F2331" s="378"/>
      <c r="G2331" s="380"/>
      <c r="H2331" s="380"/>
      <c r="I2331" s="399"/>
      <c r="J2331" s="377"/>
      <c r="K2331" s="380"/>
      <c r="L2331" s="378"/>
      <c r="M2331" s="380"/>
      <c r="N2331" s="380"/>
      <c r="O2331" s="380"/>
      <c r="P2331" s="380"/>
      <c r="Q2331" s="380"/>
    </row>
    <row r="2332" spans="1:17" x14ac:dyDescent="0.2">
      <c r="A2332" s="334" t="s">
        <v>1578</v>
      </c>
      <c r="B2332" s="380"/>
      <c r="C2332" s="334" t="s">
        <v>22</v>
      </c>
      <c r="D2332" s="377"/>
      <c r="E2332" s="380"/>
      <c r="F2332" s="378"/>
      <c r="G2332" s="380"/>
      <c r="H2332" s="380"/>
      <c r="I2332" s="399"/>
      <c r="J2332" s="377"/>
      <c r="K2332" s="380"/>
      <c r="L2332" s="378"/>
      <c r="M2332" s="380"/>
      <c r="N2332" s="380"/>
      <c r="O2332" s="380"/>
      <c r="P2332" s="380"/>
      <c r="Q2332" s="380"/>
    </row>
    <row r="2333" spans="1:17" x14ac:dyDescent="0.2">
      <c r="A2333" s="334" t="s">
        <v>1738</v>
      </c>
      <c r="B2333" s="380"/>
      <c r="C2333" s="334" t="s">
        <v>1591</v>
      </c>
      <c r="D2333" s="377">
        <v>90</v>
      </c>
      <c r="E2333" s="380"/>
      <c r="F2333" s="378"/>
      <c r="G2333" s="380"/>
      <c r="H2333" s="380"/>
      <c r="I2333" s="399"/>
      <c r="J2333" s="377">
        <v>90</v>
      </c>
      <c r="K2333" s="380"/>
      <c r="L2333" s="378"/>
      <c r="M2333" s="380"/>
      <c r="N2333" s="380"/>
      <c r="O2333" s="380"/>
      <c r="P2333" s="380"/>
      <c r="Q2333" s="380"/>
    </row>
    <row r="2334" spans="1:17" x14ac:dyDescent="0.2">
      <c r="A2334" s="334" t="s">
        <v>1727</v>
      </c>
      <c r="B2334" s="380"/>
      <c r="C2334" s="334" t="s">
        <v>307</v>
      </c>
      <c r="D2334" s="377">
        <v>90</v>
      </c>
      <c r="E2334" s="380"/>
      <c r="F2334" s="378"/>
      <c r="G2334" s="380"/>
      <c r="H2334" s="380"/>
      <c r="I2334" s="399"/>
      <c r="J2334" s="377">
        <v>90</v>
      </c>
      <c r="K2334" s="380"/>
      <c r="L2334" s="378"/>
      <c r="M2334" s="380"/>
      <c r="N2334" s="380"/>
      <c r="O2334" s="380"/>
      <c r="P2334" s="380"/>
      <c r="Q2334" s="380"/>
    </row>
    <row r="2335" spans="1:17" x14ac:dyDescent="0.2">
      <c r="A2335" s="334" t="s">
        <v>1728</v>
      </c>
      <c r="B2335" s="380"/>
      <c r="C2335" s="334" t="s">
        <v>310</v>
      </c>
      <c r="D2335" s="377"/>
      <c r="E2335" s="380"/>
      <c r="F2335" s="378"/>
      <c r="G2335" s="380"/>
      <c r="H2335" s="380"/>
      <c r="I2335" s="399"/>
      <c r="J2335" s="377"/>
      <c r="K2335" s="380"/>
      <c r="L2335" s="378"/>
      <c r="M2335" s="380"/>
      <c r="N2335" s="380"/>
      <c r="O2335" s="380"/>
      <c r="P2335" s="380"/>
      <c r="Q2335" s="380"/>
    </row>
    <row r="2336" spans="1:17" x14ac:dyDescent="0.2">
      <c r="A2336" s="334" t="s">
        <v>1729</v>
      </c>
      <c r="B2336" s="380"/>
      <c r="C2336" s="380" t="s">
        <v>1551</v>
      </c>
      <c r="D2336" s="377">
        <f>-621-5000</f>
        <v>-5621</v>
      </c>
      <c r="E2336" s="380"/>
      <c r="F2336" s="378"/>
      <c r="G2336" s="380"/>
      <c r="H2336" s="380"/>
      <c r="I2336" s="399"/>
      <c r="J2336" s="377">
        <v>20</v>
      </c>
      <c r="K2336" s="380"/>
      <c r="L2336" s="378"/>
      <c r="M2336" s="380"/>
      <c r="N2336" s="380"/>
      <c r="O2336" s="380"/>
      <c r="P2336" s="380"/>
      <c r="Q2336" s="380"/>
    </row>
    <row r="2337" spans="1:17" x14ac:dyDescent="0.2">
      <c r="A2337" s="334" t="s">
        <v>1735</v>
      </c>
      <c r="B2337" s="380"/>
      <c r="C2337" s="380" t="s">
        <v>194</v>
      </c>
      <c r="D2337" s="377"/>
      <c r="E2337" s="380"/>
      <c r="F2337" s="378"/>
      <c r="G2337" s="380"/>
      <c r="H2337" s="380"/>
      <c r="I2337" s="399"/>
      <c r="J2337" s="377">
        <v>20</v>
      </c>
      <c r="K2337" s="380"/>
      <c r="L2337" s="378"/>
      <c r="M2337" s="380"/>
      <c r="N2337" s="380"/>
      <c r="O2337" s="380"/>
      <c r="P2337" s="380"/>
      <c r="Q2337" s="380"/>
    </row>
    <row r="2338" spans="1:17" x14ac:dyDescent="0.2">
      <c r="A2338" s="384" t="s">
        <v>1742</v>
      </c>
      <c r="B2338" s="380"/>
      <c r="C2338" s="334" t="s">
        <v>1553</v>
      </c>
      <c r="D2338" s="377"/>
      <c r="E2338" s="380"/>
      <c r="F2338" s="378"/>
      <c r="G2338" s="380"/>
      <c r="H2338" s="380"/>
      <c r="I2338" s="399"/>
      <c r="J2338" s="377">
        <v>1260</v>
      </c>
      <c r="K2338" s="380"/>
      <c r="L2338" s="378"/>
      <c r="M2338" s="380"/>
      <c r="N2338" s="380"/>
      <c r="O2338" s="380"/>
      <c r="P2338" s="380"/>
      <c r="Q2338" s="380"/>
    </row>
    <row r="2339" spans="1:17" x14ac:dyDescent="0.2">
      <c r="A2339" s="384" t="s">
        <v>1754</v>
      </c>
      <c r="B2339" s="380"/>
      <c r="C2339" s="334" t="s">
        <v>1929</v>
      </c>
      <c r="D2339" s="377"/>
      <c r="E2339" s="380"/>
      <c r="F2339" s="378"/>
      <c r="G2339" s="380"/>
      <c r="H2339" s="380"/>
      <c r="I2339" s="399"/>
      <c r="J2339" s="377"/>
      <c r="K2339" s="380"/>
      <c r="L2339" s="378"/>
      <c r="M2339" s="380"/>
      <c r="N2339" s="380"/>
      <c r="O2339" s="380"/>
      <c r="P2339" s="380"/>
      <c r="Q2339" s="380"/>
    </row>
    <row r="2340" spans="1:17" x14ac:dyDescent="0.2">
      <c r="A2340" s="384" t="s">
        <v>1584</v>
      </c>
      <c r="B2340" s="380"/>
      <c r="C2340" s="334" t="s">
        <v>0</v>
      </c>
      <c r="D2340" s="377"/>
      <c r="E2340" s="380"/>
      <c r="F2340" s="378"/>
      <c r="G2340" s="380"/>
      <c r="H2340" s="380"/>
      <c r="I2340" s="399"/>
      <c r="J2340" s="377"/>
      <c r="K2340" s="380"/>
      <c r="L2340" s="378"/>
      <c r="M2340" s="380"/>
      <c r="N2340" s="380"/>
      <c r="O2340" s="380"/>
      <c r="P2340" s="380"/>
      <c r="Q2340" s="380"/>
    </row>
    <row r="2341" spans="1:17" x14ac:dyDescent="0.2">
      <c r="A2341" s="334" t="s">
        <v>1580</v>
      </c>
      <c r="B2341" s="380"/>
      <c r="C2341" s="334" t="s">
        <v>1936</v>
      </c>
      <c r="D2341" s="377"/>
      <c r="E2341" s="380"/>
      <c r="F2341" s="378"/>
      <c r="G2341" s="380"/>
      <c r="H2341" s="380"/>
      <c r="I2341" s="399"/>
      <c r="J2341" s="377"/>
      <c r="K2341" s="380"/>
      <c r="L2341" s="378"/>
      <c r="M2341" s="380"/>
      <c r="N2341" s="380"/>
      <c r="O2341" s="380"/>
      <c r="P2341" s="380"/>
      <c r="Q2341" s="380"/>
    </row>
    <row r="2342" spans="1:17" x14ac:dyDescent="0.2">
      <c r="A2342" s="334" t="s">
        <v>1572</v>
      </c>
      <c r="B2342" s="380"/>
      <c r="C2342" s="334" t="s">
        <v>3134</v>
      </c>
      <c r="D2342" s="377"/>
      <c r="E2342" s="380"/>
      <c r="F2342" s="378"/>
      <c r="G2342" s="380"/>
      <c r="H2342" s="380"/>
      <c r="I2342" s="399"/>
      <c r="J2342" s="377"/>
      <c r="K2342" s="380"/>
      <c r="L2342" s="378"/>
      <c r="M2342" s="380"/>
      <c r="N2342" s="380"/>
      <c r="O2342" s="380"/>
      <c r="P2342" s="380"/>
      <c r="Q2342" s="380"/>
    </row>
    <row r="2343" spans="1:17" x14ac:dyDescent="0.2">
      <c r="A2343" s="334" t="s">
        <v>1730</v>
      </c>
      <c r="B2343" s="380"/>
      <c r="C2343" s="334" t="s">
        <v>1985</v>
      </c>
      <c r="D2343" s="377">
        <v>1280</v>
      </c>
      <c r="E2343" s="380"/>
      <c r="F2343" s="378"/>
      <c r="G2343" s="380"/>
      <c r="H2343" s="380"/>
      <c r="I2343" s="399"/>
      <c r="J2343" s="377"/>
      <c r="K2343" s="380"/>
      <c r="L2343" s="378"/>
      <c r="M2343" s="380"/>
      <c r="N2343" s="380"/>
      <c r="O2343" s="380"/>
      <c r="P2343" s="380"/>
      <c r="Q2343" s="380"/>
    </row>
    <row r="2344" spans="1:17" x14ac:dyDescent="0.2">
      <c r="A2344" s="334" t="s">
        <v>1566</v>
      </c>
      <c r="B2344" s="380"/>
      <c r="C2344" s="334" t="s">
        <v>366</v>
      </c>
      <c r="D2344" s="377">
        <v>400</v>
      </c>
      <c r="E2344" s="380"/>
      <c r="F2344" s="378"/>
      <c r="G2344" s="380"/>
      <c r="H2344" s="380"/>
      <c r="I2344" s="399"/>
      <c r="J2344" s="377">
        <v>400</v>
      </c>
      <c r="K2344" s="380"/>
      <c r="L2344" s="378"/>
      <c r="M2344" s="380"/>
      <c r="N2344" s="380"/>
      <c r="O2344" s="380"/>
      <c r="P2344" s="380"/>
      <c r="Q2344" s="380"/>
    </row>
    <row r="2345" spans="1:17" x14ac:dyDescent="0.2">
      <c r="A2345" s="334" t="s">
        <v>1755</v>
      </c>
      <c r="B2345" s="380"/>
      <c r="C2345" s="380" t="s">
        <v>1986</v>
      </c>
      <c r="D2345" s="377">
        <v>1440</v>
      </c>
      <c r="E2345" s="380"/>
      <c r="F2345" s="378"/>
      <c r="G2345" s="380"/>
      <c r="H2345" s="380"/>
      <c r="I2345" s="399"/>
      <c r="J2345" s="377">
        <v>1440</v>
      </c>
      <c r="K2345" s="380"/>
      <c r="L2345" s="378"/>
      <c r="M2345" s="380"/>
      <c r="N2345" s="380"/>
      <c r="O2345" s="380"/>
      <c r="P2345" s="380"/>
      <c r="Q2345" s="380"/>
    </row>
    <row r="2346" spans="1:17" x14ac:dyDescent="0.2">
      <c r="A2346" s="384" t="s">
        <v>1962</v>
      </c>
      <c r="B2346" s="380"/>
      <c r="C2346" s="380" t="s">
        <v>572</v>
      </c>
      <c r="D2346" s="377">
        <v>1350</v>
      </c>
      <c r="E2346" s="380"/>
      <c r="F2346" s="378"/>
      <c r="G2346" s="380"/>
      <c r="H2346" s="380"/>
      <c r="I2346" s="399"/>
      <c r="J2346" s="377">
        <v>1350</v>
      </c>
      <c r="K2346" s="380"/>
      <c r="L2346" s="378"/>
      <c r="M2346" s="380"/>
      <c r="N2346" s="380"/>
      <c r="O2346" s="380"/>
      <c r="P2346" s="380"/>
      <c r="Q2346" s="380"/>
    </row>
    <row r="2347" spans="1:17" x14ac:dyDescent="0.2">
      <c r="A2347" s="334" t="s">
        <v>342</v>
      </c>
      <c r="B2347" s="380"/>
      <c r="C2347" s="334" t="s">
        <v>342</v>
      </c>
      <c r="D2347" s="410" t="s">
        <v>342</v>
      </c>
      <c r="E2347" s="380"/>
      <c r="F2347" s="378"/>
      <c r="G2347" s="380"/>
      <c r="H2347" s="380"/>
      <c r="I2347" s="385"/>
      <c r="J2347" s="410" t="s">
        <v>342</v>
      </c>
      <c r="K2347" s="380"/>
      <c r="L2347" s="378"/>
      <c r="M2347" s="380"/>
      <c r="N2347" s="380"/>
      <c r="O2347" s="380"/>
      <c r="P2347" s="380"/>
      <c r="Q2347" s="380"/>
    </row>
    <row r="2348" spans="1:17" x14ac:dyDescent="0.2">
      <c r="A2348" s="334" t="s">
        <v>342</v>
      </c>
      <c r="B2348" s="380"/>
      <c r="C2348" s="334" t="s">
        <v>342</v>
      </c>
      <c r="D2348" s="334">
        <f>SUM(D2319:D2346)</f>
        <v>1729</v>
      </c>
      <c r="E2348" s="380"/>
      <c r="F2348" s="378"/>
      <c r="G2348" s="380"/>
      <c r="H2348" s="380"/>
      <c r="I2348" s="385"/>
      <c r="J2348" s="334">
        <f>SUM(J2319:J2346)</f>
        <v>7370</v>
      </c>
      <c r="K2348" s="380"/>
      <c r="L2348" s="378"/>
      <c r="M2348" s="380"/>
      <c r="N2348" s="380"/>
      <c r="O2348" s="380"/>
      <c r="P2348" s="380"/>
      <c r="Q2348" s="380"/>
    </row>
    <row r="2349" spans="1:17" ht="15.75" thickTop="1" x14ac:dyDescent="0.2">
      <c r="A2349" s="380"/>
      <c r="B2349" s="380"/>
      <c r="C2349" s="380"/>
      <c r="D2349" s="395"/>
      <c r="E2349" s="380"/>
      <c r="F2349" s="378"/>
      <c r="G2349" s="380"/>
      <c r="H2349" s="380"/>
      <c r="I2349" s="399"/>
      <c r="J2349" s="395"/>
      <c r="K2349" s="380"/>
      <c r="L2349" s="378"/>
      <c r="M2349" s="380"/>
      <c r="N2349" s="380"/>
      <c r="O2349" s="380"/>
      <c r="P2349" s="380"/>
      <c r="Q2349" s="380"/>
    </row>
    <row r="2350" spans="1:17" x14ac:dyDescent="0.2">
      <c r="A2350" s="380"/>
      <c r="B2350" s="380"/>
      <c r="C2350" s="380"/>
      <c r="D2350" s="380"/>
      <c r="E2350" s="380"/>
      <c r="F2350" s="378"/>
      <c r="G2350" s="380"/>
      <c r="H2350" s="380"/>
      <c r="I2350" s="382"/>
      <c r="J2350" s="380"/>
      <c r="K2350" s="380"/>
      <c r="L2350" s="378"/>
      <c r="M2350" s="380"/>
      <c r="N2350" s="380"/>
      <c r="O2350" s="380"/>
      <c r="P2350" s="380"/>
      <c r="Q2350" s="380"/>
    </row>
    <row r="2351" spans="1:17" x14ac:dyDescent="0.2">
      <c r="A2351" s="380"/>
      <c r="B2351" s="380"/>
      <c r="C2351" s="380"/>
      <c r="D2351" s="380"/>
      <c r="E2351" s="380"/>
      <c r="F2351" s="378"/>
      <c r="G2351" s="380"/>
      <c r="H2351" s="334" t="s">
        <v>342</v>
      </c>
      <c r="I2351" s="382"/>
      <c r="J2351" s="380"/>
      <c r="K2351" s="380"/>
      <c r="L2351" s="378"/>
      <c r="M2351" s="380"/>
      <c r="N2351" s="334" t="s">
        <v>342</v>
      </c>
      <c r="O2351" s="380"/>
      <c r="P2351" s="380"/>
      <c r="Q2351" s="380"/>
    </row>
    <row r="2352" spans="1:17" x14ac:dyDescent="0.2">
      <c r="A2352" s="334" t="s">
        <v>1811</v>
      </c>
      <c r="B2352" s="377"/>
      <c r="C2352" s="377"/>
      <c r="D2352" s="377"/>
      <c r="E2352" s="377"/>
      <c r="F2352" s="378"/>
      <c r="G2352" s="377"/>
      <c r="H2352" s="334" t="s">
        <v>342</v>
      </c>
      <c r="I2352" s="399"/>
      <c r="J2352" s="377"/>
      <c r="K2352" s="377"/>
      <c r="L2352" s="378"/>
      <c r="M2352" s="377"/>
      <c r="N2352" s="334" t="s">
        <v>342</v>
      </c>
      <c r="O2352" s="380"/>
      <c r="P2352" s="380"/>
      <c r="Q2352" s="380"/>
    </row>
    <row r="2353" spans="1:17" x14ac:dyDescent="0.2">
      <c r="A2353" s="380"/>
      <c r="B2353" s="380"/>
      <c r="C2353" s="384" t="s">
        <v>2143</v>
      </c>
      <c r="D2353" s="380"/>
      <c r="E2353" s="380"/>
      <c r="F2353" s="378"/>
      <c r="G2353" s="380"/>
      <c r="H2353" s="380"/>
      <c r="I2353" s="382"/>
      <c r="J2353" s="380"/>
      <c r="K2353" s="380"/>
      <c r="L2353" s="378"/>
      <c r="M2353" s="380"/>
      <c r="N2353" s="380"/>
      <c r="O2353" s="380"/>
      <c r="P2353" s="380"/>
      <c r="Q2353" s="380"/>
    </row>
    <row r="2354" spans="1:17" x14ac:dyDescent="0.2">
      <c r="A2354" s="380"/>
      <c r="B2354" s="380"/>
      <c r="C2354" s="380"/>
      <c r="D2354" s="380"/>
      <c r="E2354" s="380"/>
      <c r="F2354" s="378"/>
      <c r="G2354" s="380"/>
      <c r="H2354" s="380"/>
      <c r="I2354" s="382"/>
      <c r="J2354" s="380"/>
      <c r="K2354" s="380"/>
      <c r="L2354" s="378"/>
      <c r="M2354" s="380"/>
      <c r="N2354" s="380"/>
      <c r="O2354" s="380"/>
      <c r="P2354" s="380"/>
      <c r="Q2354" s="380"/>
    </row>
    <row r="2355" spans="1:17" x14ac:dyDescent="0.2">
      <c r="A2355" s="334" t="s">
        <v>1723</v>
      </c>
      <c r="B2355" s="380"/>
      <c r="C2355" s="334" t="s">
        <v>1880</v>
      </c>
      <c r="D2355" s="334" t="s">
        <v>181</v>
      </c>
      <c r="E2355" s="380"/>
      <c r="F2355" s="378"/>
      <c r="G2355" s="380"/>
      <c r="H2355" s="380"/>
      <c r="I2355" s="385"/>
      <c r="J2355" s="334" t="s">
        <v>181</v>
      </c>
      <c r="K2355" s="380"/>
      <c r="L2355" s="378"/>
      <c r="M2355" s="380"/>
      <c r="N2355" s="380"/>
      <c r="O2355" s="380"/>
      <c r="P2355" s="380"/>
      <c r="Q2355" s="380"/>
    </row>
    <row r="2356" spans="1:17" x14ac:dyDescent="0.2">
      <c r="A2356" s="380"/>
      <c r="B2356" s="380"/>
      <c r="C2356" s="334" t="s">
        <v>342</v>
      </c>
      <c r="D2356" s="334" t="s">
        <v>342</v>
      </c>
      <c r="E2356" s="380"/>
      <c r="F2356" s="378"/>
      <c r="G2356" s="380"/>
      <c r="H2356" s="380"/>
      <c r="I2356" s="385"/>
      <c r="J2356" s="334" t="s">
        <v>342</v>
      </c>
      <c r="K2356" s="380"/>
      <c r="L2356" s="378"/>
      <c r="M2356" s="380"/>
      <c r="N2356" s="380"/>
      <c r="O2356" s="380"/>
      <c r="P2356" s="380"/>
      <c r="Q2356" s="380"/>
    </row>
    <row r="2357" spans="1:17" x14ac:dyDescent="0.2">
      <c r="A2357" s="334" t="s">
        <v>1724</v>
      </c>
      <c r="B2357" s="380"/>
      <c r="C2357" s="334" t="s">
        <v>1881</v>
      </c>
      <c r="D2357" s="377">
        <v>135</v>
      </c>
      <c r="E2357" s="380"/>
      <c r="F2357" s="378"/>
      <c r="G2357" s="380"/>
      <c r="H2357" s="380"/>
      <c r="I2357" s="399"/>
      <c r="J2357" s="377">
        <v>135</v>
      </c>
      <c r="K2357" s="380"/>
      <c r="L2357" s="378"/>
      <c r="M2357" s="380"/>
      <c r="N2357" s="380"/>
      <c r="O2357" s="380"/>
      <c r="P2357" s="380"/>
      <c r="Q2357" s="380"/>
    </row>
    <row r="2358" spans="1:17" x14ac:dyDescent="0.2">
      <c r="A2358" s="334" t="s">
        <v>1736</v>
      </c>
      <c r="B2358" s="380"/>
      <c r="C2358" s="334" t="s">
        <v>1747</v>
      </c>
      <c r="D2358" s="377"/>
      <c r="E2358" s="380"/>
      <c r="F2358" s="378"/>
      <c r="G2358" s="380"/>
      <c r="H2358" s="380"/>
      <c r="I2358" s="399"/>
      <c r="J2358" s="377"/>
      <c r="K2358" s="380"/>
      <c r="L2358" s="378"/>
      <c r="M2358" s="380"/>
      <c r="N2358" s="380"/>
      <c r="O2358" s="380"/>
      <c r="P2358" s="380"/>
      <c r="Q2358" s="380"/>
    </row>
    <row r="2359" spans="1:17" x14ac:dyDescent="0.2">
      <c r="A2359" s="334" t="s">
        <v>1725</v>
      </c>
      <c r="B2359" s="380"/>
      <c r="C2359" s="334" t="s">
        <v>1890</v>
      </c>
      <c r="D2359" s="377">
        <v>180</v>
      </c>
      <c r="E2359" s="380"/>
      <c r="F2359" s="378"/>
      <c r="G2359" s="380"/>
      <c r="H2359" s="380"/>
      <c r="I2359" s="399"/>
      <c r="J2359" s="377">
        <v>180</v>
      </c>
      <c r="K2359" s="380"/>
      <c r="L2359" s="378"/>
      <c r="M2359" s="380"/>
      <c r="N2359" s="380"/>
      <c r="O2359" s="380"/>
      <c r="P2359" s="380"/>
      <c r="Q2359" s="380"/>
    </row>
    <row r="2360" spans="1:17" x14ac:dyDescent="0.2">
      <c r="A2360" s="384" t="s">
        <v>1726</v>
      </c>
      <c r="B2360" s="380"/>
      <c r="C2360" s="334" t="s">
        <v>1117</v>
      </c>
      <c r="D2360" s="377"/>
      <c r="E2360" s="380"/>
      <c r="F2360" s="378"/>
      <c r="G2360" s="380"/>
      <c r="H2360" s="380"/>
      <c r="I2360" s="399"/>
      <c r="J2360" s="377"/>
      <c r="K2360" s="380"/>
      <c r="L2360" s="378"/>
      <c r="M2360" s="380"/>
      <c r="N2360" s="380"/>
      <c r="O2360" s="380"/>
      <c r="P2360" s="380"/>
      <c r="Q2360" s="380"/>
    </row>
    <row r="2361" spans="1:17" x14ac:dyDescent="0.2">
      <c r="A2361" s="334" t="s">
        <v>1734</v>
      </c>
      <c r="B2361" s="380"/>
      <c r="C2361" s="334" t="s">
        <v>1746</v>
      </c>
      <c r="D2361" s="377">
        <v>110</v>
      </c>
      <c r="E2361" s="380"/>
      <c r="F2361" s="378"/>
      <c r="G2361" s="380"/>
      <c r="H2361" s="380"/>
      <c r="I2361" s="399"/>
      <c r="J2361" s="377">
        <v>110</v>
      </c>
      <c r="K2361" s="380"/>
      <c r="L2361" s="378"/>
      <c r="M2361" s="380"/>
      <c r="N2361" s="380"/>
      <c r="O2361" s="380"/>
      <c r="P2361" s="380"/>
      <c r="Q2361" s="380"/>
    </row>
    <row r="2362" spans="1:17" x14ac:dyDescent="0.2">
      <c r="A2362" s="334" t="s">
        <v>1738</v>
      </c>
      <c r="B2362" s="380"/>
      <c r="C2362" s="334" t="s">
        <v>1591</v>
      </c>
      <c r="D2362" s="377">
        <v>90</v>
      </c>
      <c r="E2362" s="380"/>
      <c r="F2362" s="378"/>
      <c r="G2362" s="380"/>
      <c r="H2362" s="380"/>
      <c r="I2362" s="399"/>
      <c r="J2362" s="377">
        <v>90</v>
      </c>
      <c r="K2362" s="380"/>
      <c r="L2362" s="378"/>
      <c r="M2362" s="380"/>
      <c r="N2362" s="380"/>
      <c r="O2362" s="380"/>
      <c r="P2362" s="380"/>
      <c r="Q2362" s="380"/>
    </row>
    <row r="2363" spans="1:17" x14ac:dyDescent="0.2">
      <c r="A2363" s="334" t="s">
        <v>1727</v>
      </c>
      <c r="B2363" s="380"/>
      <c r="C2363" s="334" t="s">
        <v>307</v>
      </c>
      <c r="D2363" s="377">
        <v>90</v>
      </c>
      <c r="E2363" s="380"/>
      <c r="F2363" s="378"/>
      <c r="G2363" s="380"/>
      <c r="H2363" s="380"/>
      <c r="I2363" s="399"/>
      <c r="J2363" s="377">
        <v>90</v>
      </c>
      <c r="K2363" s="380"/>
      <c r="L2363" s="378"/>
      <c r="M2363" s="380"/>
      <c r="N2363" s="380"/>
      <c r="O2363" s="380"/>
      <c r="P2363" s="380"/>
      <c r="Q2363" s="380"/>
    </row>
    <row r="2364" spans="1:17" x14ac:dyDescent="0.2">
      <c r="A2364" s="334" t="s">
        <v>1728</v>
      </c>
      <c r="B2364" s="380"/>
      <c r="C2364" s="334" t="s">
        <v>310</v>
      </c>
      <c r="D2364" s="377"/>
      <c r="E2364" s="380"/>
      <c r="F2364" s="378"/>
      <c r="G2364" s="380"/>
      <c r="H2364" s="380"/>
      <c r="I2364" s="399"/>
      <c r="J2364" s="377"/>
      <c r="K2364" s="380"/>
      <c r="L2364" s="378"/>
      <c r="M2364" s="380"/>
      <c r="N2364" s="380"/>
      <c r="O2364" s="380"/>
      <c r="P2364" s="380"/>
      <c r="Q2364" s="380"/>
    </row>
    <row r="2365" spans="1:17" x14ac:dyDescent="0.2">
      <c r="A2365" s="384" t="s">
        <v>1729</v>
      </c>
      <c r="B2365" s="380"/>
      <c r="C2365" s="380" t="s">
        <v>1551</v>
      </c>
      <c r="D2365" s="377">
        <v>-245</v>
      </c>
      <c r="E2365" s="380"/>
      <c r="F2365" s="378"/>
      <c r="G2365" s="380"/>
      <c r="H2365" s="380"/>
      <c r="I2365" s="399"/>
      <c r="J2365" s="377">
        <v>25</v>
      </c>
      <c r="K2365" s="380"/>
      <c r="L2365" s="378"/>
      <c r="M2365" s="380"/>
      <c r="N2365" s="380"/>
      <c r="O2365" s="380"/>
      <c r="P2365" s="380"/>
      <c r="Q2365" s="380"/>
    </row>
    <row r="2366" spans="1:17" x14ac:dyDescent="0.2">
      <c r="A2366" s="334" t="s">
        <v>1572</v>
      </c>
      <c r="B2366" s="380"/>
      <c r="C2366" s="334" t="s">
        <v>3134</v>
      </c>
      <c r="D2366" s="377"/>
      <c r="E2366" s="380"/>
      <c r="F2366" s="378"/>
      <c r="G2366" s="380"/>
      <c r="H2366" s="380"/>
      <c r="I2366" s="399"/>
      <c r="J2366" s="377"/>
      <c r="K2366" s="380"/>
      <c r="L2366" s="378"/>
      <c r="M2366" s="380"/>
      <c r="N2366" s="380"/>
      <c r="O2366" s="380"/>
      <c r="P2366" s="380"/>
      <c r="Q2366" s="380"/>
    </row>
    <row r="2367" spans="1:17" x14ac:dyDescent="0.2">
      <c r="A2367" s="334" t="s">
        <v>1566</v>
      </c>
      <c r="B2367" s="380"/>
      <c r="C2367" s="334" t="s">
        <v>366</v>
      </c>
      <c r="D2367" s="377">
        <v>400</v>
      </c>
      <c r="E2367" s="380"/>
      <c r="F2367" s="378"/>
      <c r="G2367" s="380"/>
      <c r="H2367" s="380"/>
      <c r="I2367" s="399"/>
      <c r="J2367" s="377">
        <v>400</v>
      </c>
      <c r="K2367" s="380"/>
      <c r="L2367" s="378"/>
      <c r="M2367" s="380"/>
      <c r="N2367" s="380"/>
      <c r="O2367" s="380"/>
      <c r="P2367" s="380"/>
      <c r="Q2367" s="380"/>
    </row>
    <row r="2368" spans="1:17" x14ac:dyDescent="0.2">
      <c r="A2368" s="380"/>
      <c r="B2368" s="380"/>
      <c r="C2368" s="380"/>
      <c r="D2368" s="410" t="s">
        <v>342</v>
      </c>
      <c r="E2368" s="380"/>
      <c r="F2368" s="378"/>
      <c r="G2368" s="380"/>
      <c r="H2368" s="380"/>
      <c r="I2368" s="385"/>
      <c r="J2368" s="410" t="s">
        <v>342</v>
      </c>
      <c r="K2368" s="380"/>
      <c r="L2368" s="378"/>
      <c r="M2368" s="380"/>
      <c r="N2368" s="380"/>
      <c r="O2368" s="380"/>
      <c r="P2368" s="380"/>
      <c r="Q2368" s="380"/>
    </row>
    <row r="2369" spans="1:17" x14ac:dyDescent="0.2">
      <c r="A2369" s="380"/>
      <c r="B2369" s="380"/>
      <c r="C2369" s="380"/>
      <c r="D2369" s="334">
        <f>SUM(D2357:D2367)</f>
        <v>760</v>
      </c>
      <c r="E2369" s="380"/>
      <c r="F2369" s="378"/>
      <c r="G2369" s="380"/>
      <c r="H2369" s="380"/>
      <c r="I2369" s="385"/>
      <c r="J2369" s="334">
        <f>SUM(J2357:J2367)</f>
        <v>1030</v>
      </c>
      <c r="K2369" s="380"/>
      <c r="L2369" s="378"/>
      <c r="M2369" s="380"/>
      <c r="N2369" s="380"/>
      <c r="O2369" s="380"/>
      <c r="P2369" s="380"/>
      <c r="Q2369" s="380"/>
    </row>
    <row r="2370" spans="1:17" ht="15.75" thickTop="1" x14ac:dyDescent="0.2">
      <c r="A2370" s="380"/>
      <c r="B2370" s="380"/>
      <c r="C2370" s="380"/>
      <c r="D2370" s="395"/>
      <c r="E2370" s="380"/>
      <c r="F2370" s="378"/>
      <c r="G2370" s="380"/>
      <c r="H2370" s="380"/>
      <c r="I2370" s="399"/>
      <c r="J2370" s="395"/>
      <c r="K2370" s="380"/>
      <c r="L2370" s="378"/>
      <c r="M2370" s="380"/>
      <c r="N2370" s="380"/>
      <c r="O2370" s="380"/>
      <c r="P2370" s="380"/>
      <c r="Q2370" s="380"/>
    </row>
    <row r="2371" spans="1:17" x14ac:dyDescent="0.2">
      <c r="A2371" s="380"/>
      <c r="B2371" s="380"/>
      <c r="C2371" s="380"/>
      <c r="D2371" s="380"/>
      <c r="E2371" s="380"/>
      <c r="F2371" s="378"/>
      <c r="G2371" s="380"/>
      <c r="H2371" s="380"/>
      <c r="I2371" s="382"/>
      <c r="J2371" s="380"/>
      <c r="K2371" s="380"/>
      <c r="L2371" s="378"/>
      <c r="M2371" s="380"/>
      <c r="N2371" s="380"/>
      <c r="O2371" s="380"/>
      <c r="P2371" s="380"/>
      <c r="Q2371" s="380"/>
    </row>
    <row r="2372" spans="1:17" x14ac:dyDescent="0.2">
      <c r="A2372" s="380"/>
      <c r="B2372" s="380"/>
      <c r="C2372" s="380"/>
      <c r="D2372" s="380"/>
      <c r="E2372" s="380"/>
      <c r="F2372" s="378"/>
      <c r="G2372" s="380"/>
      <c r="H2372" s="380"/>
      <c r="I2372" s="382"/>
      <c r="J2372" s="380"/>
      <c r="K2372" s="380"/>
      <c r="L2372" s="378"/>
      <c r="M2372" s="380"/>
      <c r="N2372" s="380"/>
      <c r="O2372" s="380"/>
      <c r="P2372" s="380"/>
      <c r="Q2372" s="380"/>
    </row>
    <row r="2373" spans="1:17" x14ac:dyDescent="0.2">
      <c r="A2373" s="334" t="s">
        <v>1812</v>
      </c>
      <c r="B2373" s="377"/>
      <c r="C2373" s="377"/>
      <c r="D2373" s="334"/>
      <c r="E2373" s="334"/>
      <c r="F2373" s="412"/>
      <c r="G2373" s="334"/>
      <c r="H2373" s="334"/>
      <c r="I2373" s="385"/>
      <c r="J2373" s="334"/>
      <c r="K2373" s="334"/>
      <c r="L2373" s="412"/>
      <c r="M2373" s="334"/>
      <c r="N2373" s="334"/>
      <c r="O2373" s="380"/>
      <c r="P2373" s="380"/>
      <c r="Q2373" s="380"/>
    </row>
    <row r="2374" spans="1:17" x14ac:dyDescent="0.2">
      <c r="A2374" s="334" t="s">
        <v>342</v>
      </c>
      <c r="B2374" s="380"/>
      <c r="C2374" s="384" t="s">
        <v>2144</v>
      </c>
      <c r="D2374" s="380"/>
      <c r="E2374" s="380"/>
      <c r="F2374" s="378"/>
      <c r="G2374" s="380"/>
      <c r="H2374" s="334"/>
      <c r="I2374" s="382"/>
      <c r="J2374" s="380"/>
      <c r="K2374" s="380"/>
      <c r="L2374" s="378"/>
      <c r="M2374" s="380"/>
      <c r="N2374" s="334"/>
      <c r="O2374" s="380"/>
      <c r="P2374" s="380"/>
      <c r="Q2374" s="380"/>
    </row>
    <row r="2375" spans="1:17" x14ac:dyDescent="0.2">
      <c r="A2375" s="380"/>
      <c r="B2375" s="380"/>
      <c r="C2375" s="334" t="s">
        <v>342</v>
      </c>
      <c r="D2375" s="334"/>
      <c r="E2375" s="334"/>
      <c r="F2375" s="412"/>
      <c r="G2375" s="334"/>
      <c r="H2375" s="334"/>
      <c r="I2375" s="385"/>
      <c r="J2375" s="334"/>
      <c r="K2375" s="334"/>
      <c r="L2375" s="412"/>
      <c r="M2375" s="334"/>
      <c r="N2375" s="334"/>
      <c r="O2375" s="380"/>
      <c r="P2375" s="380"/>
      <c r="Q2375" s="380"/>
    </row>
    <row r="2376" spans="1:17" x14ac:dyDescent="0.2">
      <c r="A2376" s="334" t="s">
        <v>1574</v>
      </c>
      <c r="B2376" s="380"/>
      <c r="C2376" s="334" t="s">
        <v>1880</v>
      </c>
      <c r="D2376" s="334" t="s">
        <v>181</v>
      </c>
      <c r="E2376" s="334" t="s">
        <v>181</v>
      </c>
      <c r="F2376" s="412" t="s">
        <v>181</v>
      </c>
      <c r="G2376" s="334"/>
      <c r="H2376" s="334" t="s">
        <v>181</v>
      </c>
      <c r="I2376" s="385"/>
      <c r="J2376" s="334" t="s">
        <v>181</v>
      </c>
      <c r="K2376" s="334" t="s">
        <v>181</v>
      </c>
      <c r="L2376" s="412" t="s">
        <v>181</v>
      </c>
      <c r="M2376" s="334"/>
      <c r="N2376" s="334" t="s">
        <v>181</v>
      </c>
      <c r="O2376" s="380"/>
      <c r="P2376" s="380"/>
      <c r="Q2376" s="380"/>
    </row>
    <row r="2377" spans="1:17" x14ac:dyDescent="0.2">
      <c r="A2377" s="380"/>
      <c r="B2377" s="380"/>
      <c r="C2377" s="380"/>
      <c r="D2377" s="334"/>
      <c r="E2377" s="334"/>
      <c r="F2377" s="412"/>
      <c r="G2377" s="334"/>
      <c r="H2377" s="334"/>
      <c r="I2377" s="385"/>
      <c r="J2377" s="334"/>
      <c r="K2377" s="334"/>
      <c r="L2377" s="412"/>
      <c r="M2377" s="334"/>
      <c r="N2377" s="334"/>
      <c r="O2377" s="380"/>
      <c r="P2377" s="380"/>
      <c r="Q2377" s="380"/>
    </row>
    <row r="2378" spans="1:17" x14ac:dyDescent="0.2">
      <c r="A2378" s="380"/>
      <c r="B2378" s="380"/>
      <c r="C2378" s="380"/>
      <c r="D2378" s="334"/>
      <c r="E2378" s="334"/>
      <c r="F2378" s="412"/>
      <c r="G2378" s="334"/>
      <c r="H2378" s="334"/>
      <c r="I2378" s="385"/>
      <c r="J2378" s="334"/>
      <c r="K2378" s="334"/>
      <c r="L2378" s="412"/>
      <c r="M2378" s="334"/>
      <c r="N2378" s="334"/>
      <c r="O2378" s="380"/>
      <c r="P2378" s="380"/>
      <c r="Q2378" s="380"/>
    </row>
    <row r="2379" spans="1:17" x14ac:dyDescent="0.2">
      <c r="A2379" s="334" t="s">
        <v>1569</v>
      </c>
      <c r="B2379" s="380"/>
      <c r="C2379" s="334" t="s">
        <v>1888</v>
      </c>
      <c r="D2379" s="377"/>
      <c r="E2379" s="377"/>
      <c r="F2379" s="378"/>
      <c r="G2379" s="377"/>
      <c r="H2379" s="377"/>
      <c r="I2379" s="399"/>
      <c r="J2379" s="377"/>
      <c r="K2379" s="377"/>
      <c r="L2379" s="378"/>
      <c r="M2379" s="377"/>
      <c r="N2379" s="377"/>
      <c r="O2379" s="380"/>
      <c r="P2379" s="380"/>
      <c r="Q2379" s="380"/>
    </row>
    <row r="2380" spans="1:17" x14ac:dyDescent="0.2">
      <c r="A2380" s="334" t="s">
        <v>1724</v>
      </c>
      <c r="B2380" s="380"/>
      <c r="C2380" s="334" t="s">
        <v>1881</v>
      </c>
      <c r="D2380" s="377">
        <v>630</v>
      </c>
      <c r="E2380" s="377"/>
      <c r="F2380" s="378"/>
      <c r="G2380" s="377"/>
      <c r="H2380" s="377"/>
      <c r="I2380" s="399"/>
      <c r="J2380" s="377">
        <v>630</v>
      </c>
      <c r="K2380" s="377"/>
      <c r="L2380" s="378"/>
      <c r="M2380" s="377"/>
      <c r="N2380" s="377"/>
      <c r="O2380" s="380"/>
      <c r="P2380" s="380"/>
      <c r="Q2380" s="380"/>
    </row>
    <row r="2381" spans="1:17" x14ac:dyDescent="0.2">
      <c r="A2381" s="334" t="s">
        <v>1736</v>
      </c>
      <c r="B2381" s="380"/>
      <c r="C2381" s="334" t="s">
        <v>1747</v>
      </c>
      <c r="D2381" s="377"/>
      <c r="E2381" s="377"/>
      <c r="F2381" s="378"/>
      <c r="G2381" s="377"/>
      <c r="H2381" s="377"/>
      <c r="I2381" s="399"/>
      <c r="J2381" s="377"/>
      <c r="K2381" s="377"/>
      <c r="L2381" s="378"/>
      <c r="M2381" s="377"/>
      <c r="N2381" s="377"/>
      <c r="O2381" s="380"/>
      <c r="P2381" s="380"/>
      <c r="Q2381" s="380"/>
    </row>
    <row r="2382" spans="1:17" x14ac:dyDescent="0.2">
      <c r="A2382" s="334" t="s">
        <v>1744</v>
      </c>
      <c r="B2382" s="380"/>
      <c r="C2382" s="334" t="s">
        <v>1254</v>
      </c>
      <c r="D2382" s="377">
        <v>400</v>
      </c>
      <c r="E2382" s="377"/>
      <c r="F2382" s="378"/>
      <c r="G2382" s="377"/>
      <c r="H2382" s="377"/>
      <c r="I2382" s="399"/>
      <c r="J2382" s="377">
        <v>400</v>
      </c>
      <c r="K2382" s="377"/>
      <c r="L2382" s="378"/>
      <c r="M2382" s="377"/>
      <c r="N2382" s="377"/>
      <c r="O2382" s="380"/>
      <c r="P2382" s="380"/>
      <c r="Q2382" s="380"/>
    </row>
    <row r="2383" spans="1:17" x14ac:dyDescent="0.2">
      <c r="A2383" s="334" t="s">
        <v>1582</v>
      </c>
      <c r="B2383" s="380"/>
      <c r="C2383" s="334" t="s">
        <v>3135</v>
      </c>
      <c r="D2383" s="377">
        <v>1666</v>
      </c>
      <c r="E2383" s="377"/>
      <c r="F2383" s="378"/>
      <c r="G2383" s="377"/>
      <c r="H2383" s="377"/>
      <c r="I2383" s="399"/>
      <c r="J2383" s="377">
        <v>500</v>
      </c>
      <c r="K2383" s="377"/>
      <c r="L2383" s="378"/>
      <c r="M2383" s="377"/>
      <c r="N2383" s="377"/>
      <c r="O2383" s="380"/>
      <c r="P2383" s="380"/>
      <c r="Q2383" s="380"/>
    </row>
    <row r="2384" spans="1:17" x14ac:dyDescent="0.2">
      <c r="A2384" s="334" t="s">
        <v>1575</v>
      </c>
      <c r="B2384" s="380"/>
      <c r="C2384" s="334" t="s">
        <v>1889</v>
      </c>
      <c r="D2384" s="377"/>
      <c r="E2384" s="377"/>
      <c r="F2384" s="378"/>
      <c r="G2384" s="377"/>
      <c r="H2384" s="377"/>
      <c r="I2384" s="399"/>
      <c r="J2384" s="377"/>
      <c r="K2384" s="377"/>
      <c r="L2384" s="378"/>
      <c r="M2384" s="377"/>
      <c r="N2384" s="377"/>
      <c r="O2384" s="380"/>
      <c r="P2384" s="380"/>
      <c r="Q2384" s="380"/>
    </row>
    <row r="2385" spans="1:17" x14ac:dyDescent="0.2">
      <c r="A2385" s="334" t="s">
        <v>1725</v>
      </c>
      <c r="B2385" s="380"/>
      <c r="C2385" s="334" t="s">
        <v>1890</v>
      </c>
      <c r="D2385" s="377">
        <v>810</v>
      </c>
      <c r="E2385" s="377"/>
      <c r="F2385" s="378"/>
      <c r="G2385" s="377"/>
      <c r="H2385" s="377"/>
      <c r="I2385" s="399"/>
      <c r="J2385" s="377">
        <v>810</v>
      </c>
      <c r="K2385" s="377"/>
      <c r="L2385" s="378"/>
      <c r="M2385" s="377"/>
      <c r="N2385" s="377"/>
      <c r="O2385" s="380"/>
      <c r="P2385" s="380"/>
      <c r="Q2385" s="380"/>
    </row>
    <row r="2386" spans="1:17" x14ac:dyDescent="0.2">
      <c r="A2386" s="384" t="s">
        <v>1745</v>
      </c>
      <c r="B2386" s="380"/>
      <c r="C2386" s="334" t="s">
        <v>1887</v>
      </c>
      <c r="D2386" s="377">
        <v>135</v>
      </c>
      <c r="E2386" s="377"/>
      <c r="F2386" s="378"/>
      <c r="G2386" s="377"/>
      <c r="H2386" s="377"/>
      <c r="I2386" s="399"/>
      <c r="J2386" s="377">
        <v>135</v>
      </c>
      <c r="K2386" s="377"/>
      <c r="L2386" s="378"/>
      <c r="M2386" s="377"/>
      <c r="N2386" s="377"/>
      <c r="O2386" s="380"/>
      <c r="P2386" s="380"/>
      <c r="Q2386" s="380"/>
    </row>
    <row r="2387" spans="1:17" x14ac:dyDescent="0.2">
      <c r="A2387" s="334" t="s">
        <v>1737</v>
      </c>
      <c r="B2387" s="380"/>
      <c r="C2387" s="334" t="s">
        <v>1984</v>
      </c>
      <c r="D2387" s="377">
        <v>605</v>
      </c>
      <c r="E2387" s="377"/>
      <c r="F2387" s="378"/>
      <c r="G2387" s="377"/>
      <c r="H2387" s="377"/>
      <c r="I2387" s="399"/>
      <c r="J2387" s="377">
        <v>605</v>
      </c>
      <c r="K2387" s="377"/>
      <c r="L2387" s="378"/>
      <c r="M2387" s="377"/>
      <c r="N2387" s="377"/>
      <c r="O2387" s="380"/>
      <c r="P2387" s="380"/>
      <c r="Q2387" s="380"/>
    </row>
    <row r="2388" spans="1:17" x14ac:dyDescent="0.2">
      <c r="A2388" s="334" t="s">
        <v>1726</v>
      </c>
      <c r="B2388" s="380"/>
      <c r="C2388" s="334" t="s">
        <v>1117</v>
      </c>
      <c r="D2388" s="377"/>
      <c r="E2388" s="377"/>
      <c r="F2388" s="378"/>
      <c r="G2388" s="377"/>
      <c r="H2388" s="377"/>
      <c r="I2388" s="399"/>
      <c r="J2388" s="377"/>
      <c r="K2388" s="377"/>
      <c r="L2388" s="378"/>
      <c r="M2388" s="377"/>
      <c r="N2388" s="377"/>
      <c r="O2388" s="380"/>
      <c r="P2388" s="380"/>
      <c r="Q2388" s="380"/>
    </row>
    <row r="2389" spans="1:17" x14ac:dyDescent="0.2">
      <c r="A2389" s="334" t="s">
        <v>1577</v>
      </c>
      <c r="B2389" s="380"/>
      <c r="C2389" s="334" t="s">
        <v>1815</v>
      </c>
      <c r="D2389" s="377"/>
      <c r="E2389" s="377"/>
      <c r="F2389" s="378"/>
      <c r="G2389" s="377"/>
      <c r="H2389" s="377"/>
      <c r="I2389" s="399"/>
      <c r="J2389" s="377"/>
      <c r="K2389" s="377"/>
      <c r="L2389" s="378"/>
      <c r="M2389" s="377"/>
      <c r="N2389" s="377"/>
      <c r="O2389" s="380"/>
      <c r="P2389" s="380"/>
      <c r="Q2389" s="380"/>
    </row>
    <row r="2390" spans="1:17" x14ac:dyDescent="0.2">
      <c r="A2390" s="334" t="s">
        <v>1734</v>
      </c>
      <c r="B2390" s="380"/>
      <c r="C2390" s="334" t="s">
        <v>1746</v>
      </c>
      <c r="D2390" s="377"/>
      <c r="E2390" s="377"/>
      <c r="F2390" s="378"/>
      <c r="G2390" s="377"/>
      <c r="H2390" s="377"/>
      <c r="I2390" s="399"/>
      <c r="J2390" s="377"/>
      <c r="K2390" s="377"/>
      <c r="L2390" s="378"/>
      <c r="M2390" s="377"/>
      <c r="N2390" s="377"/>
      <c r="O2390" s="380"/>
      <c r="P2390" s="380"/>
      <c r="Q2390" s="380"/>
    </row>
    <row r="2391" spans="1:17" x14ac:dyDescent="0.2">
      <c r="A2391" s="334" t="s">
        <v>1571</v>
      </c>
      <c r="B2391" s="380"/>
      <c r="C2391" s="334" t="s">
        <v>3</v>
      </c>
      <c r="D2391" s="377"/>
      <c r="E2391" s="377"/>
      <c r="F2391" s="378"/>
      <c r="G2391" s="377"/>
      <c r="H2391" s="377"/>
      <c r="I2391" s="399"/>
      <c r="J2391" s="377"/>
      <c r="K2391" s="377"/>
      <c r="L2391" s="378"/>
      <c r="M2391" s="377"/>
      <c r="N2391" s="377"/>
      <c r="O2391" s="380"/>
      <c r="P2391" s="380"/>
      <c r="Q2391" s="380"/>
    </row>
    <row r="2392" spans="1:17" x14ac:dyDescent="0.2">
      <c r="A2392" s="334" t="s">
        <v>1738</v>
      </c>
      <c r="B2392" s="380"/>
      <c r="C2392" s="334" t="s">
        <v>1591</v>
      </c>
      <c r="D2392" s="377">
        <v>600</v>
      </c>
      <c r="E2392" s="377"/>
      <c r="F2392" s="378"/>
      <c r="G2392" s="377"/>
      <c r="H2392" s="377"/>
      <c r="I2392" s="399"/>
      <c r="J2392" s="377">
        <v>600</v>
      </c>
      <c r="K2392" s="377"/>
      <c r="L2392" s="378"/>
      <c r="M2392" s="377"/>
      <c r="N2392" s="377"/>
      <c r="O2392" s="380"/>
      <c r="P2392" s="380"/>
      <c r="Q2392" s="380"/>
    </row>
    <row r="2393" spans="1:17" x14ac:dyDescent="0.2">
      <c r="A2393" s="334" t="s">
        <v>1727</v>
      </c>
      <c r="B2393" s="380"/>
      <c r="C2393" s="334" t="s">
        <v>307</v>
      </c>
      <c r="D2393" s="377">
        <v>600</v>
      </c>
      <c r="E2393" s="377"/>
      <c r="F2393" s="378"/>
      <c r="G2393" s="377"/>
      <c r="H2393" s="377"/>
      <c r="I2393" s="399"/>
      <c r="J2393" s="377">
        <v>600</v>
      </c>
      <c r="K2393" s="377"/>
      <c r="L2393" s="378"/>
      <c r="M2393" s="377"/>
      <c r="N2393" s="377"/>
      <c r="O2393" s="380"/>
      <c r="P2393" s="380"/>
      <c r="Q2393" s="380"/>
    </row>
    <row r="2394" spans="1:17" x14ac:dyDescent="0.2">
      <c r="A2394" s="334" t="s">
        <v>1728</v>
      </c>
      <c r="B2394" s="380"/>
      <c r="C2394" s="334" t="s">
        <v>310</v>
      </c>
      <c r="D2394" s="377">
        <v>600</v>
      </c>
      <c r="E2394" s="377"/>
      <c r="F2394" s="378"/>
      <c r="G2394" s="377"/>
      <c r="H2394" s="377"/>
      <c r="I2394" s="399"/>
      <c r="J2394" s="377">
        <v>600</v>
      </c>
      <c r="K2394" s="377"/>
      <c r="L2394" s="378"/>
      <c r="M2394" s="377"/>
      <c r="N2394" s="377"/>
      <c r="O2394" s="380"/>
      <c r="P2394" s="380"/>
      <c r="Q2394" s="380"/>
    </row>
    <row r="2395" spans="1:17" x14ac:dyDescent="0.2">
      <c r="A2395" s="334" t="s">
        <v>1729</v>
      </c>
      <c r="B2395" s="380"/>
      <c r="C2395" s="380" t="s">
        <v>1551</v>
      </c>
      <c r="D2395" s="377">
        <f>-276.29-3000</f>
        <v>-3276.29</v>
      </c>
      <c r="E2395" s="377"/>
      <c r="F2395" s="378"/>
      <c r="G2395" s="377"/>
      <c r="H2395" s="377"/>
      <c r="I2395" s="399"/>
      <c r="J2395" s="377">
        <v>270</v>
      </c>
      <c r="K2395" s="377"/>
      <c r="L2395" s="378"/>
      <c r="M2395" s="377"/>
      <c r="N2395" s="377"/>
      <c r="O2395" s="380"/>
      <c r="P2395" s="380"/>
      <c r="Q2395" s="380"/>
    </row>
    <row r="2396" spans="1:17" x14ac:dyDescent="0.2">
      <c r="A2396" s="334" t="s">
        <v>1735</v>
      </c>
      <c r="B2396" s="380"/>
      <c r="C2396" s="380" t="s">
        <v>194</v>
      </c>
      <c r="D2396" s="377"/>
      <c r="E2396" s="377"/>
      <c r="F2396" s="378"/>
      <c r="G2396" s="377"/>
      <c r="H2396" s="377"/>
      <c r="I2396" s="399"/>
      <c r="J2396" s="377">
        <v>90</v>
      </c>
      <c r="K2396" s="377"/>
      <c r="L2396" s="378"/>
      <c r="M2396" s="377"/>
      <c r="N2396" s="377"/>
      <c r="O2396" s="380"/>
      <c r="P2396" s="380"/>
      <c r="Q2396" s="380"/>
    </row>
    <row r="2397" spans="1:17" x14ac:dyDescent="0.2">
      <c r="A2397" s="334" t="s">
        <v>1742</v>
      </c>
      <c r="B2397" s="380"/>
      <c r="C2397" s="334" t="s">
        <v>1553</v>
      </c>
      <c r="D2397" s="377"/>
      <c r="E2397" s="377"/>
      <c r="F2397" s="378"/>
      <c r="G2397" s="377"/>
      <c r="H2397" s="377"/>
      <c r="I2397" s="399"/>
      <c r="J2397" s="377"/>
      <c r="K2397" s="377"/>
      <c r="L2397" s="378"/>
      <c r="M2397" s="377"/>
      <c r="N2397" s="377"/>
      <c r="O2397" s="380"/>
      <c r="P2397" s="380"/>
      <c r="Q2397" s="380"/>
    </row>
    <row r="2398" spans="1:17" x14ac:dyDescent="0.2">
      <c r="A2398" s="384" t="s">
        <v>1754</v>
      </c>
      <c r="B2398" s="380"/>
      <c r="C2398" s="334" t="s">
        <v>1929</v>
      </c>
      <c r="D2398" s="377"/>
      <c r="E2398" s="377"/>
      <c r="F2398" s="378"/>
      <c r="G2398" s="377"/>
      <c r="H2398" s="377"/>
      <c r="I2398" s="399"/>
      <c r="J2398" s="377"/>
      <c r="K2398" s="377"/>
      <c r="L2398" s="378"/>
      <c r="M2398" s="377"/>
      <c r="N2398" s="377"/>
      <c r="O2398" s="380"/>
      <c r="P2398" s="380"/>
      <c r="Q2398" s="380"/>
    </row>
    <row r="2399" spans="1:17" x14ac:dyDescent="0.2">
      <c r="A2399" s="334" t="s">
        <v>1584</v>
      </c>
      <c r="B2399" s="380"/>
      <c r="C2399" s="334" t="s">
        <v>0</v>
      </c>
      <c r="D2399" s="377"/>
      <c r="E2399" s="377"/>
      <c r="F2399" s="378"/>
      <c r="G2399" s="377"/>
      <c r="H2399" s="377"/>
      <c r="I2399" s="399"/>
      <c r="J2399" s="377"/>
      <c r="K2399" s="377"/>
      <c r="L2399" s="378"/>
      <c r="M2399" s="377"/>
      <c r="N2399" s="377"/>
      <c r="O2399" s="380"/>
      <c r="P2399" s="380"/>
      <c r="Q2399" s="380"/>
    </row>
    <row r="2400" spans="1:17" x14ac:dyDescent="0.2">
      <c r="A2400" s="334" t="s">
        <v>1580</v>
      </c>
      <c r="B2400" s="380"/>
      <c r="C2400" s="334" t="s">
        <v>1935</v>
      </c>
      <c r="D2400" s="377"/>
      <c r="E2400" s="377"/>
      <c r="F2400" s="378"/>
      <c r="G2400" s="377"/>
      <c r="H2400" s="377"/>
      <c r="I2400" s="399"/>
      <c r="J2400" s="377"/>
      <c r="K2400" s="377"/>
      <c r="L2400" s="378"/>
      <c r="M2400" s="377"/>
      <c r="N2400" s="377"/>
      <c r="O2400" s="380"/>
      <c r="P2400" s="380"/>
      <c r="Q2400" s="380"/>
    </row>
    <row r="2401" spans="1:17" x14ac:dyDescent="0.2">
      <c r="A2401" s="334" t="s">
        <v>1572</v>
      </c>
      <c r="B2401" s="380"/>
      <c r="C2401" s="334" t="s">
        <v>3134</v>
      </c>
      <c r="D2401" s="377"/>
      <c r="E2401" s="377"/>
      <c r="F2401" s="378"/>
      <c r="G2401" s="377"/>
      <c r="H2401" s="377"/>
      <c r="I2401" s="399"/>
      <c r="J2401" s="377"/>
      <c r="K2401" s="377"/>
      <c r="L2401" s="378"/>
      <c r="M2401" s="377"/>
      <c r="N2401" s="377"/>
      <c r="O2401" s="380"/>
      <c r="P2401" s="380"/>
      <c r="Q2401" s="380"/>
    </row>
    <row r="2402" spans="1:17" x14ac:dyDescent="0.2">
      <c r="A2402" s="334" t="s">
        <v>1730</v>
      </c>
      <c r="B2402" s="380"/>
      <c r="C2402" s="334" t="s">
        <v>1985</v>
      </c>
      <c r="D2402" s="377">
        <v>900</v>
      </c>
      <c r="E2402" s="377"/>
      <c r="F2402" s="378"/>
      <c r="G2402" s="377"/>
      <c r="H2402" s="377"/>
      <c r="I2402" s="399"/>
      <c r="J2402" s="377">
        <v>900</v>
      </c>
      <c r="K2402" s="377"/>
      <c r="L2402" s="378"/>
      <c r="M2402" s="377"/>
      <c r="N2402" s="377"/>
      <c r="O2402" s="380"/>
      <c r="P2402" s="380"/>
      <c r="Q2402" s="380"/>
    </row>
    <row r="2403" spans="1:17" x14ac:dyDescent="0.2">
      <c r="A2403" s="334" t="s">
        <v>1566</v>
      </c>
      <c r="B2403" s="380"/>
      <c r="C2403" s="334" t="s">
        <v>366</v>
      </c>
      <c r="D2403" s="377">
        <v>2800</v>
      </c>
      <c r="E2403" s="377"/>
      <c r="F2403" s="378"/>
      <c r="G2403" s="377"/>
      <c r="H2403" s="377"/>
      <c r="I2403" s="399"/>
      <c r="J2403" s="377">
        <v>2000</v>
      </c>
      <c r="K2403" s="377"/>
      <c r="L2403" s="378"/>
      <c r="M2403" s="377"/>
      <c r="N2403" s="377"/>
      <c r="O2403" s="380"/>
      <c r="P2403" s="380"/>
      <c r="Q2403" s="380"/>
    </row>
    <row r="2404" spans="1:17" x14ac:dyDescent="0.2">
      <c r="A2404" s="334" t="s">
        <v>1755</v>
      </c>
      <c r="B2404" s="380"/>
      <c r="C2404" s="380" t="s">
        <v>1986</v>
      </c>
      <c r="D2404" s="377"/>
      <c r="E2404" s="377"/>
      <c r="F2404" s="378"/>
      <c r="G2404" s="377"/>
      <c r="H2404" s="377"/>
      <c r="I2404" s="399"/>
      <c r="J2404" s="377"/>
      <c r="K2404" s="377"/>
      <c r="L2404" s="378"/>
      <c r="M2404" s="377"/>
      <c r="N2404" s="377"/>
      <c r="O2404" s="380"/>
      <c r="P2404" s="380"/>
      <c r="Q2404" s="380"/>
    </row>
    <row r="2405" spans="1:17" x14ac:dyDescent="0.2">
      <c r="A2405" s="334" t="s">
        <v>1567</v>
      </c>
      <c r="B2405" s="380"/>
      <c r="C2405" s="334" t="s">
        <v>3142</v>
      </c>
      <c r="D2405" s="377"/>
      <c r="E2405" s="377"/>
      <c r="F2405" s="378"/>
      <c r="G2405" s="377"/>
      <c r="H2405" s="377"/>
      <c r="I2405" s="399"/>
      <c r="J2405" s="377"/>
      <c r="K2405" s="377"/>
      <c r="L2405" s="378"/>
      <c r="M2405" s="377"/>
      <c r="N2405" s="377"/>
      <c r="O2405" s="380"/>
      <c r="P2405" s="380"/>
      <c r="Q2405" s="380"/>
    </row>
    <row r="2406" spans="1:17" x14ac:dyDescent="0.2">
      <c r="A2406" s="334" t="s">
        <v>342</v>
      </c>
      <c r="B2406" s="380"/>
      <c r="C2406" s="334" t="s">
        <v>342</v>
      </c>
      <c r="D2406" s="410" t="s">
        <v>342</v>
      </c>
      <c r="E2406" s="410" t="s">
        <v>342</v>
      </c>
      <c r="F2406" s="445" t="s">
        <v>342</v>
      </c>
      <c r="G2406" s="410"/>
      <c r="H2406" s="410" t="s">
        <v>342</v>
      </c>
      <c r="I2406" s="385"/>
      <c r="J2406" s="410" t="s">
        <v>342</v>
      </c>
      <c r="K2406" s="410" t="s">
        <v>342</v>
      </c>
      <c r="L2406" s="445" t="s">
        <v>342</v>
      </c>
      <c r="M2406" s="410"/>
      <c r="N2406" s="410" t="s">
        <v>342</v>
      </c>
      <c r="O2406" s="380"/>
      <c r="P2406" s="380"/>
      <c r="Q2406" s="380"/>
    </row>
    <row r="2407" spans="1:17" x14ac:dyDescent="0.2">
      <c r="A2407" s="334" t="s">
        <v>342</v>
      </c>
      <c r="B2407" s="380"/>
      <c r="C2407" s="334" t="s">
        <v>342</v>
      </c>
      <c r="D2407" s="334">
        <f t="shared" ref="D2407:H2407" si="24">SUM(D2379:D2405)</f>
        <v>6469.71</v>
      </c>
      <c r="E2407" s="334">
        <f t="shared" si="24"/>
        <v>0</v>
      </c>
      <c r="F2407" s="412">
        <f t="shared" si="24"/>
        <v>0</v>
      </c>
      <c r="G2407" s="334"/>
      <c r="H2407" s="334">
        <f t="shared" si="24"/>
        <v>0</v>
      </c>
      <c r="I2407" s="385"/>
      <c r="J2407" s="334">
        <f t="shared" ref="J2407:L2407" si="25">SUM(J2379:J2405)</f>
        <v>8140</v>
      </c>
      <c r="K2407" s="334">
        <f t="shared" si="25"/>
        <v>0</v>
      </c>
      <c r="L2407" s="412">
        <f t="shared" si="25"/>
        <v>0</v>
      </c>
      <c r="M2407" s="334"/>
      <c r="N2407" s="334">
        <f t="shared" ref="N2407" si="26">SUM(N2379:N2405)</f>
        <v>0</v>
      </c>
      <c r="O2407" s="380"/>
      <c r="P2407" s="380"/>
      <c r="Q2407" s="380"/>
    </row>
    <row r="2408" spans="1:17" ht="15.75" thickTop="1" x14ac:dyDescent="0.2">
      <c r="A2408" s="334" t="s">
        <v>342</v>
      </c>
      <c r="B2408" s="380"/>
      <c r="C2408" s="334" t="s">
        <v>342</v>
      </c>
      <c r="D2408" s="400"/>
      <c r="E2408" s="400"/>
      <c r="F2408" s="447"/>
      <c r="G2408" s="400"/>
      <c r="H2408" s="400"/>
      <c r="I2408" s="385"/>
      <c r="J2408" s="400"/>
      <c r="K2408" s="400"/>
      <c r="L2408" s="447"/>
      <c r="M2408" s="400"/>
      <c r="N2408" s="400"/>
      <c r="O2408" s="380"/>
      <c r="P2408" s="380"/>
      <c r="Q2408" s="380"/>
    </row>
    <row r="2409" spans="1:17" x14ac:dyDescent="0.2">
      <c r="A2409" s="334"/>
      <c r="B2409" s="380"/>
      <c r="C2409" s="334"/>
      <c r="D2409" s="334"/>
      <c r="E2409" s="334"/>
      <c r="F2409" s="412"/>
      <c r="G2409" s="334"/>
      <c r="H2409" s="334"/>
      <c r="I2409" s="385"/>
      <c r="J2409" s="334"/>
      <c r="K2409" s="334"/>
      <c r="L2409" s="412"/>
      <c r="M2409" s="334"/>
      <c r="N2409" s="334"/>
      <c r="O2409" s="380"/>
      <c r="P2409" s="380"/>
      <c r="Q2409" s="380"/>
    </row>
    <row r="2410" spans="1:17" x14ac:dyDescent="0.2">
      <c r="A2410" s="334" t="s">
        <v>1812</v>
      </c>
      <c r="B2410" s="377"/>
      <c r="C2410" s="377"/>
      <c r="D2410" s="334" t="s">
        <v>125</v>
      </c>
      <c r="E2410" s="334" t="s">
        <v>125</v>
      </c>
      <c r="F2410" s="412" t="s">
        <v>127</v>
      </c>
      <c r="G2410" s="334"/>
      <c r="H2410" s="377"/>
      <c r="I2410" s="385"/>
      <c r="J2410" s="334" t="s">
        <v>125</v>
      </c>
      <c r="K2410" s="334" t="s">
        <v>125</v>
      </c>
      <c r="L2410" s="412" t="s">
        <v>127</v>
      </c>
      <c r="M2410" s="334"/>
      <c r="N2410" s="377"/>
      <c r="O2410" s="380"/>
      <c r="P2410" s="380"/>
      <c r="Q2410" s="380"/>
    </row>
    <row r="2411" spans="1:17" x14ac:dyDescent="0.2">
      <c r="A2411" s="334" t="s">
        <v>342</v>
      </c>
      <c r="B2411" s="380"/>
      <c r="C2411" s="384" t="s">
        <v>2144</v>
      </c>
      <c r="D2411" s="380"/>
      <c r="E2411" s="380"/>
      <c r="F2411" s="378"/>
      <c r="G2411" s="380"/>
      <c r="H2411" s="380"/>
      <c r="I2411" s="382"/>
      <c r="J2411" s="380"/>
      <c r="K2411" s="380"/>
      <c r="L2411" s="378"/>
      <c r="M2411" s="380"/>
      <c r="N2411" s="380"/>
      <c r="O2411" s="380"/>
      <c r="P2411" s="380"/>
      <c r="Q2411" s="380"/>
    </row>
    <row r="2412" spans="1:17" x14ac:dyDescent="0.2">
      <c r="A2412" s="380"/>
      <c r="B2412" s="380"/>
      <c r="C2412" s="334" t="s">
        <v>342</v>
      </c>
      <c r="D2412" s="334"/>
      <c r="E2412" s="334"/>
      <c r="F2412" s="412"/>
      <c r="G2412" s="334"/>
      <c r="H2412" s="380"/>
      <c r="I2412" s="385"/>
      <c r="J2412" s="334"/>
      <c r="K2412" s="334"/>
      <c r="L2412" s="412"/>
      <c r="M2412" s="334"/>
      <c r="N2412" s="380"/>
      <c r="O2412" s="380"/>
      <c r="P2412" s="380"/>
      <c r="Q2412" s="380"/>
    </row>
    <row r="2413" spans="1:17" x14ac:dyDescent="0.2">
      <c r="A2413" s="334" t="s">
        <v>1574</v>
      </c>
      <c r="B2413" s="380"/>
      <c r="C2413" s="334" t="s">
        <v>1880</v>
      </c>
      <c r="D2413" s="334" t="s">
        <v>181</v>
      </c>
      <c r="E2413" s="334" t="s">
        <v>181</v>
      </c>
      <c r="F2413" s="378" t="s">
        <v>181</v>
      </c>
      <c r="G2413" s="380"/>
      <c r="H2413" s="385" t="s">
        <v>181</v>
      </c>
      <c r="I2413" s="385"/>
      <c r="J2413" s="334" t="s">
        <v>181</v>
      </c>
      <c r="K2413" s="334" t="s">
        <v>181</v>
      </c>
      <c r="L2413" s="378" t="s">
        <v>181</v>
      </c>
      <c r="M2413" s="380"/>
      <c r="N2413" s="385" t="s">
        <v>181</v>
      </c>
      <c r="O2413" s="380"/>
      <c r="P2413" s="380"/>
      <c r="Q2413" s="380"/>
    </row>
    <row r="2414" spans="1:17" x14ac:dyDescent="0.2">
      <c r="A2414" s="380"/>
      <c r="B2414" s="380"/>
      <c r="C2414" s="380"/>
      <c r="D2414" s="334"/>
      <c r="E2414" s="334"/>
      <c r="F2414" s="378"/>
      <c r="G2414" s="380"/>
      <c r="H2414" s="380"/>
      <c r="I2414" s="385"/>
      <c r="J2414" s="334"/>
      <c r="K2414" s="334"/>
      <c r="L2414" s="378"/>
      <c r="M2414" s="380"/>
      <c r="N2414" s="380"/>
      <c r="O2414" s="380"/>
      <c r="P2414" s="380"/>
      <c r="Q2414" s="380"/>
    </row>
    <row r="2415" spans="1:17" x14ac:dyDescent="0.2">
      <c r="A2415" s="380"/>
      <c r="B2415" s="380"/>
      <c r="C2415" s="380"/>
      <c r="D2415" s="334"/>
      <c r="E2415" s="334"/>
      <c r="F2415" s="378"/>
      <c r="G2415" s="380"/>
      <c r="H2415" s="382"/>
      <c r="I2415" s="385"/>
      <c r="J2415" s="334"/>
      <c r="K2415" s="334"/>
      <c r="L2415" s="378"/>
      <c r="M2415" s="380"/>
      <c r="N2415" s="382"/>
      <c r="O2415" s="380"/>
      <c r="P2415" s="380"/>
      <c r="Q2415" s="380"/>
    </row>
    <row r="2416" spans="1:17" x14ac:dyDescent="0.2">
      <c r="A2416" s="334" t="s">
        <v>1569</v>
      </c>
      <c r="B2416" s="380"/>
      <c r="C2416" s="334" t="s">
        <v>1888</v>
      </c>
      <c r="D2416" s="377"/>
      <c r="E2416" s="377"/>
      <c r="F2416" s="378"/>
      <c r="G2416" s="377"/>
      <c r="H2416" s="399"/>
      <c r="I2416" s="399"/>
      <c r="J2416" s="377"/>
      <c r="K2416" s="377"/>
      <c r="L2416" s="378"/>
      <c r="M2416" s="377"/>
      <c r="N2416" s="399"/>
      <c r="O2416" s="380"/>
      <c r="P2416" s="380"/>
      <c r="Q2416" s="380"/>
    </row>
    <row r="2417" spans="1:17" x14ac:dyDescent="0.2">
      <c r="A2417" s="334" t="s">
        <v>1724</v>
      </c>
      <c r="B2417" s="380"/>
      <c r="C2417" s="334" t="s">
        <v>1881</v>
      </c>
      <c r="D2417" s="377"/>
      <c r="E2417" s="377"/>
      <c r="F2417" s="378"/>
      <c r="G2417" s="377"/>
      <c r="H2417" s="399"/>
      <c r="I2417" s="399"/>
      <c r="J2417" s="377"/>
      <c r="K2417" s="377"/>
      <c r="L2417" s="378"/>
      <c r="M2417" s="377"/>
      <c r="N2417" s="399"/>
      <c r="O2417" s="380"/>
      <c r="P2417" s="380"/>
      <c r="Q2417" s="380"/>
    </row>
    <row r="2418" spans="1:17" x14ac:dyDescent="0.2">
      <c r="A2418" s="334" t="s">
        <v>1736</v>
      </c>
      <c r="B2418" s="380"/>
      <c r="C2418" s="334" t="s">
        <v>1747</v>
      </c>
      <c r="D2418" s="377"/>
      <c r="E2418" s="377"/>
      <c r="F2418" s="378"/>
      <c r="G2418" s="377"/>
      <c r="H2418" s="399"/>
      <c r="I2418" s="399"/>
      <c r="J2418" s="377"/>
      <c r="K2418" s="377"/>
      <c r="L2418" s="378"/>
      <c r="M2418" s="377"/>
      <c r="N2418" s="399"/>
      <c r="O2418" s="380"/>
      <c r="P2418" s="380"/>
      <c r="Q2418" s="380"/>
    </row>
    <row r="2419" spans="1:17" x14ac:dyDescent="0.2">
      <c r="A2419" s="334" t="s">
        <v>1744</v>
      </c>
      <c r="B2419" s="380"/>
      <c r="C2419" s="334" t="s">
        <v>1254</v>
      </c>
      <c r="D2419" s="377"/>
      <c r="E2419" s="377"/>
      <c r="F2419" s="378"/>
      <c r="G2419" s="377"/>
      <c r="H2419" s="399"/>
      <c r="I2419" s="399"/>
      <c r="J2419" s="377"/>
      <c r="K2419" s="377"/>
      <c r="L2419" s="378"/>
      <c r="M2419" s="377"/>
      <c r="N2419" s="399"/>
      <c r="O2419" s="380"/>
      <c r="P2419" s="380"/>
      <c r="Q2419" s="380"/>
    </row>
    <row r="2420" spans="1:17" x14ac:dyDescent="0.2">
      <c r="A2420" s="334" t="s">
        <v>1582</v>
      </c>
      <c r="B2420" s="380"/>
      <c r="C2420" s="334" t="s">
        <v>3135</v>
      </c>
      <c r="D2420" s="377"/>
      <c r="E2420" s="377"/>
      <c r="F2420" s="378"/>
      <c r="G2420" s="377"/>
      <c r="H2420" s="399"/>
      <c r="I2420" s="399"/>
      <c r="J2420" s="377"/>
      <c r="K2420" s="377"/>
      <c r="L2420" s="378"/>
      <c r="M2420" s="377"/>
      <c r="N2420" s="399"/>
      <c r="O2420" s="380"/>
      <c r="P2420" s="380"/>
      <c r="Q2420" s="380"/>
    </row>
    <row r="2421" spans="1:17" x14ac:dyDescent="0.2">
      <c r="A2421" s="334" t="s">
        <v>1575</v>
      </c>
      <c r="B2421" s="380"/>
      <c r="C2421" s="334" t="s">
        <v>1889</v>
      </c>
      <c r="D2421" s="377"/>
      <c r="E2421" s="377"/>
      <c r="F2421" s="378"/>
      <c r="G2421" s="377"/>
      <c r="H2421" s="399"/>
      <c r="I2421" s="399"/>
      <c r="J2421" s="377"/>
      <c r="K2421" s="377"/>
      <c r="L2421" s="378"/>
      <c r="M2421" s="377"/>
      <c r="N2421" s="399"/>
      <c r="O2421" s="380"/>
      <c r="P2421" s="380"/>
      <c r="Q2421" s="380"/>
    </row>
    <row r="2422" spans="1:17" x14ac:dyDescent="0.2">
      <c r="A2422" s="334" t="s">
        <v>1725</v>
      </c>
      <c r="B2422" s="380"/>
      <c r="C2422" s="334" t="s">
        <v>1890</v>
      </c>
      <c r="D2422" s="377"/>
      <c r="E2422" s="377"/>
      <c r="F2422" s="378"/>
      <c r="G2422" s="377"/>
      <c r="H2422" s="399"/>
      <c r="I2422" s="399"/>
      <c r="J2422" s="377"/>
      <c r="K2422" s="377"/>
      <c r="L2422" s="378"/>
      <c r="M2422" s="377"/>
      <c r="N2422" s="399"/>
      <c r="O2422" s="380"/>
      <c r="P2422" s="380"/>
      <c r="Q2422" s="380"/>
    </row>
    <row r="2423" spans="1:17" x14ac:dyDescent="0.2">
      <c r="A2423" s="334" t="s">
        <v>1737</v>
      </c>
      <c r="B2423" s="380"/>
      <c r="C2423" s="334" t="s">
        <v>1984</v>
      </c>
      <c r="D2423" s="377"/>
      <c r="E2423" s="377"/>
      <c r="F2423" s="378"/>
      <c r="G2423" s="377"/>
      <c r="H2423" s="399"/>
      <c r="I2423" s="399"/>
      <c r="J2423" s="377"/>
      <c r="K2423" s="377"/>
      <c r="L2423" s="378"/>
      <c r="M2423" s="377"/>
      <c r="N2423" s="399"/>
      <c r="O2423" s="380"/>
      <c r="P2423" s="380"/>
      <c r="Q2423" s="380"/>
    </row>
    <row r="2424" spans="1:17" x14ac:dyDescent="0.2">
      <c r="A2424" s="334" t="s">
        <v>1726</v>
      </c>
      <c r="B2424" s="380"/>
      <c r="C2424" s="334" t="s">
        <v>1117</v>
      </c>
      <c r="D2424" s="377"/>
      <c r="E2424" s="377"/>
      <c r="F2424" s="378"/>
      <c r="G2424" s="377"/>
      <c r="H2424" s="399"/>
      <c r="I2424" s="399"/>
      <c r="J2424" s="377"/>
      <c r="K2424" s="377"/>
      <c r="L2424" s="378"/>
      <c r="M2424" s="377"/>
      <c r="N2424" s="399"/>
      <c r="O2424" s="380"/>
      <c r="P2424" s="380"/>
      <c r="Q2424" s="380"/>
    </row>
    <row r="2425" spans="1:17" x14ac:dyDescent="0.2">
      <c r="A2425" s="334" t="s">
        <v>1577</v>
      </c>
      <c r="B2425" s="380"/>
      <c r="C2425" s="334" t="s">
        <v>1815</v>
      </c>
      <c r="D2425" s="377"/>
      <c r="E2425" s="377"/>
      <c r="F2425" s="378"/>
      <c r="G2425" s="377"/>
      <c r="H2425" s="399"/>
      <c r="I2425" s="399"/>
      <c r="J2425" s="377"/>
      <c r="K2425" s="377"/>
      <c r="L2425" s="378"/>
      <c r="M2425" s="377"/>
      <c r="N2425" s="399"/>
      <c r="O2425" s="380"/>
      <c r="P2425" s="380"/>
      <c r="Q2425" s="380"/>
    </row>
    <row r="2426" spans="1:17" x14ac:dyDescent="0.2">
      <c r="A2426" s="334" t="s">
        <v>1734</v>
      </c>
      <c r="B2426" s="380"/>
      <c r="C2426" s="334" t="s">
        <v>1746</v>
      </c>
      <c r="D2426" s="377"/>
      <c r="E2426" s="377"/>
      <c r="F2426" s="378"/>
      <c r="G2426" s="377"/>
      <c r="H2426" s="399"/>
      <c r="I2426" s="399"/>
      <c r="J2426" s="377"/>
      <c r="K2426" s="377"/>
      <c r="L2426" s="378"/>
      <c r="M2426" s="377"/>
      <c r="N2426" s="399"/>
      <c r="O2426" s="380"/>
      <c r="P2426" s="380"/>
      <c r="Q2426" s="380"/>
    </row>
    <row r="2427" spans="1:17" x14ac:dyDescent="0.2">
      <c r="A2427" s="334" t="s">
        <v>1571</v>
      </c>
      <c r="B2427" s="380"/>
      <c r="C2427" s="334" t="s">
        <v>3</v>
      </c>
      <c r="D2427" s="377"/>
      <c r="E2427" s="377"/>
      <c r="F2427" s="378"/>
      <c r="G2427" s="377"/>
      <c r="H2427" s="399"/>
      <c r="I2427" s="399"/>
      <c r="J2427" s="377"/>
      <c r="K2427" s="377"/>
      <c r="L2427" s="378"/>
      <c r="M2427" s="377"/>
      <c r="N2427" s="399"/>
      <c r="O2427" s="380"/>
      <c r="P2427" s="380"/>
      <c r="Q2427" s="380"/>
    </row>
    <row r="2428" spans="1:17" x14ac:dyDescent="0.2">
      <c r="A2428" s="334" t="s">
        <v>1738</v>
      </c>
      <c r="B2428" s="380"/>
      <c r="C2428" s="334" t="s">
        <v>1591</v>
      </c>
      <c r="D2428" s="377"/>
      <c r="E2428" s="377"/>
      <c r="F2428" s="378"/>
      <c r="G2428" s="377"/>
      <c r="H2428" s="399"/>
      <c r="I2428" s="399"/>
      <c r="J2428" s="377"/>
      <c r="K2428" s="377"/>
      <c r="L2428" s="378"/>
      <c r="M2428" s="377"/>
      <c r="N2428" s="399"/>
      <c r="O2428" s="380"/>
      <c r="P2428" s="380"/>
      <c r="Q2428" s="380"/>
    </row>
    <row r="2429" spans="1:17" x14ac:dyDescent="0.2">
      <c r="A2429" s="334" t="s">
        <v>1727</v>
      </c>
      <c r="B2429" s="380"/>
      <c r="C2429" s="334" t="s">
        <v>307</v>
      </c>
      <c r="D2429" s="377"/>
      <c r="E2429" s="377"/>
      <c r="F2429" s="378"/>
      <c r="G2429" s="377"/>
      <c r="H2429" s="399"/>
      <c r="I2429" s="399"/>
      <c r="J2429" s="377"/>
      <c r="K2429" s="377"/>
      <c r="L2429" s="378"/>
      <c r="M2429" s="377"/>
      <c r="N2429" s="399"/>
      <c r="O2429" s="380"/>
      <c r="P2429" s="380"/>
      <c r="Q2429" s="380"/>
    </row>
    <row r="2430" spans="1:17" x14ac:dyDescent="0.2">
      <c r="A2430" s="334" t="s">
        <v>1728</v>
      </c>
      <c r="B2430" s="380"/>
      <c r="C2430" s="334" t="s">
        <v>310</v>
      </c>
      <c r="D2430" s="377"/>
      <c r="E2430" s="377"/>
      <c r="F2430" s="378"/>
      <c r="G2430" s="377"/>
      <c r="H2430" s="399"/>
      <c r="I2430" s="399"/>
      <c r="J2430" s="377"/>
      <c r="K2430" s="377"/>
      <c r="L2430" s="378"/>
      <c r="M2430" s="377"/>
      <c r="N2430" s="399"/>
      <c r="O2430" s="380"/>
      <c r="P2430" s="380"/>
      <c r="Q2430" s="380"/>
    </row>
    <row r="2431" spans="1:17" x14ac:dyDescent="0.2">
      <c r="A2431" s="334" t="s">
        <v>1729</v>
      </c>
      <c r="B2431" s="380"/>
      <c r="C2431" s="380" t="s">
        <v>1551</v>
      </c>
      <c r="D2431" s="377"/>
      <c r="E2431" s="377"/>
      <c r="F2431" s="378"/>
      <c r="G2431" s="377"/>
      <c r="H2431" s="399"/>
      <c r="I2431" s="399"/>
      <c r="J2431" s="377"/>
      <c r="K2431" s="377"/>
      <c r="L2431" s="378"/>
      <c r="M2431" s="377"/>
      <c r="N2431" s="399"/>
      <c r="O2431" s="380"/>
      <c r="P2431" s="380"/>
      <c r="Q2431" s="380"/>
    </row>
    <row r="2432" spans="1:17" x14ac:dyDescent="0.2">
      <c r="A2432" s="334" t="s">
        <v>1735</v>
      </c>
      <c r="B2432" s="380"/>
      <c r="C2432" s="380" t="s">
        <v>194</v>
      </c>
      <c r="D2432" s="377"/>
      <c r="E2432" s="377"/>
      <c r="F2432" s="378"/>
      <c r="G2432" s="377"/>
      <c r="H2432" s="399"/>
      <c r="I2432" s="399"/>
      <c r="J2432" s="377"/>
      <c r="K2432" s="377"/>
      <c r="L2432" s="378"/>
      <c r="M2432" s="377"/>
      <c r="N2432" s="399"/>
      <c r="O2432" s="380"/>
      <c r="P2432" s="380"/>
      <c r="Q2432" s="380"/>
    </row>
    <row r="2433" spans="1:17" x14ac:dyDescent="0.2">
      <c r="A2433" s="334" t="s">
        <v>1742</v>
      </c>
      <c r="B2433" s="380"/>
      <c r="C2433" s="334" t="s">
        <v>1553</v>
      </c>
      <c r="D2433" s="377"/>
      <c r="E2433" s="377"/>
      <c r="F2433" s="378"/>
      <c r="G2433" s="377"/>
      <c r="H2433" s="399"/>
      <c r="I2433" s="399"/>
      <c r="J2433" s="377"/>
      <c r="K2433" s="377"/>
      <c r="L2433" s="378"/>
      <c r="M2433" s="377"/>
      <c r="N2433" s="399"/>
      <c r="O2433" s="380"/>
      <c r="P2433" s="380"/>
      <c r="Q2433" s="380"/>
    </row>
    <row r="2434" spans="1:17" x14ac:dyDescent="0.2">
      <c r="A2434" s="384" t="s">
        <v>1754</v>
      </c>
      <c r="B2434" s="380"/>
      <c r="C2434" s="334" t="s">
        <v>1929</v>
      </c>
      <c r="D2434" s="377"/>
      <c r="E2434" s="377"/>
      <c r="F2434" s="378"/>
      <c r="G2434" s="377"/>
      <c r="H2434" s="399"/>
      <c r="I2434" s="399"/>
      <c r="J2434" s="377"/>
      <c r="K2434" s="377"/>
      <c r="L2434" s="378"/>
      <c r="M2434" s="377"/>
      <c r="N2434" s="399"/>
      <c r="O2434" s="380"/>
      <c r="P2434" s="380"/>
      <c r="Q2434" s="380"/>
    </row>
    <row r="2435" spans="1:17" x14ac:dyDescent="0.2">
      <c r="A2435" s="334" t="s">
        <v>1584</v>
      </c>
      <c r="B2435" s="380"/>
      <c r="C2435" s="334" t="s">
        <v>0</v>
      </c>
      <c r="D2435" s="377"/>
      <c r="E2435" s="377"/>
      <c r="F2435" s="378"/>
      <c r="G2435" s="377"/>
      <c r="H2435" s="399"/>
      <c r="I2435" s="399"/>
      <c r="J2435" s="377"/>
      <c r="K2435" s="377"/>
      <c r="L2435" s="378"/>
      <c r="M2435" s="377"/>
      <c r="N2435" s="399"/>
      <c r="O2435" s="380"/>
      <c r="P2435" s="380"/>
      <c r="Q2435" s="380"/>
    </row>
    <row r="2436" spans="1:17" x14ac:dyDescent="0.2">
      <c r="A2436" s="334" t="s">
        <v>1580</v>
      </c>
      <c r="B2436" s="380"/>
      <c r="C2436" s="334" t="s">
        <v>1935</v>
      </c>
      <c r="D2436" s="377"/>
      <c r="E2436" s="377"/>
      <c r="F2436" s="378"/>
      <c r="G2436" s="377"/>
      <c r="H2436" s="399"/>
      <c r="I2436" s="399"/>
      <c r="J2436" s="377"/>
      <c r="K2436" s="377"/>
      <c r="L2436" s="378"/>
      <c r="M2436" s="377"/>
      <c r="N2436" s="399"/>
      <c r="O2436" s="380"/>
      <c r="P2436" s="380"/>
      <c r="Q2436" s="380"/>
    </row>
    <row r="2437" spans="1:17" x14ac:dyDescent="0.2">
      <c r="A2437" s="334" t="s">
        <v>1572</v>
      </c>
      <c r="B2437" s="380"/>
      <c r="C2437" s="334" t="s">
        <v>3134</v>
      </c>
      <c r="D2437" s="377"/>
      <c r="E2437" s="377"/>
      <c r="F2437" s="378"/>
      <c r="G2437" s="377"/>
      <c r="H2437" s="399"/>
      <c r="I2437" s="399"/>
      <c r="J2437" s="377"/>
      <c r="K2437" s="377"/>
      <c r="L2437" s="378"/>
      <c r="M2437" s="377"/>
      <c r="N2437" s="399"/>
      <c r="O2437" s="380"/>
      <c r="P2437" s="380"/>
      <c r="Q2437" s="380"/>
    </row>
    <row r="2438" spans="1:17" x14ac:dyDescent="0.2">
      <c r="A2438" s="334" t="s">
        <v>1730</v>
      </c>
      <c r="B2438" s="380"/>
      <c r="C2438" s="334" t="s">
        <v>1985</v>
      </c>
      <c r="D2438" s="377"/>
      <c r="E2438" s="377"/>
      <c r="F2438" s="378"/>
      <c r="G2438" s="377"/>
      <c r="H2438" s="399"/>
      <c r="I2438" s="399"/>
      <c r="J2438" s="377"/>
      <c r="K2438" s="377"/>
      <c r="L2438" s="378"/>
      <c r="M2438" s="377"/>
      <c r="N2438" s="399"/>
      <c r="O2438" s="380"/>
      <c r="P2438" s="380"/>
      <c r="Q2438" s="380"/>
    </row>
    <row r="2439" spans="1:17" x14ac:dyDescent="0.2">
      <c r="A2439" s="334" t="s">
        <v>1566</v>
      </c>
      <c r="B2439" s="380"/>
      <c r="C2439" s="334" t="s">
        <v>366</v>
      </c>
      <c r="D2439" s="377"/>
      <c r="E2439" s="377"/>
      <c r="F2439" s="378"/>
      <c r="G2439" s="377"/>
      <c r="H2439" s="399"/>
      <c r="I2439" s="399"/>
      <c r="J2439" s="377"/>
      <c r="K2439" s="377"/>
      <c r="L2439" s="378"/>
      <c r="M2439" s="377"/>
      <c r="N2439" s="399"/>
      <c r="O2439" s="380"/>
      <c r="P2439" s="380"/>
      <c r="Q2439" s="380"/>
    </row>
    <row r="2440" spans="1:17" x14ac:dyDescent="0.2">
      <c r="A2440" s="334" t="s">
        <v>1755</v>
      </c>
      <c r="B2440" s="380"/>
      <c r="C2440" s="380" t="s">
        <v>1986</v>
      </c>
      <c r="D2440" s="377"/>
      <c r="E2440" s="377"/>
      <c r="F2440" s="378"/>
      <c r="G2440" s="377"/>
      <c r="H2440" s="399"/>
      <c r="I2440" s="399"/>
      <c r="J2440" s="377"/>
      <c r="K2440" s="377"/>
      <c r="L2440" s="378"/>
      <c r="M2440" s="377"/>
      <c r="N2440" s="399"/>
      <c r="O2440" s="380"/>
      <c r="P2440" s="380"/>
      <c r="Q2440" s="380"/>
    </row>
    <row r="2441" spans="1:17" x14ac:dyDescent="0.2">
      <c r="A2441" s="334" t="s">
        <v>1567</v>
      </c>
      <c r="B2441" s="380"/>
      <c r="C2441" s="334" t="s">
        <v>3142</v>
      </c>
      <c r="D2441" s="377"/>
      <c r="E2441" s="377"/>
      <c r="F2441" s="378"/>
      <c r="G2441" s="378"/>
      <c r="H2441" s="423"/>
      <c r="I2441" s="399"/>
      <c r="J2441" s="377"/>
      <c r="K2441" s="377"/>
      <c r="L2441" s="378"/>
      <c r="M2441" s="377"/>
      <c r="N2441" s="423"/>
      <c r="O2441" s="380"/>
      <c r="P2441" s="380"/>
      <c r="Q2441" s="380"/>
    </row>
    <row r="2442" spans="1:17" x14ac:dyDescent="0.2">
      <c r="A2442" s="334" t="s">
        <v>342</v>
      </c>
      <c r="B2442" s="380"/>
      <c r="C2442" s="334" t="s">
        <v>342</v>
      </c>
      <c r="D2442" s="410" t="s">
        <v>342</v>
      </c>
      <c r="E2442" s="410" t="s">
        <v>342</v>
      </c>
      <c r="F2442" s="445" t="s">
        <v>342</v>
      </c>
      <c r="G2442" s="432"/>
      <c r="H2442" s="385"/>
      <c r="I2442" s="385"/>
      <c r="J2442" s="410" t="s">
        <v>342</v>
      </c>
      <c r="K2442" s="410" t="s">
        <v>342</v>
      </c>
      <c r="L2442" s="445" t="s">
        <v>342</v>
      </c>
      <c r="M2442" s="432"/>
      <c r="N2442" s="385"/>
      <c r="O2442" s="380"/>
      <c r="P2442" s="380"/>
      <c r="Q2442" s="380"/>
    </row>
    <row r="2443" spans="1:17" ht="15.75" thickBot="1" x14ac:dyDescent="0.25">
      <c r="A2443" s="334" t="s">
        <v>342</v>
      </c>
      <c r="B2443" s="380"/>
      <c r="C2443" s="334" t="s">
        <v>342</v>
      </c>
      <c r="D2443" s="411">
        <f t="shared" ref="D2443:H2443" si="27">SUM(D2416:D2441)</f>
        <v>0</v>
      </c>
      <c r="E2443" s="411">
        <f t="shared" si="27"/>
        <v>0</v>
      </c>
      <c r="F2443" s="414">
        <f t="shared" si="27"/>
        <v>0</v>
      </c>
      <c r="G2443" s="411"/>
      <c r="H2443" s="411">
        <f t="shared" si="27"/>
        <v>0</v>
      </c>
      <c r="I2443" s="385"/>
      <c r="J2443" s="411">
        <f t="shared" ref="J2443:L2443" si="28">SUM(J2416:J2441)</f>
        <v>0</v>
      </c>
      <c r="K2443" s="411">
        <f t="shared" si="28"/>
        <v>0</v>
      </c>
      <c r="L2443" s="414">
        <f t="shared" si="28"/>
        <v>0</v>
      </c>
      <c r="M2443" s="411"/>
      <c r="N2443" s="411">
        <f t="shared" ref="N2443" si="29">SUM(N2416:N2441)</f>
        <v>0</v>
      </c>
      <c r="O2443" s="380"/>
      <c r="P2443" s="380"/>
      <c r="Q2443" s="380"/>
    </row>
    <row r="2444" spans="1:17" x14ac:dyDescent="0.2">
      <c r="A2444" s="334"/>
      <c r="B2444" s="380"/>
      <c r="C2444" s="334"/>
      <c r="D2444" s="334"/>
      <c r="E2444" s="334"/>
      <c r="F2444" s="412"/>
      <c r="G2444" s="334"/>
      <c r="H2444" s="334"/>
      <c r="I2444" s="385"/>
      <c r="J2444" s="334"/>
      <c r="K2444" s="334"/>
      <c r="L2444" s="412"/>
      <c r="M2444" s="334"/>
      <c r="N2444" s="334"/>
      <c r="O2444" s="380"/>
      <c r="P2444" s="380"/>
      <c r="Q2444" s="380"/>
    </row>
    <row r="2445" spans="1:17" x14ac:dyDescent="0.2">
      <c r="A2445" s="334"/>
      <c r="B2445" s="380"/>
      <c r="C2445" s="334"/>
      <c r="D2445" s="380"/>
      <c r="E2445" s="380"/>
      <c r="F2445" s="378"/>
      <c r="G2445" s="380"/>
      <c r="H2445" s="334"/>
      <c r="I2445" s="382"/>
      <c r="J2445" s="380"/>
      <c r="K2445" s="380"/>
      <c r="L2445" s="378"/>
      <c r="M2445" s="380"/>
      <c r="N2445" s="334"/>
      <c r="O2445" s="380"/>
      <c r="P2445" s="380"/>
      <c r="Q2445" s="380"/>
    </row>
    <row r="2446" spans="1:17" x14ac:dyDescent="0.2">
      <c r="A2446" s="380"/>
      <c r="B2446" s="380"/>
      <c r="C2446" s="380"/>
      <c r="D2446" s="334"/>
      <c r="E2446" s="380"/>
      <c r="F2446" s="378"/>
      <c r="G2446" s="380"/>
      <c r="H2446" s="334"/>
      <c r="I2446" s="385"/>
      <c r="J2446" s="334"/>
      <c r="K2446" s="380"/>
      <c r="L2446" s="378"/>
      <c r="M2446" s="380"/>
      <c r="N2446" s="334"/>
      <c r="O2446" s="380"/>
      <c r="P2446" s="380"/>
      <c r="Q2446" s="380"/>
    </row>
    <row r="2447" spans="1:17" x14ac:dyDescent="0.2">
      <c r="A2447" s="334" t="s">
        <v>1659</v>
      </c>
      <c r="B2447" s="380"/>
      <c r="C2447" s="380"/>
      <c r="D2447" s="334"/>
      <c r="E2447" s="334"/>
      <c r="F2447" s="412"/>
      <c r="G2447" s="334"/>
      <c r="H2447" s="334"/>
      <c r="I2447" s="385"/>
      <c r="J2447" s="334"/>
      <c r="K2447" s="334"/>
      <c r="L2447" s="412"/>
      <c r="M2447" s="334"/>
      <c r="N2447" s="334"/>
      <c r="O2447" s="380"/>
      <c r="P2447" s="380"/>
      <c r="Q2447" s="380"/>
    </row>
    <row r="2448" spans="1:17" x14ac:dyDescent="0.2">
      <c r="A2448" s="334" t="s">
        <v>1660</v>
      </c>
      <c r="B2448" s="380"/>
      <c r="C2448" s="384" t="s">
        <v>436</v>
      </c>
      <c r="D2448" s="448" t="s">
        <v>2145</v>
      </c>
      <c r="E2448" s="384" t="s">
        <v>3711</v>
      </c>
      <c r="F2448" s="421" t="s">
        <v>2923</v>
      </c>
      <c r="G2448" s="334" t="s">
        <v>2864</v>
      </c>
      <c r="H2448" s="384" t="s">
        <v>3712</v>
      </c>
      <c r="I2448" s="449"/>
      <c r="J2448" s="448" t="s">
        <v>2145</v>
      </c>
      <c r="K2448" s="384" t="s">
        <v>3711</v>
      </c>
      <c r="L2448" s="421" t="s">
        <v>2923</v>
      </c>
      <c r="M2448" s="334" t="s">
        <v>2864</v>
      </c>
      <c r="N2448" s="384" t="s">
        <v>3712</v>
      </c>
      <c r="O2448" s="380"/>
      <c r="P2448" s="380"/>
      <c r="Q2448" s="380"/>
    </row>
    <row r="2449" spans="1:17" x14ac:dyDescent="0.2">
      <c r="A2449" s="380"/>
      <c r="B2449" s="380"/>
      <c r="C2449" s="380"/>
      <c r="D2449" s="450" t="s">
        <v>957</v>
      </c>
      <c r="E2449" s="389" t="s">
        <v>106</v>
      </c>
      <c r="F2449" s="389" t="s">
        <v>736</v>
      </c>
      <c r="G2449" s="389" t="s">
        <v>2938</v>
      </c>
      <c r="H2449" s="389" t="s">
        <v>960</v>
      </c>
      <c r="I2449" s="451"/>
      <c r="J2449" s="452" t="s">
        <v>957</v>
      </c>
      <c r="K2449" s="334" t="s">
        <v>106</v>
      </c>
      <c r="L2449" s="412" t="s">
        <v>736</v>
      </c>
      <c r="M2449" s="334" t="s">
        <v>2863</v>
      </c>
      <c r="N2449" s="334" t="s">
        <v>960</v>
      </c>
      <c r="O2449" s="380"/>
      <c r="P2449" s="380"/>
      <c r="Q2449" s="380"/>
    </row>
    <row r="2450" spans="1:17" x14ac:dyDescent="0.2">
      <c r="A2450" s="334" t="s">
        <v>1723</v>
      </c>
      <c r="B2450" s="380"/>
      <c r="C2450" s="334" t="s">
        <v>1880</v>
      </c>
      <c r="D2450" s="453" t="s">
        <v>181</v>
      </c>
      <c r="E2450" s="398"/>
      <c r="F2450" s="389" t="s">
        <v>181</v>
      </c>
      <c r="G2450" s="389" t="s">
        <v>181</v>
      </c>
      <c r="H2450" s="389" t="s">
        <v>181</v>
      </c>
      <c r="I2450" s="454"/>
      <c r="J2450" s="455" t="s">
        <v>181</v>
      </c>
      <c r="K2450" s="380"/>
      <c r="L2450" s="412" t="s">
        <v>181</v>
      </c>
      <c r="M2450" s="334"/>
      <c r="N2450" s="334" t="s">
        <v>181</v>
      </c>
      <c r="O2450" s="380"/>
      <c r="P2450" s="380"/>
      <c r="Q2450" s="380"/>
    </row>
    <row r="2451" spans="1:17" x14ac:dyDescent="0.2">
      <c r="A2451" s="380"/>
      <c r="B2451" s="380"/>
      <c r="C2451" s="380"/>
      <c r="D2451" s="380"/>
      <c r="E2451" s="380"/>
      <c r="F2451" s="378"/>
      <c r="G2451" s="380"/>
      <c r="H2451" s="380"/>
      <c r="I2451" s="382"/>
      <c r="J2451" s="380"/>
      <c r="K2451" s="380"/>
      <c r="L2451" s="378"/>
      <c r="M2451" s="380"/>
      <c r="N2451" s="380"/>
      <c r="O2451" s="380"/>
      <c r="P2451" s="380"/>
      <c r="Q2451" s="380"/>
    </row>
    <row r="2452" spans="1:17" x14ac:dyDescent="0.2">
      <c r="A2452" s="334" t="s">
        <v>1569</v>
      </c>
      <c r="B2452" s="380"/>
      <c r="C2452" s="334" t="s">
        <v>1888</v>
      </c>
      <c r="D2452" s="377"/>
      <c r="E2452" s="377"/>
      <c r="F2452" s="378"/>
      <c r="G2452" s="377">
        <v>2565</v>
      </c>
      <c r="H2452" s="377"/>
      <c r="I2452" s="399"/>
      <c r="J2452" s="377"/>
      <c r="K2452" s="377"/>
      <c r="L2452" s="378"/>
      <c r="M2452" s="377">
        <v>2565</v>
      </c>
      <c r="N2452" s="377"/>
      <c r="O2452" s="380"/>
      <c r="P2452" s="380"/>
      <c r="Q2452" s="380"/>
    </row>
    <row r="2453" spans="1:17" x14ac:dyDescent="0.2">
      <c r="A2453" s="334" t="s">
        <v>1724</v>
      </c>
      <c r="B2453" s="380"/>
      <c r="C2453" s="334" t="s">
        <v>1881</v>
      </c>
      <c r="D2453" s="377">
        <v>150</v>
      </c>
      <c r="E2453" s="377">
        <v>375</v>
      </c>
      <c r="F2453" s="378">
        <v>370</v>
      </c>
      <c r="G2453" s="377">
        <v>47.5</v>
      </c>
      <c r="H2453" s="377">
        <v>461</v>
      </c>
      <c r="I2453" s="399"/>
      <c r="J2453" s="377"/>
      <c r="K2453" s="377">
        <v>375</v>
      </c>
      <c r="L2453" s="378">
        <v>370</v>
      </c>
      <c r="M2453" s="377">
        <v>47.5</v>
      </c>
      <c r="N2453" s="377">
        <v>461</v>
      </c>
      <c r="O2453" s="380"/>
      <c r="P2453" s="380"/>
      <c r="Q2453" s="380"/>
    </row>
    <row r="2454" spans="1:17" x14ac:dyDescent="0.2">
      <c r="A2454" s="334" t="s">
        <v>1736</v>
      </c>
      <c r="B2454" s="380"/>
      <c r="C2454" s="334" t="s">
        <v>1747</v>
      </c>
      <c r="D2454" s="377"/>
      <c r="E2454" s="377">
        <v>190</v>
      </c>
      <c r="F2454" s="378"/>
      <c r="G2454" s="377"/>
      <c r="H2454" s="377">
        <v>238</v>
      </c>
      <c r="I2454" s="399"/>
      <c r="J2454" s="377"/>
      <c r="K2454" s="377">
        <v>190</v>
      </c>
      <c r="L2454" s="378"/>
      <c r="M2454" s="377"/>
      <c r="N2454" s="377">
        <v>238</v>
      </c>
      <c r="O2454" s="380"/>
      <c r="P2454" s="380"/>
      <c r="Q2454" s="380"/>
    </row>
    <row r="2455" spans="1:17" x14ac:dyDescent="0.2">
      <c r="A2455" s="334" t="s">
        <v>1744</v>
      </c>
      <c r="B2455" s="380"/>
      <c r="C2455" s="334" t="s">
        <v>1254</v>
      </c>
      <c r="D2455" s="377"/>
      <c r="E2455" s="377"/>
      <c r="F2455" s="378"/>
      <c r="G2455" s="377"/>
      <c r="H2455" s="377"/>
      <c r="I2455" s="399"/>
      <c r="J2455" s="377"/>
      <c r="K2455" s="377"/>
      <c r="L2455" s="378"/>
      <c r="M2455" s="377"/>
      <c r="N2455" s="377"/>
      <c r="O2455" s="380"/>
      <c r="P2455" s="380"/>
      <c r="Q2455" s="380"/>
    </row>
    <row r="2456" spans="1:17" x14ac:dyDescent="0.2">
      <c r="A2456" s="334" t="s">
        <v>1582</v>
      </c>
      <c r="B2456" s="380"/>
      <c r="C2456" s="334" t="s">
        <v>3135</v>
      </c>
      <c r="D2456" s="377"/>
      <c r="E2456" s="377">
        <v>190</v>
      </c>
      <c r="F2456" s="378"/>
      <c r="G2456" s="377"/>
      <c r="H2456" s="377">
        <v>332</v>
      </c>
      <c r="I2456" s="399"/>
      <c r="J2456" s="377"/>
      <c r="K2456" s="377">
        <v>190</v>
      </c>
      <c r="L2456" s="378"/>
      <c r="M2456" s="377"/>
      <c r="N2456" s="377">
        <v>332</v>
      </c>
      <c r="O2456" s="380"/>
      <c r="P2456" s="380"/>
      <c r="Q2456" s="380"/>
    </row>
    <row r="2457" spans="1:17" x14ac:dyDescent="0.2">
      <c r="A2457" s="334" t="s">
        <v>1575</v>
      </c>
      <c r="B2457" s="380"/>
      <c r="C2457" s="334" t="s">
        <v>1889</v>
      </c>
      <c r="D2457" s="377"/>
      <c r="E2457" s="377"/>
      <c r="F2457" s="378"/>
      <c r="G2457" s="377"/>
      <c r="H2457" s="377"/>
      <c r="I2457" s="399"/>
      <c r="J2457" s="377"/>
      <c r="K2457" s="377"/>
      <c r="L2457" s="378"/>
      <c r="M2457" s="377"/>
      <c r="N2457" s="377"/>
      <c r="O2457" s="380"/>
      <c r="P2457" s="380"/>
      <c r="Q2457" s="380"/>
    </row>
    <row r="2458" spans="1:17" x14ac:dyDescent="0.2">
      <c r="A2458" s="334" t="s">
        <v>1725</v>
      </c>
      <c r="B2458" s="380"/>
      <c r="C2458" s="334" t="s">
        <v>1890</v>
      </c>
      <c r="D2458" s="377"/>
      <c r="E2458" s="377">
        <v>285</v>
      </c>
      <c r="F2458" s="378">
        <v>222</v>
      </c>
      <c r="G2458" s="377">
        <v>142.5</v>
      </c>
      <c r="H2458" s="377"/>
      <c r="I2458" s="399"/>
      <c r="J2458" s="377"/>
      <c r="K2458" s="377">
        <v>285</v>
      </c>
      <c r="L2458" s="378">
        <v>222</v>
      </c>
      <c r="M2458" s="377">
        <v>142.5</v>
      </c>
      <c r="N2458" s="377"/>
      <c r="O2458" s="380"/>
      <c r="P2458" s="380"/>
      <c r="Q2458" s="380"/>
    </row>
    <row r="2459" spans="1:17" x14ac:dyDescent="0.2">
      <c r="A2459" s="384" t="s">
        <v>1745</v>
      </c>
      <c r="B2459" s="380"/>
      <c r="C2459" s="334" t="s">
        <v>1887</v>
      </c>
      <c r="D2459" s="377"/>
      <c r="E2459" s="377">
        <v>71</v>
      </c>
      <c r="F2459" s="378"/>
      <c r="G2459" s="377"/>
      <c r="H2459" s="377">
        <v>142</v>
      </c>
      <c r="I2459" s="399"/>
      <c r="J2459" s="377"/>
      <c r="K2459" s="377">
        <v>71</v>
      </c>
      <c r="L2459" s="378"/>
      <c r="M2459" s="377"/>
      <c r="N2459" s="377">
        <v>142</v>
      </c>
      <c r="O2459" s="380"/>
      <c r="P2459" s="380"/>
      <c r="Q2459" s="380"/>
    </row>
    <row r="2460" spans="1:17" x14ac:dyDescent="0.2">
      <c r="A2460" s="403" t="s">
        <v>1576</v>
      </c>
      <c r="B2460" s="380"/>
      <c r="C2460" s="334" t="s">
        <v>1590</v>
      </c>
      <c r="D2460" s="377"/>
      <c r="E2460" s="377">
        <v>47</v>
      </c>
      <c r="F2460" s="378"/>
      <c r="G2460" s="377"/>
      <c r="H2460" s="377"/>
      <c r="I2460" s="399"/>
      <c r="J2460" s="377"/>
      <c r="K2460" s="377">
        <v>47</v>
      </c>
      <c r="L2460" s="378"/>
      <c r="M2460" s="377"/>
      <c r="N2460" s="377">
        <v>95</v>
      </c>
      <c r="O2460" s="380"/>
      <c r="P2460" s="380"/>
      <c r="Q2460" s="380"/>
    </row>
    <row r="2461" spans="1:17" x14ac:dyDescent="0.2">
      <c r="A2461" s="334" t="s">
        <v>1737</v>
      </c>
      <c r="B2461" s="380"/>
      <c r="C2461" s="334" t="s">
        <v>1984</v>
      </c>
      <c r="D2461" s="377"/>
      <c r="E2461" s="377">
        <v>48</v>
      </c>
      <c r="F2461" s="378">
        <v>47</v>
      </c>
      <c r="G2461" s="377"/>
      <c r="H2461" s="377">
        <v>340</v>
      </c>
      <c r="I2461" s="399"/>
      <c r="J2461" s="377"/>
      <c r="K2461" s="377">
        <v>48</v>
      </c>
      <c r="L2461" s="378">
        <v>47</v>
      </c>
      <c r="M2461" s="377"/>
      <c r="N2461" s="377">
        <v>238</v>
      </c>
      <c r="O2461" s="380"/>
      <c r="P2461" s="380"/>
      <c r="Q2461" s="380"/>
    </row>
    <row r="2462" spans="1:17" x14ac:dyDescent="0.2">
      <c r="A2462" s="334" t="s">
        <v>1726</v>
      </c>
      <c r="B2462" s="380"/>
      <c r="C2462" s="334" t="s">
        <v>1117</v>
      </c>
      <c r="D2462" s="377"/>
      <c r="E2462" s="377"/>
      <c r="F2462" s="378"/>
      <c r="G2462" s="377"/>
      <c r="H2462" s="377">
        <v>475</v>
      </c>
      <c r="I2462" s="399"/>
      <c r="J2462" s="377"/>
      <c r="K2462" s="377"/>
      <c r="L2462" s="378"/>
      <c r="M2462" s="377"/>
      <c r="N2462" s="377">
        <v>475</v>
      </c>
      <c r="O2462" s="380"/>
      <c r="P2462" s="380"/>
      <c r="Q2462" s="380"/>
    </row>
    <row r="2463" spans="1:17" x14ac:dyDescent="0.2">
      <c r="A2463" s="334" t="s">
        <v>1661</v>
      </c>
      <c r="B2463" s="380"/>
      <c r="C2463" s="334" t="s">
        <v>3136</v>
      </c>
      <c r="D2463" s="377"/>
      <c r="E2463" s="377"/>
      <c r="F2463" s="378"/>
      <c r="G2463" s="377"/>
      <c r="H2463" s="377"/>
      <c r="I2463" s="399"/>
      <c r="J2463" s="377"/>
      <c r="K2463" s="377"/>
      <c r="L2463" s="378"/>
      <c r="M2463" s="377"/>
      <c r="N2463" s="377"/>
      <c r="O2463" s="380"/>
      <c r="P2463" s="380"/>
      <c r="Q2463" s="380"/>
    </row>
    <row r="2464" spans="1:17" x14ac:dyDescent="0.2">
      <c r="A2464" s="384" t="s">
        <v>1751</v>
      </c>
      <c r="B2464" s="380"/>
      <c r="C2464" s="334" t="s">
        <v>3138</v>
      </c>
      <c r="D2464" s="377"/>
      <c r="E2464" s="377"/>
      <c r="F2464" s="378"/>
      <c r="G2464" s="377"/>
      <c r="H2464" s="377"/>
      <c r="I2464" s="399"/>
      <c r="J2464" s="377"/>
      <c r="K2464" s="377"/>
      <c r="L2464" s="378"/>
      <c r="M2464" s="377"/>
      <c r="N2464" s="377"/>
      <c r="O2464" s="380"/>
      <c r="P2464" s="380"/>
      <c r="Q2464" s="380"/>
    </row>
    <row r="2465" spans="1:17" x14ac:dyDescent="0.2">
      <c r="A2465" s="334" t="s">
        <v>1577</v>
      </c>
      <c r="B2465" s="380"/>
      <c r="C2465" s="334" t="s">
        <v>1815</v>
      </c>
      <c r="D2465" s="377"/>
      <c r="E2465" s="377"/>
      <c r="F2465" s="378"/>
      <c r="G2465" s="377"/>
      <c r="H2465" s="377"/>
      <c r="I2465" s="399"/>
      <c r="J2465" s="377"/>
      <c r="K2465" s="377"/>
      <c r="L2465" s="378"/>
      <c r="M2465" s="377"/>
      <c r="N2465" s="377"/>
      <c r="O2465" s="380"/>
      <c r="P2465" s="380"/>
      <c r="Q2465" s="380"/>
    </row>
    <row r="2466" spans="1:17" x14ac:dyDescent="0.2">
      <c r="A2466" s="334" t="s">
        <v>1734</v>
      </c>
      <c r="B2466" s="380"/>
      <c r="C2466" s="334" t="s">
        <v>1746</v>
      </c>
      <c r="D2466" s="377"/>
      <c r="E2466" s="377"/>
      <c r="F2466" s="378"/>
      <c r="G2466" s="377"/>
      <c r="H2466" s="377"/>
      <c r="I2466" s="399"/>
      <c r="J2466" s="377"/>
      <c r="K2466" s="377"/>
      <c r="L2466" s="378"/>
      <c r="M2466" s="377"/>
      <c r="N2466" s="377"/>
      <c r="O2466" s="380"/>
      <c r="P2466" s="380"/>
      <c r="Q2466" s="380"/>
    </row>
    <row r="2467" spans="1:17" x14ac:dyDescent="0.2">
      <c r="A2467" s="334" t="s">
        <v>1571</v>
      </c>
      <c r="B2467" s="380"/>
      <c r="C2467" s="334" t="s">
        <v>3</v>
      </c>
      <c r="D2467" s="377"/>
      <c r="E2467" s="377"/>
      <c r="F2467" s="378"/>
      <c r="G2467" s="377"/>
      <c r="H2467" s="377"/>
      <c r="I2467" s="399"/>
      <c r="J2467" s="377"/>
      <c r="K2467" s="377"/>
      <c r="L2467" s="378"/>
      <c r="M2467" s="377"/>
      <c r="N2467" s="377"/>
      <c r="O2467" s="380"/>
      <c r="P2467" s="380"/>
      <c r="Q2467" s="380"/>
    </row>
    <row r="2468" spans="1:17" x14ac:dyDescent="0.2">
      <c r="A2468" s="403" t="s">
        <v>1578</v>
      </c>
      <c r="B2468" s="380"/>
      <c r="C2468" s="334" t="s">
        <v>22</v>
      </c>
      <c r="D2468" s="377"/>
      <c r="E2468" s="377"/>
      <c r="F2468" s="378"/>
      <c r="G2468" s="377"/>
      <c r="H2468" s="377"/>
      <c r="I2468" s="399"/>
      <c r="J2468" s="377"/>
      <c r="K2468" s="377"/>
      <c r="L2468" s="378"/>
      <c r="M2468" s="377"/>
      <c r="N2468" s="377"/>
      <c r="O2468" s="380"/>
      <c r="P2468" s="380"/>
      <c r="Q2468" s="380"/>
    </row>
    <row r="2469" spans="1:17" x14ac:dyDescent="0.2">
      <c r="A2469" s="334" t="s">
        <v>1738</v>
      </c>
      <c r="B2469" s="380"/>
      <c r="C2469" s="334" t="s">
        <v>1591</v>
      </c>
      <c r="D2469" s="377"/>
      <c r="E2469" s="377">
        <v>57</v>
      </c>
      <c r="F2469" s="378">
        <v>48</v>
      </c>
      <c r="G2469" s="377"/>
      <c r="H2469" s="377">
        <v>47</v>
      </c>
      <c r="I2469" s="399"/>
      <c r="J2469" s="377"/>
      <c r="K2469" s="377">
        <v>57</v>
      </c>
      <c r="L2469" s="378">
        <v>48</v>
      </c>
      <c r="M2469" s="377"/>
      <c r="N2469" s="377">
        <v>47</v>
      </c>
      <c r="O2469" s="380"/>
      <c r="P2469" s="380"/>
      <c r="Q2469" s="380"/>
    </row>
    <row r="2470" spans="1:17" x14ac:dyDescent="0.2">
      <c r="A2470" s="334" t="s">
        <v>1727</v>
      </c>
      <c r="B2470" s="380"/>
      <c r="C2470" s="334" t="s">
        <v>307</v>
      </c>
      <c r="D2470" s="377"/>
      <c r="E2470" s="377">
        <v>238</v>
      </c>
      <c r="F2470" s="378">
        <v>285</v>
      </c>
      <c r="G2470" s="377"/>
      <c r="H2470" s="377">
        <v>380</v>
      </c>
      <c r="I2470" s="399"/>
      <c r="J2470" s="377"/>
      <c r="K2470" s="377">
        <v>238</v>
      </c>
      <c r="L2470" s="378">
        <v>285</v>
      </c>
      <c r="M2470" s="377"/>
      <c r="N2470" s="377">
        <v>380</v>
      </c>
      <c r="O2470" s="380"/>
      <c r="P2470" s="380"/>
      <c r="Q2470" s="380"/>
    </row>
    <row r="2471" spans="1:17" x14ac:dyDescent="0.2">
      <c r="A2471" s="334" t="s">
        <v>1728</v>
      </c>
      <c r="B2471" s="380"/>
      <c r="C2471" s="334" t="s">
        <v>310</v>
      </c>
      <c r="D2471" s="377">
        <v>50</v>
      </c>
      <c r="E2471" s="377">
        <v>61</v>
      </c>
      <c r="F2471" s="378">
        <v>95</v>
      </c>
      <c r="G2471" s="377">
        <v>95</v>
      </c>
      <c r="H2471" s="377">
        <v>143</v>
      </c>
      <c r="I2471" s="399"/>
      <c r="J2471" s="377"/>
      <c r="K2471" s="377">
        <v>61</v>
      </c>
      <c r="L2471" s="378">
        <v>95</v>
      </c>
      <c r="M2471" s="377">
        <v>95</v>
      </c>
      <c r="N2471" s="377">
        <v>143</v>
      </c>
      <c r="O2471" s="380"/>
      <c r="P2471" s="380"/>
      <c r="Q2471" s="380"/>
    </row>
    <row r="2472" spans="1:17" x14ac:dyDescent="0.2">
      <c r="A2472" s="334" t="s">
        <v>1729</v>
      </c>
      <c r="B2472" s="380"/>
      <c r="C2472" s="380" t="s">
        <v>1551</v>
      </c>
      <c r="D2472" s="377">
        <v>-114</v>
      </c>
      <c r="E2472" s="377">
        <f>-597.4-1500</f>
        <v>-2097.4</v>
      </c>
      <c r="F2472" s="378">
        <f>-62.98-1500</f>
        <v>-1562.98</v>
      </c>
      <c r="G2472" s="377">
        <v>-3000</v>
      </c>
      <c r="H2472" s="377">
        <v>-189.37</v>
      </c>
      <c r="I2472" s="399"/>
      <c r="J2472" s="377"/>
      <c r="K2472" s="377"/>
      <c r="L2472" s="378"/>
      <c r="M2472" s="377"/>
      <c r="N2472" s="377"/>
      <c r="O2472" s="380"/>
      <c r="P2472" s="380"/>
      <c r="Q2472" s="380"/>
    </row>
    <row r="2473" spans="1:17" x14ac:dyDescent="0.2">
      <c r="A2473" s="334" t="s">
        <v>1735</v>
      </c>
      <c r="B2473" s="380"/>
      <c r="C2473" s="380" t="s">
        <v>194</v>
      </c>
      <c r="D2473" s="377"/>
      <c r="E2473" s="377"/>
      <c r="F2473" s="378"/>
      <c r="G2473" s="377"/>
      <c r="H2473" s="377"/>
      <c r="I2473" s="399"/>
      <c r="J2473" s="377"/>
      <c r="K2473" s="377">
        <v>47</v>
      </c>
      <c r="L2473" s="378">
        <v>24</v>
      </c>
      <c r="M2473" s="377"/>
      <c r="N2473" s="377"/>
      <c r="O2473" s="380"/>
      <c r="P2473" s="380"/>
      <c r="Q2473" s="380"/>
    </row>
    <row r="2474" spans="1:17" x14ac:dyDescent="0.2">
      <c r="A2474" s="334" t="s">
        <v>1741</v>
      </c>
      <c r="B2474" s="380"/>
      <c r="C2474" s="334" t="s">
        <v>1748</v>
      </c>
      <c r="D2474" s="377">
        <v>100</v>
      </c>
      <c r="E2474" s="377">
        <v>95</v>
      </c>
      <c r="F2474" s="378">
        <v>95</v>
      </c>
      <c r="G2474" s="377">
        <v>190</v>
      </c>
      <c r="H2474" s="377">
        <v>427</v>
      </c>
      <c r="I2474" s="399"/>
      <c r="J2474" s="377"/>
      <c r="K2474" s="377">
        <v>95</v>
      </c>
      <c r="L2474" s="378">
        <v>95</v>
      </c>
      <c r="M2474" s="377">
        <v>190</v>
      </c>
      <c r="N2474" s="377">
        <v>427</v>
      </c>
      <c r="O2474" s="380"/>
      <c r="P2474" s="380"/>
      <c r="Q2474" s="380"/>
    </row>
    <row r="2475" spans="1:17" x14ac:dyDescent="0.2">
      <c r="A2475" s="384" t="s">
        <v>1742</v>
      </c>
      <c r="B2475" s="380"/>
      <c r="C2475" s="334" t="s">
        <v>1553</v>
      </c>
      <c r="D2475" s="377"/>
      <c r="E2475" s="377"/>
      <c r="F2475" s="378"/>
      <c r="G2475" s="377"/>
      <c r="H2475" s="377"/>
      <c r="I2475" s="399"/>
      <c r="J2475" s="377"/>
      <c r="K2475" s="377"/>
      <c r="L2475" s="378"/>
      <c r="M2475" s="377"/>
      <c r="N2475" s="377"/>
      <c r="O2475" s="380"/>
      <c r="P2475" s="380"/>
      <c r="Q2475" s="380"/>
    </row>
    <row r="2476" spans="1:17" x14ac:dyDescent="0.2">
      <c r="A2476" s="384" t="s">
        <v>1327</v>
      </c>
      <c r="B2476" s="380"/>
      <c r="C2476" s="334" t="s">
        <v>1929</v>
      </c>
      <c r="D2476" s="377"/>
      <c r="E2476" s="377"/>
      <c r="F2476" s="378"/>
      <c r="G2476" s="377"/>
      <c r="H2476" s="377"/>
      <c r="I2476" s="399"/>
      <c r="J2476" s="377"/>
      <c r="K2476" s="377"/>
      <c r="L2476" s="378"/>
      <c r="M2476" s="377"/>
      <c r="N2476" s="377"/>
      <c r="O2476" s="380"/>
      <c r="P2476" s="380"/>
      <c r="Q2476" s="380"/>
    </row>
    <row r="2477" spans="1:17" x14ac:dyDescent="0.2">
      <c r="A2477" s="334" t="s">
        <v>1584</v>
      </c>
      <c r="B2477" s="380"/>
      <c r="C2477" s="334" t="s">
        <v>0</v>
      </c>
      <c r="D2477" s="377"/>
      <c r="E2477" s="377"/>
      <c r="F2477" s="378"/>
      <c r="G2477" s="377"/>
      <c r="H2477" s="377"/>
      <c r="I2477" s="399"/>
      <c r="J2477" s="377"/>
      <c r="K2477" s="377"/>
      <c r="L2477" s="378"/>
      <c r="M2477" s="377"/>
      <c r="N2477" s="377"/>
      <c r="O2477" s="380"/>
      <c r="P2477" s="380"/>
      <c r="Q2477" s="380"/>
    </row>
    <row r="2478" spans="1:17" x14ac:dyDescent="0.2">
      <c r="A2478" s="334" t="s">
        <v>1580</v>
      </c>
      <c r="B2478" s="380"/>
      <c r="C2478" s="334" t="s">
        <v>1935</v>
      </c>
      <c r="D2478" s="377"/>
      <c r="E2478" s="377"/>
      <c r="F2478" s="378"/>
      <c r="G2478" s="377"/>
      <c r="H2478" s="377"/>
      <c r="I2478" s="399"/>
      <c r="J2478" s="377"/>
      <c r="K2478" s="377"/>
      <c r="L2478" s="378"/>
      <c r="M2478" s="377"/>
      <c r="N2478" s="377"/>
      <c r="O2478" s="380"/>
      <c r="P2478" s="380"/>
      <c r="Q2478" s="380"/>
    </row>
    <row r="2479" spans="1:17" x14ac:dyDescent="0.2">
      <c r="A2479" s="334" t="s">
        <v>1572</v>
      </c>
      <c r="B2479" s="380"/>
      <c r="C2479" s="334" t="s">
        <v>3134</v>
      </c>
      <c r="D2479" s="377"/>
      <c r="E2479" s="377"/>
      <c r="F2479" s="378"/>
      <c r="G2479" s="377"/>
      <c r="H2479" s="377"/>
      <c r="I2479" s="399"/>
      <c r="J2479" s="377"/>
      <c r="K2479" s="377"/>
      <c r="L2479" s="378"/>
      <c r="M2479" s="377"/>
      <c r="N2479" s="377"/>
      <c r="O2479" s="380"/>
      <c r="P2479" s="380"/>
      <c r="Q2479" s="380"/>
    </row>
    <row r="2480" spans="1:17" x14ac:dyDescent="0.2">
      <c r="A2480" s="334" t="s">
        <v>1730</v>
      </c>
      <c r="B2480" s="380"/>
      <c r="C2480" s="334" t="s">
        <v>1985</v>
      </c>
      <c r="D2480" s="377"/>
      <c r="E2480" s="377">
        <v>950</v>
      </c>
      <c r="F2480" s="378">
        <v>427</v>
      </c>
      <c r="G2480" s="377"/>
      <c r="H2480" s="377">
        <v>855</v>
      </c>
      <c r="I2480" s="399"/>
      <c r="J2480" s="377"/>
      <c r="K2480" s="377">
        <v>950</v>
      </c>
      <c r="L2480" s="378">
        <v>427</v>
      </c>
      <c r="M2480" s="377"/>
      <c r="N2480" s="377">
        <v>855</v>
      </c>
      <c r="O2480" s="380"/>
      <c r="P2480" s="380"/>
      <c r="Q2480" s="380"/>
    </row>
    <row r="2481" spans="1:17" x14ac:dyDescent="0.2">
      <c r="A2481" s="334" t="s">
        <v>1566</v>
      </c>
      <c r="B2481" s="380"/>
      <c r="C2481" s="334" t="s">
        <v>366</v>
      </c>
      <c r="D2481" s="377">
        <v>50</v>
      </c>
      <c r="E2481" s="377">
        <v>380</v>
      </c>
      <c r="F2481" s="378">
        <v>380</v>
      </c>
      <c r="G2481" s="377">
        <v>475</v>
      </c>
      <c r="H2481" s="377">
        <v>1200</v>
      </c>
      <c r="I2481" s="399"/>
      <c r="J2481" s="377"/>
      <c r="K2481" s="377">
        <v>380</v>
      </c>
      <c r="L2481" s="378">
        <v>380</v>
      </c>
      <c r="M2481" s="377">
        <v>475</v>
      </c>
      <c r="N2481" s="377">
        <v>1140</v>
      </c>
      <c r="O2481" s="380"/>
      <c r="P2481" s="380"/>
      <c r="Q2481" s="380"/>
    </row>
    <row r="2482" spans="1:17" x14ac:dyDescent="0.2">
      <c r="A2482" s="334" t="s">
        <v>1755</v>
      </c>
      <c r="B2482" s="380"/>
      <c r="C2482" s="380" t="s">
        <v>1986</v>
      </c>
      <c r="D2482" s="377"/>
      <c r="E2482" s="377"/>
      <c r="F2482" s="378"/>
      <c r="G2482" s="377"/>
      <c r="H2482" s="377"/>
      <c r="I2482" s="399"/>
      <c r="J2482" s="377"/>
      <c r="K2482" s="377"/>
      <c r="L2482" s="378"/>
      <c r="M2482" s="377"/>
      <c r="N2482" s="377"/>
      <c r="O2482" s="380"/>
      <c r="P2482" s="380"/>
      <c r="Q2482" s="380"/>
    </row>
    <row r="2483" spans="1:17" x14ac:dyDescent="0.2">
      <c r="A2483" s="334" t="s">
        <v>1587</v>
      </c>
      <c r="B2483" s="380"/>
      <c r="C2483" s="334" t="s">
        <v>34</v>
      </c>
      <c r="D2483" s="377"/>
      <c r="E2483" s="377"/>
      <c r="F2483" s="378"/>
      <c r="G2483" s="377"/>
      <c r="H2483" s="377"/>
      <c r="I2483" s="399"/>
      <c r="J2483" s="377"/>
      <c r="K2483" s="377"/>
      <c r="L2483" s="378"/>
      <c r="M2483" s="377"/>
      <c r="N2483" s="377"/>
      <c r="O2483" s="380"/>
      <c r="P2483" s="380"/>
      <c r="Q2483" s="380"/>
    </row>
    <row r="2484" spans="1:17" x14ac:dyDescent="0.2">
      <c r="A2484" s="384" t="s">
        <v>1903</v>
      </c>
      <c r="B2484" s="380"/>
      <c r="C2484" s="334" t="s">
        <v>35</v>
      </c>
      <c r="D2484" s="377"/>
      <c r="E2484" s="377"/>
      <c r="F2484" s="378"/>
      <c r="G2484" s="377"/>
      <c r="H2484" s="377"/>
      <c r="I2484" s="399"/>
      <c r="J2484" s="377"/>
      <c r="K2484" s="377"/>
      <c r="L2484" s="378"/>
      <c r="M2484" s="377"/>
      <c r="N2484" s="377"/>
      <c r="O2484" s="380"/>
      <c r="P2484" s="380"/>
      <c r="Q2484" s="380"/>
    </row>
    <row r="2485" spans="1:17" x14ac:dyDescent="0.2">
      <c r="A2485" s="384" t="s">
        <v>1962</v>
      </c>
      <c r="B2485" s="380"/>
      <c r="C2485" s="380" t="s">
        <v>572</v>
      </c>
      <c r="D2485" s="377"/>
      <c r="E2485" s="377"/>
      <c r="F2485" s="378"/>
      <c r="G2485" s="377"/>
      <c r="H2485" s="377">
        <v>1640</v>
      </c>
      <c r="I2485" s="399"/>
      <c r="J2485" s="377"/>
      <c r="K2485" s="377"/>
      <c r="L2485" s="378"/>
      <c r="M2485" s="377"/>
      <c r="N2485" s="377"/>
      <c r="O2485" s="380"/>
      <c r="P2485" s="380"/>
      <c r="Q2485" s="380"/>
    </row>
    <row r="2486" spans="1:17" x14ac:dyDescent="0.2">
      <c r="A2486" s="334" t="s">
        <v>1567</v>
      </c>
      <c r="B2486" s="380"/>
      <c r="C2486" s="334" t="s">
        <v>3142</v>
      </c>
      <c r="D2486" s="377"/>
      <c r="E2486" s="377"/>
      <c r="F2486" s="378"/>
      <c r="G2486" s="377"/>
      <c r="H2486" s="377"/>
      <c r="I2486" s="399"/>
      <c r="J2486" s="377"/>
      <c r="K2486" s="377"/>
      <c r="L2486" s="378"/>
      <c r="M2486" s="377"/>
      <c r="N2486" s="377"/>
      <c r="O2486" s="380"/>
      <c r="P2486" s="380"/>
      <c r="Q2486" s="380"/>
    </row>
    <row r="2487" spans="1:17" x14ac:dyDescent="0.2">
      <c r="A2487" s="334" t="s">
        <v>1662</v>
      </c>
      <c r="B2487" s="380"/>
      <c r="C2487" s="334" t="s">
        <v>24</v>
      </c>
      <c r="D2487" s="377"/>
      <c r="E2487" s="377"/>
      <c r="F2487" s="378"/>
      <c r="G2487" s="377"/>
      <c r="H2487" s="377"/>
      <c r="I2487" s="399"/>
      <c r="J2487" s="377"/>
      <c r="K2487" s="377"/>
      <c r="L2487" s="378"/>
      <c r="M2487" s="377"/>
      <c r="N2487" s="377"/>
      <c r="O2487" s="380"/>
      <c r="P2487" s="380"/>
      <c r="Q2487" s="380"/>
    </row>
    <row r="2488" spans="1:17" x14ac:dyDescent="0.2">
      <c r="A2488" s="334"/>
      <c r="B2488" s="380"/>
      <c r="C2488" s="334" t="s">
        <v>25</v>
      </c>
      <c r="D2488" s="377"/>
      <c r="E2488" s="377"/>
      <c r="F2488" s="378"/>
      <c r="G2488" s="377"/>
      <c r="H2488" s="377"/>
      <c r="I2488" s="399"/>
      <c r="J2488" s="377"/>
      <c r="K2488" s="377"/>
      <c r="L2488" s="378"/>
      <c r="M2488" s="377"/>
      <c r="N2488" s="377"/>
      <c r="O2488" s="380"/>
      <c r="P2488" s="380"/>
      <c r="Q2488" s="380"/>
    </row>
    <row r="2489" spans="1:17" x14ac:dyDescent="0.2">
      <c r="A2489" s="334"/>
      <c r="B2489" s="380"/>
      <c r="C2489" s="334" t="s">
        <v>1608</v>
      </c>
      <c r="D2489" s="377"/>
      <c r="E2489" s="377"/>
      <c r="F2489" s="378"/>
      <c r="G2489" s="377"/>
      <c r="H2489" s="377"/>
      <c r="I2489" s="399"/>
      <c r="J2489" s="377"/>
      <c r="K2489" s="377"/>
      <c r="L2489" s="378"/>
      <c r="M2489" s="377"/>
      <c r="N2489" s="377"/>
      <c r="O2489" s="380"/>
      <c r="P2489" s="380"/>
      <c r="Q2489" s="380"/>
    </row>
    <row r="2490" spans="1:17" x14ac:dyDescent="0.2">
      <c r="A2490" s="380"/>
      <c r="B2490" s="380"/>
      <c r="C2490" s="380"/>
      <c r="D2490" s="410" t="s">
        <v>342</v>
      </c>
      <c r="E2490" s="410" t="s">
        <v>342</v>
      </c>
      <c r="F2490" s="445" t="s">
        <v>342</v>
      </c>
      <c r="G2490" s="410"/>
      <c r="H2490" s="410" t="s">
        <v>342</v>
      </c>
      <c r="I2490" s="385"/>
      <c r="J2490" s="410" t="s">
        <v>342</v>
      </c>
      <c r="K2490" s="410" t="s">
        <v>342</v>
      </c>
      <c r="L2490" s="445" t="s">
        <v>342</v>
      </c>
      <c r="M2490" s="410"/>
      <c r="N2490" s="410" t="s">
        <v>342</v>
      </c>
      <c r="O2490" s="380"/>
      <c r="P2490" s="380"/>
      <c r="Q2490" s="380"/>
    </row>
    <row r="2491" spans="1:17" x14ac:dyDescent="0.2">
      <c r="A2491" s="334" t="s">
        <v>342</v>
      </c>
      <c r="B2491" s="380"/>
      <c r="C2491" s="334" t="s">
        <v>342</v>
      </c>
      <c r="D2491" s="334">
        <f>SUM(D2452:D2488)</f>
        <v>236</v>
      </c>
      <c r="E2491" s="334">
        <f>SUM(E2452:E2488)</f>
        <v>889.6</v>
      </c>
      <c r="F2491" s="412">
        <f>SUM(F2452:F2488)</f>
        <v>406.02</v>
      </c>
      <c r="G2491" s="334">
        <f>SUM(G2452:G2489)</f>
        <v>515</v>
      </c>
      <c r="H2491" s="334">
        <f>SUM(H2452:H2488)</f>
        <v>6490.63</v>
      </c>
      <c r="I2491" s="385"/>
      <c r="J2491" s="334">
        <f>SUM(J2452:J2488)</f>
        <v>0</v>
      </c>
      <c r="K2491" s="334">
        <f>SUM(K2452:K2488)</f>
        <v>3034</v>
      </c>
      <c r="L2491" s="412">
        <f>SUM(L2452:L2488)</f>
        <v>1993</v>
      </c>
      <c r="M2491" s="334">
        <f>SUM(M2452:M2489)</f>
        <v>3515</v>
      </c>
      <c r="N2491" s="334">
        <f>SUM(N2452:N2488)</f>
        <v>4973</v>
      </c>
      <c r="O2491" s="380"/>
      <c r="P2491" s="380"/>
      <c r="Q2491" s="380"/>
    </row>
    <row r="2492" spans="1:17" ht="15.75" thickTop="1" x14ac:dyDescent="0.2">
      <c r="A2492" s="334"/>
      <c r="B2492" s="380"/>
      <c r="C2492" s="334"/>
      <c r="D2492" s="400"/>
      <c r="E2492" s="395"/>
      <c r="F2492" s="401"/>
      <c r="G2492" s="395"/>
      <c r="H2492" s="395"/>
      <c r="I2492" s="385"/>
      <c r="J2492" s="400"/>
      <c r="K2492" s="395"/>
      <c r="L2492" s="401"/>
      <c r="M2492" s="395"/>
      <c r="N2492" s="395"/>
      <c r="O2492" s="380"/>
      <c r="P2492" s="380"/>
      <c r="Q2492" s="380"/>
    </row>
    <row r="2493" spans="1:17" s="15" customFormat="1" x14ac:dyDescent="0.2">
      <c r="A2493" s="385"/>
      <c r="B2493" s="382"/>
      <c r="C2493" s="385"/>
      <c r="D2493" s="385"/>
      <c r="E2493" s="399"/>
      <c r="F2493" s="416"/>
      <c r="G2493" s="399"/>
      <c r="H2493" s="399"/>
      <c r="I2493" s="385"/>
      <c r="J2493" s="385"/>
      <c r="K2493" s="399"/>
      <c r="L2493" s="416"/>
      <c r="M2493" s="399"/>
      <c r="N2493" s="399"/>
      <c r="O2493" s="382"/>
      <c r="P2493" s="382"/>
      <c r="Q2493" s="382"/>
    </row>
    <row r="2494" spans="1:17" s="15" customFormat="1" x14ac:dyDescent="0.2">
      <c r="A2494" s="334" t="s">
        <v>1659</v>
      </c>
      <c r="B2494" s="380"/>
      <c r="C2494" s="380"/>
      <c r="D2494" s="334" t="s">
        <v>269</v>
      </c>
      <c r="E2494" s="334" t="s">
        <v>268</v>
      </c>
      <c r="F2494" s="412" t="s">
        <v>266</v>
      </c>
      <c r="G2494" s="334"/>
      <c r="H2494" s="334" t="s">
        <v>270</v>
      </c>
      <c r="I2494" s="385"/>
      <c r="J2494" s="334" t="s">
        <v>269</v>
      </c>
      <c r="K2494" s="334" t="s">
        <v>268</v>
      </c>
      <c r="L2494" s="412" t="s">
        <v>266</v>
      </c>
      <c r="M2494" s="334"/>
      <c r="N2494" s="334" t="s">
        <v>270</v>
      </c>
      <c r="O2494" s="382"/>
      <c r="P2494" s="382"/>
      <c r="Q2494" s="382"/>
    </row>
    <row r="2495" spans="1:17" s="15" customFormat="1" x14ac:dyDescent="0.2">
      <c r="A2495" s="334" t="s">
        <v>1660</v>
      </c>
      <c r="B2495" s="380"/>
      <c r="C2495" s="384"/>
      <c r="D2495" s="384" t="s">
        <v>3699</v>
      </c>
      <c r="E2495" s="384" t="s">
        <v>3701</v>
      </c>
      <c r="F2495" s="421" t="s">
        <v>2924</v>
      </c>
      <c r="G2495" s="334"/>
      <c r="H2495" s="384" t="s">
        <v>3702</v>
      </c>
      <c r="I2495" s="385"/>
      <c r="J2495" s="384" t="s">
        <v>3699</v>
      </c>
      <c r="K2495" s="384" t="s">
        <v>3701</v>
      </c>
      <c r="L2495" s="421" t="s">
        <v>2924</v>
      </c>
      <c r="M2495" s="334"/>
      <c r="N2495" s="384" t="s">
        <v>3702</v>
      </c>
      <c r="O2495" s="382"/>
      <c r="P2495" s="382"/>
      <c r="Q2495" s="382"/>
    </row>
    <row r="2496" spans="1:17" s="15" customFormat="1" x14ac:dyDescent="0.2">
      <c r="A2496" s="380"/>
      <c r="B2496" s="380"/>
      <c r="C2496" s="380"/>
      <c r="D2496" s="334" t="s">
        <v>794</v>
      </c>
      <c r="E2496" s="334" t="s">
        <v>119</v>
      </c>
      <c r="F2496" s="389" t="s">
        <v>795</v>
      </c>
      <c r="G2496" s="334"/>
      <c r="H2496" s="334" t="s">
        <v>796</v>
      </c>
      <c r="I2496" s="385"/>
      <c r="J2496" s="334" t="s">
        <v>794</v>
      </c>
      <c r="K2496" s="334" t="s">
        <v>119</v>
      </c>
      <c r="L2496" s="412" t="s">
        <v>795</v>
      </c>
      <c r="M2496" s="334"/>
      <c r="N2496" s="334" t="s">
        <v>796</v>
      </c>
      <c r="O2496" s="382"/>
      <c r="P2496" s="382"/>
      <c r="Q2496" s="382"/>
    </row>
    <row r="2497" spans="1:17" s="15" customFormat="1" x14ac:dyDescent="0.2">
      <c r="A2497" s="334" t="s">
        <v>1723</v>
      </c>
      <c r="B2497" s="380"/>
      <c r="C2497" s="334" t="s">
        <v>1880</v>
      </c>
      <c r="D2497" s="334" t="s">
        <v>181</v>
      </c>
      <c r="E2497" s="334" t="s">
        <v>181</v>
      </c>
      <c r="F2497" s="389" t="s">
        <v>181</v>
      </c>
      <c r="G2497" s="334"/>
      <c r="H2497" s="334" t="s">
        <v>181</v>
      </c>
      <c r="I2497" s="385"/>
      <c r="J2497" s="334" t="s">
        <v>181</v>
      </c>
      <c r="K2497" s="334" t="s">
        <v>181</v>
      </c>
      <c r="L2497" s="412" t="s">
        <v>181</v>
      </c>
      <c r="M2497" s="334"/>
      <c r="N2497" s="334" t="s">
        <v>181</v>
      </c>
      <c r="O2497" s="382"/>
      <c r="P2497" s="382"/>
      <c r="Q2497" s="382"/>
    </row>
    <row r="2498" spans="1:17" s="15" customFormat="1" x14ac:dyDescent="0.2">
      <c r="A2498" s="380"/>
      <c r="B2498" s="380"/>
      <c r="C2498" s="380"/>
      <c r="D2498" s="380"/>
      <c r="E2498" s="380"/>
      <c r="F2498" s="378"/>
      <c r="G2498" s="380"/>
      <c r="H2498" s="380"/>
      <c r="I2498" s="382"/>
      <c r="J2498" s="380"/>
      <c r="K2498" s="380"/>
      <c r="L2498" s="378"/>
      <c r="M2498" s="380"/>
      <c r="N2498" s="380"/>
      <c r="O2498" s="382"/>
      <c r="P2498" s="382"/>
      <c r="Q2498" s="382"/>
    </row>
    <row r="2499" spans="1:17" s="15" customFormat="1" x14ac:dyDescent="0.2">
      <c r="A2499" s="334" t="s">
        <v>1569</v>
      </c>
      <c r="B2499" s="380"/>
      <c r="C2499" s="334" t="s">
        <v>1888</v>
      </c>
      <c r="D2499" s="377"/>
      <c r="E2499" s="377"/>
      <c r="F2499" s="378"/>
      <c r="G2499" s="377"/>
      <c r="H2499" s="377"/>
      <c r="I2499" s="399"/>
      <c r="J2499" s="377"/>
      <c r="K2499" s="377"/>
      <c r="L2499" s="378"/>
      <c r="M2499" s="377"/>
      <c r="N2499" s="377"/>
      <c r="O2499" s="382"/>
      <c r="P2499" s="382"/>
      <c r="Q2499" s="382"/>
    </row>
    <row r="2500" spans="1:17" s="15" customFormat="1" x14ac:dyDescent="0.2">
      <c r="A2500" s="334" t="s">
        <v>1724</v>
      </c>
      <c r="B2500" s="380"/>
      <c r="C2500" s="334" t="s">
        <v>1881</v>
      </c>
      <c r="D2500" s="377">
        <v>80</v>
      </c>
      <c r="E2500" s="377">
        <v>95</v>
      </c>
      <c r="F2500" s="378">
        <v>5407</v>
      </c>
      <c r="G2500" s="377"/>
      <c r="H2500" s="377">
        <v>300</v>
      </c>
      <c r="I2500" s="399"/>
      <c r="J2500" s="377">
        <v>80</v>
      </c>
      <c r="K2500" s="377">
        <v>95</v>
      </c>
      <c r="L2500" s="378">
        <v>5407</v>
      </c>
      <c r="M2500" s="377"/>
      <c r="N2500" s="377">
        <v>226</v>
      </c>
      <c r="O2500" s="382"/>
      <c r="P2500" s="382"/>
      <c r="Q2500" s="382"/>
    </row>
    <row r="2501" spans="1:17" s="15" customFormat="1" x14ac:dyDescent="0.2">
      <c r="A2501" s="334" t="s">
        <v>1736</v>
      </c>
      <c r="B2501" s="380"/>
      <c r="C2501" s="334" t="s">
        <v>1747</v>
      </c>
      <c r="D2501" s="377"/>
      <c r="E2501" s="377"/>
      <c r="F2501" s="378">
        <v>190</v>
      </c>
      <c r="G2501" s="377"/>
      <c r="H2501" s="377"/>
      <c r="I2501" s="399"/>
      <c r="J2501" s="377"/>
      <c r="K2501" s="377"/>
      <c r="L2501" s="378">
        <v>190</v>
      </c>
      <c r="M2501" s="377"/>
      <c r="N2501" s="377"/>
      <c r="O2501" s="382"/>
      <c r="P2501" s="382"/>
      <c r="Q2501" s="382"/>
    </row>
    <row r="2502" spans="1:17" s="15" customFormat="1" x14ac:dyDescent="0.2">
      <c r="A2502" s="334" t="s">
        <v>1744</v>
      </c>
      <c r="B2502" s="380"/>
      <c r="C2502" s="334" t="s">
        <v>1254</v>
      </c>
      <c r="D2502" s="377"/>
      <c r="E2502" s="377"/>
      <c r="F2502" s="378"/>
      <c r="G2502" s="377"/>
      <c r="H2502" s="377">
        <v>950</v>
      </c>
      <c r="I2502" s="399"/>
      <c r="J2502" s="377"/>
      <c r="K2502" s="377"/>
      <c r="L2502" s="378"/>
      <c r="M2502" s="377"/>
      <c r="N2502" s="377"/>
      <c r="O2502" s="382"/>
      <c r="P2502" s="382"/>
      <c r="Q2502" s="382"/>
    </row>
    <row r="2503" spans="1:17" s="15" customFormat="1" x14ac:dyDescent="0.2">
      <c r="A2503" s="334" t="s">
        <v>1582</v>
      </c>
      <c r="B2503" s="380"/>
      <c r="C2503" s="334" t="s">
        <v>3135</v>
      </c>
      <c r="D2503" s="377"/>
      <c r="E2503" s="377">
        <v>273</v>
      </c>
      <c r="F2503" s="378"/>
      <c r="G2503" s="377"/>
      <c r="H2503" s="377"/>
      <c r="I2503" s="399"/>
      <c r="J2503" s="377"/>
      <c r="K2503" s="377">
        <v>273</v>
      </c>
      <c r="L2503" s="378"/>
      <c r="M2503" s="377"/>
      <c r="N2503" s="377"/>
      <c r="O2503" s="382"/>
      <c r="P2503" s="382"/>
      <c r="Q2503" s="382"/>
    </row>
    <row r="2504" spans="1:17" s="15" customFormat="1" x14ac:dyDescent="0.2">
      <c r="A2504" s="403" t="s">
        <v>1575</v>
      </c>
      <c r="B2504" s="380"/>
      <c r="C2504" s="334" t="s">
        <v>1889</v>
      </c>
      <c r="D2504" s="377"/>
      <c r="E2504" s="377"/>
      <c r="F2504" s="378"/>
      <c r="G2504" s="377"/>
      <c r="H2504" s="377"/>
      <c r="I2504" s="399"/>
      <c r="J2504" s="377"/>
      <c r="K2504" s="377"/>
      <c r="L2504" s="378"/>
      <c r="M2504" s="377"/>
      <c r="N2504" s="377"/>
      <c r="O2504" s="382"/>
      <c r="P2504" s="382"/>
      <c r="Q2504" s="382"/>
    </row>
    <row r="2505" spans="1:17" s="15" customFormat="1" x14ac:dyDescent="0.2">
      <c r="A2505" s="334" t="s">
        <v>1725</v>
      </c>
      <c r="B2505" s="380"/>
      <c r="C2505" s="334" t="s">
        <v>1890</v>
      </c>
      <c r="D2505" s="377"/>
      <c r="E2505" s="377"/>
      <c r="F2505" s="378"/>
      <c r="G2505" s="377"/>
      <c r="H2505" s="377"/>
      <c r="I2505" s="399"/>
      <c r="J2505" s="377"/>
      <c r="K2505" s="377"/>
      <c r="L2505" s="378"/>
      <c r="M2505" s="377"/>
      <c r="N2505" s="377"/>
      <c r="O2505" s="382"/>
      <c r="P2505" s="382"/>
      <c r="Q2505" s="382"/>
    </row>
    <row r="2506" spans="1:17" s="15" customFormat="1" x14ac:dyDescent="0.2">
      <c r="A2506" s="403" t="s">
        <v>1576</v>
      </c>
      <c r="B2506" s="380"/>
      <c r="C2506" s="334" t="s">
        <v>1590</v>
      </c>
      <c r="D2506" s="377"/>
      <c r="E2506" s="377"/>
      <c r="F2506" s="378"/>
      <c r="G2506" s="377"/>
      <c r="H2506" s="377">
        <v>38</v>
      </c>
      <c r="I2506" s="399"/>
      <c r="J2506" s="377"/>
      <c r="K2506" s="377"/>
      <c r="L2506" s="378"/>
      <c r="M2506" s="377"/>
      <c r="N2506" s="377">
        <v>38</v>
      </c>
      <c r="O2506" s="382"/>
      <c r="P2506" s="382"/>
      <c r="Q2506" s="382"/>
    </row>
    <row r="2507" spans="1:17" s="15" customFormat="1" x14ac:dyDescent="0.2">
      <c r="A2507" s="334" t="s">
        <v>1737</v>
      </c>
      <c r="B2507" s="380"/>
      <c r="C2507" s="334" t="s">
        <v>1984</v>
      </c>
      <c r="D2507" s="377">
        <v>285</v>
      </c>
      <c r="E2507" s="377"/>
      <c r="F2507" s="378">
        <v>143</v>
      </c>
      <c r="G2507" s="377"/>
      <c r="H2507" s="377">
        <v>285</v>
      </c>
      <c r="I2507" s="399"/>
      <c r="J2507" s="377">
        <v>285</v>
      </c>
      <c r="K2507" s="377"/>
      <c r="L2507" s="378">
        <v>143</v>
      </c>
      <c r="M2507" s="377"/>
      <c r="N2507" s="377">
        <v>285</v>
      </c>
      <c r="O2507" s="382"/>
      <c r="P2507" s="382"/>
      <c r="Q2507" s="382"/>
    </row>
    <row r="2508" spans="1:17" s="15" customFormat="1" x14ac:dyDescent="0.2">
      <c r="A2508" s="334" t="s">
        <v>1726</v>
      </c>
      <c r="B2508" s="380"/>
      <c r="C2508" s="334" t="s">
        <v>1117</v>
      </c>
      <c r="D2508" s="377"/>
      <c r="E2508" s="377"/>
      <c r="F2508" s="378"/>
      <c r="G2508" s="377"/>
      <c r="H2508" s="377"/>
      <c r="I2508" s="399"/>
      <c r="J2508" s="377"/>
      <c r="K2508" s="377"/>
      <c r="L2508" s="378"/>
      <c r="M2508" s="377"/>
      <c r="N2508" s="377"/>
      <c r="O2508" s="382"/>
      <c r="P2508" s="382"/>
      <c r="Q2508" s="382"/>
    </row>
    <row r="2509" spans="1:17" s="15" customFormat="1" x14ac:dyDescent="0.2">
      <c r="A2509" s="334" t="s">
        <v>1661</v>
      </c>
      <c r="B2509" s="380"/>
      <c r="C2509" s="334" t="s">
        <v>3136</v>
      </c>
      <c r="D2509" s="377"/>
      <c r="E2509" s="377"/>
      <c r="F2509" s="378"/>
      <c r="G2509" s="377"/>
      <c r="H2509" s="377"/>
      <c r="I2509" s="399"/>
      <c r="J2509" s="377"/>
      <c r="K2509" s="377"/>
      <c r="L2509" s="378"/>
      <c r="M2509" s="377"/>
      <c r="N2509" s="377"/>
      <c r="O2509" s="382"/>
      <c r="P2509" s="382"/>
      <c r="Q2509" s="382"/>
    </row>
    <row r="2510" spans="1:17" s="15" customFormat="1" x14ac:dyDescent="0.2">
      <c r="A2510" s="334" t="s">
        <v>1577</v>
      </c>
      <c r="B2510" s="380"/>
      <c r="C2510" s="334" t="s">
        <v>1815</v>
      </c>
      <c r="D2510" s="377"/>
      <c r="E2510" s="377"/>
      <c r="F2510" s="378"/>
      <c r="G2510" s="377"/>
      <c r="H2510" s="377"/>
      <c r="I2510" s="399"/>
      <c r="J2510" s="377"/>
      <c r="K2510" s="377"/>
      <c r="L2510" s="378"/>
      <c r="M2510" s="377"/>
      <c r="N2510" s="377"/>
      <c r="O2510" s="382"/>
      <c r="P2510" s="382"/>
      <c r="Q2510" s="382"/>
    </row>
    <row r="2511" spans="1:17" s="15" customFormat="1" x14ac:dyDescent="0.2">
      <c r="A2511" s="334" t="s">
        <v>1734</v>
      </c>
      <c r="B2511" s="380"/>
      <c r="C2511" s="334" t="s">
        <v>1746</v>
      </c>
      <c r="D2511" s="377"/>
      <c r="E2511" s="377"/>
      <c r="F2511" s="378"/>
      <c r="G2511" s="377"/>
      <c r="H2511" s="377"/>
      <c r="I2511" s="399"/>
      <c r="J2511" s="377"/>
      <c r="K2511" s="377"/>
      <c r="L2511" s="378"/>
      <c r="M2511" s="377"/>
      <c r="N2511" s="377"/>
      <c r="O2511" s="382"/>
      <c r="P2511" s="382"/>
      <c r="Q2511" s="382"/>
    </row>
    <row r="2512" spans="1:17" s="15" customFormat="1" x14ac:dyDescent="0.2">
      <c r="A2512" s="334" t="s">
        <v>1571</v>
      </c>
      <c r="B2512" s="380"/>
      <c r="C2512" s="334" t="s">
        <v>3</v>
      </c>
      <c r="D2512" s="377"/>
      <c r="E2512" s="377"/>
      <c r="F2512" s="378"/>
      <c r="G2512" s="377"/>
      <c r="H2512" s="377"/>
      <c r="I2512" s="399"/>
      <c r="J2512" s="377"/>
      <c r="K2512" s="377"/>
      <c r="L2512" s="378"/>
      <c r="M2512" s="377"/>
      <c r="N2512" s="377"/>
      <c r="O2512" s="382"/>
      <c r="P2512" s="382"/>
      <c r="Q2512" s="382"/>
    </row>
    <row r="2513" spans="1:17" s="15" customFormat="1" x14ac:dyDescent="0.2">
      <c r="A2513" s="403" t="s">
        <v>1578</v>
      </c>
      <c r="B2513" s="380"/>
      <c r="C2513" s="334" t="s">
        <v>22</v>
      </c>
      <c r="D2513" s="377"/>
      <c r="E2513" s="377"/>
      <c r="F2513" s="378"/>
      <c r="G2513" s="377"/>
      <c r="H2513" s="377"/>
      <c r="I2513" s="399"/>
      <c r="J2513" s="377"/>
      <c r="K2513" s="377"/>
      <c r="L2513" s="378"/>
      <c r="M2513" s="377"/>
      <c r="N2513" s="377"/>
      <c r="O2513" s="382"/>
      <c r="P2513" s="382"/>
      <c r="Q2513" s="382"/>
    </row>
    <row r="2514" spans="1:17" s="15" customFormat="1" x14ac:dyDescent="0.2">
      <c r="A2514" s="334" t="s">
        <v>1738</v>
      </c>
      <c r="B2514" s="380"/>
      <c r="C2514" s="334" t="s">
        <v>1591</v>
      </c>
      <c r="D2514" s="377">
        <v>19</v>
      </c>
      <c r="E2514" s="377"/>
      <c r="F2514" s="378">
        <v>47</v>
      </c>
      <c r="G2514" s="377"/>
      <c r="H2514" s="377">
        <v>47</v>
      </c>
      <c r="I2514" s="399"/>
      <c r="J2514" s="377">
        <v>19</v>
      </c>
      <c r="K2514" s="377"/>
      <c r="L2514" s="378">
        <v>47</v>
      </c>
      <c r="M2514" s="377"/>
      <c r="N2514" s="377">
        <v>47</v>
      </c>
      <c r="O2514" s="382"/>
      <c r="P2514" s="382"/>
      <c r="Q2514" s="382"/>
    </row>
    <row r="2515" spans="1:17" s="15" customFormat="1" x14ac:dyDescent="0.2">
      <c r="A2515" s="334" t="s">
        <v>1727</v>
      </c>
      <c r="B2515" s="380"/>
      <c r="C2515" s="334" t="s">
        <v>307</v>
      </c>
      <c r="D2515" s="377">
        <v>119</v>
      </c>
      <c r="E2515" s="377"/>
      <c r="F2515" s="378">
        <v>332</v>
      </c>
      <c r="G2515" s="377"/>
      <c r="H2515" s="377">
        <v>285</v>
      </c>
      <c r="I2515" s="399"/>
      <c r="J2515" s="377">
        <v>119</v>
      </c>
      <c r="K2515" s="377"/>
      <c r="L2515" s="378">
        <v>332</v>
      </c>
      <c r="M2515" s="377"/>
      <c r="N2515" s="377">
        <v>285</v>
      </c>
      <c r="O2515" s="382"/>
      <c r="P2515" s="382"/>
      <c r="Q2515" s="382"/>
    </row>
    <row r="2516" spans="1:17" s="15" customFormat="1" x14ac:dyDescent="0.2">
      <c r="A2516" s="334" t="s">
        <v>1728</v>
      </c>
      <c r="B2516" s="380"/>
      <c r="C2516" s="334" t="s">
        <v>310</v>
      </c>
      <c r="D2516" s="377">
        <v>24</v>
      </c>
      <c r="E2516" s="377"/>
      <c r="F2516" s="378">
        <v>95</v>
      </c>
      <c r="G2516" s="377"/>
      <c r="H2516" s="377">
        <v>95</v>
      </c>
      <c r="I2516" s="399"/>
      <c r="J2516" s="377">
        <v>24</v>
      </c>
      <c r="K2516" s="377"/>
      <c r="L2516" s="378">
        <v>95</v>
      </c>
      <c r="M2516" s="377"/>
      <c r="N2516" s="377">
        <v>95</v>
      </c>
      <c r="O2516" s="382"/>
      <c r="P2516" s="382"/>
      <c r="Q2516" s="382"/>
    </row>
    <row r="2517" spans="1:17" s="15" customFormat="1" x14ac:dyDescent="0.2">
      <c r="A2517" s="334" t="s">
        <v>1729</v>
      </c>
      <c r="B2517" s="380"/>
      <c r="C2517" s="380" t="s">
        <v>1551</v>
      </c>
      <c r="D2517" s="377">
        <v>-428.2</v>
      </c>
      <c r="E2517" s="377">
        <v>-697</v>
      </c>
      <c r="F2517" s="378">
        <v>-3105.2</v>
      </c>
      <c r="G2517" s="377"/>
      <c r="H2517" s="377">
        <v>-857</v>
      </c>
      <c r="I2517" s="399"/>
      <c r="J2517" s="377"/>
      <c r="K2517" s="377"/>
      <c r="L2517" s="378"/>
      <c r="M2517" s="377"/>
      <c r="N2517" s="377"/>
      <c r="O2517" s="382"/>
      <c r="P2517" s="382"/>
      <c r="Q2517" s="382"/>
    </row>
    <row r="2518" spans="1:17" s="15" customFormat="1" x14ac:dyDescent="0.2">
      <c r="A2518" s="334" t="s">
        <v>1735</v>
      </c>
      <c r="B2518" s="380"/>
      <c r="C2518" s="380" t="s">
        <v>194</v>
      </c>
      <c r="D2518" s="377"/>
      <c r="E2518" s="377"/>
      <c r="F2518" s="378"/>
      <c r="G2518" s="377"/>
      <c r="H2518" s="377"/>
      <c r="I2518" s="399"/>
      <c r="J2518" s="377">
        <v>24</v>
      </c>
      <c r="K2518" s="377"/>
      <c r="L2518" s="378">
        <v>38</v>
      </c>
      <c r="M2518" s="377"/>
      <c r="N2518" s="377">
        <v>48</v>
      </c>
      <c r="O2518" s="382"/>
      <c r="P2518" s="382"/>
      <c r="Q2518" s="382"/>
    </row>
    <row r="2519" spans="1:17" s="15" customFormat="1" x14ac:dyDescent="0.2">
      <c r="A2519" s="334" t="s">
        <v>1741</v>
      </c>
      <c r="B2519" s="380"/>
      <c r="C2519" s="334" t="s">
        <v>1748</v>
      </c>
      <c r="D2519" s="377">
        <v>47</v>
      </c>
      <c r="E2519" s="377">
        <v>71</v>
      </c>
      <c r="F2519" s="378">
        <v>190</v>
      </c>
      <c r="G2519" s="377"/>
      <c r="H2519" s="377">
        <v>285</v>
      </c>
      <c r="I2519" s="399"/>
      <c r="J2519" s="377">
        <v>47</v>
      </c>
      <c r="K2519" s="377">
        <v>71</v>
      </c>
      <c r="L2519" s="378">
        <v>190</v>
      </c>
      <c r="M2519" s="377"/>
      <c r="N2519" s="377">
        <v>285</v>
      </c>
      <c r="O2519" s="382"/>
      <c r="P2519" s="382"/>
      <c r="Q2519" s="382"/>
    </row>
    <row r="2520" spans="1:17" s="15" customFormat="1" x14ac:dyDescent="0.2">
      <c r="A2520" s="384" t="s">
        <v>1742</v>
      </c>
      <c r="B2520" s="380"/>
      <c r="C2520" s="334" t="s">
        <v>1553</v>
      </c>
      <c r="D2520" s="377"/>
      <c r="E2520" s="377"/>
      <c r="F2520" s="378"/>
      <c r="G2520" s="377"/>
      <c r="H2520" s="377"/>
      <c r="I2520" s="399"/>
      <c r="J2520" s="377"/>
      <c r="K2520" s="377"/>
      <c r="L2520" s="378"/>
      <c r="M2520" s="377"/>
      <c r="N2520" s="377"/>
      <c r="O2520" s="382"/>
      <c r="P2520" s="382"/>
      <c r="Q2520" s="382"/>
    </row>
    <row r="2521" spans="1:17" s="15" customFormat="1" x14ac:dyDescent="0.2">
      <c r="A2521" s="334" t="s">
        <v>1584</v>
      </c>
      <c r="B2521" s="380"/>
      <c r="C2521" s="334" t="s">
        <v>0</v>
      </c>
      <c r="D2521" s="377"/>
      <c r="E2521" s="377"/>
      <c r="F2521" s="378"/>
      <c r="G2521" s="377"/>
      <c r="H2521" s="377"/>
      <c r="I2521" s="399"/>
      <c r="J2521" s="377"/>
      <c r="K2521" s="377"/>
      <c r="L2521" s="378"/>
      <c r="M2521" s="377"/>
      <c r="N2521" s="377"/>
      <c r="O2521" s="382"/>
      <c r="P2521" s="382"/>
      <c r="Q2521" s="382"/>
    </row>
    <row r="2522" spans="1:17" s="15" customFormat="1" x14ac:dyDescent="0.2">
      <c r="A2522" s="334" t="s">
        <v>1580</v>
      </c>
      <c r="B2522" s="380"/>
      <c r="C2522" s="334" t="s">
        <v>1935</v>
      </c>
      <c r="D2522" s="377"/>
      <c r="E2522" s="377"/>
      <c r="F2522" s="378"/>
      <c r="G2522" s="377"/>
      <c r="H2522" s="377"/>
      <c r="I2522" s="399"/>
      <c r="J2522" s="377"/>
      <c r="K2522" s="377"/>
      <c r="L2522" s="378"/>
      <c r="M2522" s="377"/>
      <c r="N2522" s="377"/>
      <c r="O2522" s="382"/>
      <c r="P2522" s="382"/>
      <c r="Q2522" s="382"/>
    </row>
    <row r="2523" spans="1:17" s="15" customFormat="1" x14ac:dyDescent="0.2">
      <c r="A2523" s="334" t="s">
        <v>1572</v>
      </c>
      <c r="B2523" s="380"/>
      <c r="C2523" s="334" t="s">
        <v>3134</v>
      </c>
      <c r="D2523" s="377"/>
      <c r="E2523" s="377"/>
      <c r="F2523" s="378"/>
      <c r="G2523" s="377"/>
      <c r="H2523" s="377"/>
      <c r="I2523" s="399"/>
      <c r="J2523" s="377"/>
      <c r="K2523" s="377"/>
      <c r="L2523" s="378"/>
      <c r="M2523" s="377"/>
      <c r="N2523" s="377"/>
      <c r="O2523" s="382"/>
      <c r="P2523" s="382"/>
      <c r="Q2523" s="382"/>
    </row>
    <row r="2524" spans="1:17" s="15" customFormat="1" x14ac:dyDescent="0.2">
      <c r="A2524" s="334" t="s">
        <v>1730</v>
      </c>
      <c r="B2524" s="380"/>
      <c r="C2524" s="334" t="s">
        <v>1985</v>
      </c>
      <c r="D2524" s="377">
        <v>427</v>
      </c>
      <c r="E2524" s="377">
        <v>3047</v>
      </c>
      <c r="F2524" s="378">
        <v>1300</v>
      </c>
      <c r="G2524" s="377"/>
      <c r="H2524" s="377">
        <v>800</v>
      </c>
      <c r="I2524" s="399"/>
      <c r="J2524" s="377">
        <v>427</v>
      </c>
      <c r="K2524" s="377">
        <v>3047</v>
      </c>
      <c r="L2524" s="378">
        <v>1283</v>
      </c>
      <c r="M2524" s="377"/>
      <c r="N2524" s="377">
        <v>760</v>
      </c>
      <c r="O2524" s="382"/>
      <c r="P2524" s="382"/>
      <c r="Q2524" s="382"/>
    </row>
    <row r="2525" spans="1:17" s="15" customFormat="1" x14ac:dyDescent="0.2">
      <c r="A2525" s="334" t="s">
        <v>1566</v>
      </c>
      <c r="B2525" s="380"/>
      <c r="C2525" s="334" t="s">
        <v>366</v>
      </c>
      <c r="D2525" s="377">
        <v>1140</v>
      </c>
      <c r="E2525" s="377"/>
      <c r="F2525" s="378">
        <v>1200</v>
      </c>
      <c r="G2525" s="377"/>
      <c r="H2525" s="377">
        <v>1200</v>
      </c>
      <c r="I2525" s="399"/>
      <c r="J2525" s="377">
        <v>1140</v>
      </c>
      <c r="K2525" s="377"/>
      <c r="L2525" s="378">
        <v>1140</v>
      </c>
      <c r="M2525" s="377"/>
      <c r="N2525" s="377">
        <v>760</v>
      </c>
      <c r="O2525" s="382"/>
      <c r="P2525" s="382"/>
      <c r="Q2525" s="382"/>
    </row>
    <row r="2526" spans="1:17" s="15" customFormat="1" x14ac:dyDescent="0.2">
      <c r="A2526" s="334" t="s">
        <v>1755</v>
      </c>
      <c r="B2526" s="380"/>
      <c r="C2526" s="380" t="s">
        <v>1986</v>
      </c>
      <c r="D2526" s="377"/>
      <c r="E2526" s="377"/>
      <c r="F2526" s="378">
        <v>2000</v>
      </c>
      <c r="G2526" s="377"/>
      <c r="H2526" s="377"/>
      <c r="I2526" s="399"/>
      <c r="J2526" s="377"/>
      <c r="K2526" s="377"/>
      <c r="L2526" s="378"/>
      <c r="M2526" s="377"/>
      <c r="N2526" s="377"/>
      <c r="O2526" s="382"/>
      <c r="P2526" s="382"/>
      <c r="Q2526" s="382"/>
    </row>
    <row r="2527" spans="1:17" s="15" customFormat="1" x14ac:dyDescent="0.2">
      <c r="A2527" s="334" t="s">
        <v>1587</v>
      </c>
      <c r="B2527" s="380"/>
      <c r="C2527" s="334" t="s">
        <v>34</v>
      </c>
      <c r="D2527" s="377"/>
      <c r="E2527" s="377"/>
      <c r="F2527" s="378"/>
      <c r="G2527" s="377"/>
      <c r="H2527" s="377"/>
      <c r="I2527" s="399"/>
      <c r="J2527" s="377"/>
      <c r="K2527" s="377"/>
      <c r="L2527" s="378"/>
      <c r="M2527" s="377"/>
      <c r="N2527" s="377"/>
      <c r="O2527" s="382"/>
      <c r="P2527" s="382"/>
      <c r="Q2527" s="382"/>
    </row>
    <row r="2528" spans="1:17" s="15" customFormat="1" x14ac:dyDescent="0.2">
      <c r="A2528" s="384" t="s">
        <v>1962</v>
      </c>
      <c r="B2528" s="380"/>
      <c r="C2528" s="380" t="s">
        <v>572</v>
      </c>
      <c r="D2528" s="377"/>
      <c r="E2528" s="377"/>
      <c r="F2528" s="378">
        <v>4622</v>
      </c>
      <c r="G2528" s="377"/>
      <c r="H2528" s="377"/>
      <c r="I2528" s="399"/>
      <c r="J2528" s="377"/>
      <c r="K2528" s="377"/>
      <c r="L2528" s="378"/>
      <c r="M2528" s="377"/>
      <c r="N2528" s="377"/>
      <c r="O2528" s="382"/>
      <c r="P2528" s="382"/>
      <c r="Q2528" s="382"/>
    </row>
    <row r="2529" spans="1:17" s="15" customFormat="1" x14ac:dyDescent="0.2">
      <c r="A2529" s="334" t="s">
        <v>1662</v>
      </c>
      <c r="B2529" s="380"/>
      <c r="C2529" s="334" t="s">
        <v>24</v>
      </c>
      <c r="D2529" s="377"/>
      <c r="E2529" s="377"/>
      <c r="F2529" s="378"/>
      <c r="G2529" s="377"/>
      <c r="H2529" s="377"/>
      <c r="I2529" s="399"/>
      <c r="J2529" s="377"/>
      <c r="K2529" s="377"/>
      <c r="L2529" s="378"/>
      <c r="M2529" s="377"/>
      <c r="N2529" s="377"/>
      <c r="O2529" s="382"/>
      <c r="P2529" s="382"/>
      <c r="Q2529" s="382"/>
    </row>
    <row r="2530" spans="1:17" s="15" customFormat="1" x14ac:dyDescent="0.2">
      <c r="A2530" s="334"/>
      <c r="B2530" s="380"/>
      <c r="C2530" s="334" t="s">
        <v>25</v>
      </c>
      <c r="D2530" s="377"/>
      <c r="E2530" s="377"/>
      <c r="F2530" s="378"/>
      <c r="G2530" s="377"/>
      <c r="H2530" s="377"/>
      <c r="I2530" s="399"/>
      <c r="J2530" s="377"/>
      <c r="K2530" s="377"/>
      <c r="L2530" s="378"/>
      <c r="M2530" s="377"/>
      <c r="N2530" s="377"/>
      <c r="O2530" s="382"/>
      <c r="P2530" s="382"/>
      <c r="Q2530" s="382"/>
    </row>
    <row r="2531" spans="1:17" s="15" customFormat="1" x14ac:dyDescent="0.2">
      <c r="A2531" s="334"/>
      <c r="B2531" s="380"/>
      <c r="C2531" s="334" t="s">
        <v>1608</v>
      </c>
      <c r="D2531" s="377"/>
      <c r="E2531" s="377"/>
      <c r="F2531" s="378"/>
      <c r="G2531" s="377"/>
      <c r="H2531" s="377"/>
      <c r="I2531" s="399"/>
      <c r="J2531" s="377"/>
      <c r="K2531" s="377"/>
      <c r="L2531" s="378"/>
      <c r="M2531" s="377"/>
      <c r="N2531" s="377"/>
      <c r="O2531" s="382"/>
      <c r="P2531" s="382"/>
      <c r="Q2531" s="382"/>
    </row>
    <row r="2532" spans="1:17" s="15" customFormat="1" x14ac:dyDescent="0.2">
      <c r="A2532" s="380"/>
      <c r="B2532" s="380"/>
      <c r="C2532" s="380"/>
      <c r="D2532" s="410" t="s">
        <v>342</v>
      </c>
      <c r="E2532" s="410" t="s">
        <v>342</v>
      </c>
      <c r="F2532" s="445" t="s">
        <v>342</v>
      </c>
      <c r="G2532" s="410"/>
      <c r="H2532" s="410" t="s">
        <v>342</v>
      </c>
      <c r="I2532" s="385"/>
      <c r="J2532" s="410" t="s">
        <v>342</v>
      </c>
      <c r="K2532" s="410" t="s">
        <v>342</v>
      </c>
      <c r="L2532" s="445" t="s">
        <v>342</v>
      </c>
      <c r="M2532" s="410"/>
      <c r="N2532" s="410" t="s">
        <v>342</v>
      </c>
      <c r="O2532" s="382"/>
      <c r="P2532" s="382"/>
      <c r="Q2532" s="382"/>
    </row>
    <row r="2533" spans="1:17" s="15" customFormat="1" ht="15.75" thickBot="1" x14ac:dyDescent="0.25">
      <c r="A2533" s="334" t="s">
        <v>342</v>
      </c>
      <c r="B2533" s="380"/>
      <c r="C2533" s="334" t="s">
        <v>342</v>
      </c>
      <c r="D2533" s="411">
        <f>SUM(D2499:D2530)</f>
        <v>1712.8</v>
      </c>
      <c r="E2533" s="411">
        <f>SUM(E2499:E2530)</f>
        <v>2789</v>
      </c>
      <c r="F2533" s="414">
        <f>SUM(F2499:F2530)</f>
        <v>12420.8</v>
      </c>
      <c r="G2533" s="411"/>
      <c r="H2533" s="411">
        <f>SUM(H2499:H2530)</f>
        <v>3428</v>
      </c>
      <c r="I2533" s="385"/>
      <c r="J2533" s="411">
        <f>SUM(J2499:J2530)</f>
        <v>2165</v>
      </c>
      <c r="K2533" s="411">
        <f>SUM(K2499:K2530)</f>
        <v>3486</v>
      </c>
      <c r="L2533" s="414">
        <f>SUM(L2499:L2530)</f>
        <v>8865</v>
      </c>
      <c r="M2533" s="411"/>
      <c r="N2533" s="411">
        <f>SUM(N2499:N2530)</f>
        <v>2829</v>
      </c>
      <c r="O2533" s="382"/>
      <c r="P2533" s="382"/>
      <c r="Q2533" s="382"/>
    </row>
    <row r="2534" spans="1:17" s="15" customFormat="1" x14ac:dyDescent="0.2">
      <c r="A2534" s="385"/>
      <c r="B2534" s="382"/>
      <c r="C2534" s="385"/>
      <c r="D2534" s="385"/>
      <c r="E2534" s="399"/>
      <c r="F2534" s="416"/>
      <c r="G2534" s="399"/>
      <c r="H2534" s="399"/>
      <c r="I2534" s="385"/>
      <c r="J2534" s="385"/>
      <c r="K2534" s="399"/>
      <c r="L2534" s="416"/>
      <c r="M2534" s="399"/>
      <c r="N2534" s="399"/>
      <c r="O2534" s="382"/>
      <c r="P2534" s="382"/>
      <c r="Q2534" s="382"/>
    </row>
    <row r="2535" spans="1:17" s="15" customFormat="1" x14ac:dyDescent="0.2">
      <c r="A2535" s="334" t="s">
        <v>1659</v>
      </c>
      <c r="B2535" s="380"/>
      <c r="C2535" s="380"/>
      <c r="D2535" s="334" t="s">
        <v>271</v>
      </c>
      <c r="E2535" s="334" t="s">
        <v>274</v>
      </c>
      <c r="F2535" s="412" t="s">
        <v>275</v>
      </c>
      <c r="G2535" s="334"/>
      <c r="H2535" s="334" t="s">
        <v>276</v>
      </c>
      <c r="I2535" s="385"/>
      <c r="J2535" s="334" t="s">
        <v>271</v>
      </c>
      <c r="K2535" s="334" t="s">
        <v>274</v>
      </c>
      <c r="L2535" s="412" t="s">
        <v>275</v>
      </c>
      <c r="M2535" s="334"/>
      <c r="N2535" s="334" t="s">
        <v>276</v>
      </c>
      <c r="O2535" s="382"/>
      <c r="P2535" s="382"/>
      <c r="Q2535" s="382"/>
    </row>
    <row r="2536" spans="1:17" s="15" customFormat="1" x14ac:dyDescent="0.2">
      <c r="A2536" s="334" t="s">
        <v>1660</v>
      </c>
      <c r="B2536" s="380"/>
      <c r="C2536" s="384"/>
      <c r="D2536" s="384" t="s">
        <v>3703</v>
      </c>
      <c r="E2536" s="384" t="s">
        <v>2933</v>
      </c>
      <c r="F2536" s="421" t="s">
        <v>2925</v>
      </c>
      <c r="G2536" s="334"/>
      <c r="H2536" s="384" t="s">
        <v>3704</v>
      </c>
      <c r="I2536" s="385"/>
      <c r="J2536" s="384" t="s">
        <v>3703</v>
      </c>
      <c r="K2536" s="384" t="s">
        <v>2933</v>
      </c>
      <c r="L2536" s="421" t="s">
        <v>2925</v>
      </c>
      <c r="M2536" s="334"/>
      <c r="N2536" s="384" t="s">
        <v>3704</v>
      </c>
      <c r="O2536" s="382"/>
      <c r="P2536" s="382"/>
      <c r="Q2536" s="382"/>
    </row>
    <row r="2537" spans="1:17" s="15" customFormat="1" x14ac:dyDescent="0.2">
      <c r="A2537" s="380"/>
      <c r="B2537" s="380"/>
      <c r="C2537" s="380"/>
      <c r="D2537" s="334" t="s">
        <v>1558</v>
      </c>
      <c r="E2537" s="334" t="s">
        <v>228</v>
      </c>
      <c r="F2537" s="389" t="s">
        <v>799</v>
      </c>
      <c r="G2537" s="334"/>
      <c r="H2537" s="334" t="s">
        <v>123</v>
      </c>
      <c r="I2537" s="385"/>
      <c r="J2537" s="334" t="s">
        <v>1558</v>
      </c>
      <c r="K2537" s="334" t="s">
        <v>228</v>
      </c>
      <c r="L2537" s="412" t="s">
        <v>799</v>
      </c>
      <c r="M2537" s="334"/>
      <c r="N2537" s="334" t="s">
        <v>123</v>
      </c>
      <c r="O2537" s="382"/>
      <c r="P2537" s="382"/>
      <c r="Q2537" s="382"/>
    </row>
    <row r="2538" spans="1:17" s="15" customFormat="1" x14ac:dyDescent="0.2">
      <c r="A2538" s="334" t="s">
        <v>1723</v>
      </c>
      <c r="B2538" s="380"/>
      <c r="C2538" s="334" t="s">
        <v>1880</v>
      </c>
      <c r="D2538" s="334" t="s">
        <v>181</v>
      </c>
      <c r="E2538" s="334" t="s">
        <v>181</v>
      </c>
      <c r="F2538" s="389" t="s">
        <v>181</v>
      </c>
      <c r="G2538" s="334"/>
      <c r="H2538" s="334" t="s">
        <v>181</v>
      </c>
      <c r="I2538" s="385"/>
      <c r="J2538" s="334" t="s">
        <v>181</v>
      </c>
      <c r="K2538" s="334" t="s">
        <v>181</v>
      </c>
      <c r="L2538" s="412" t="s">
        <v>181</v>
      </c>
      <c r="M2538" s="334"/>
      <c r="N2538" s="334" t="s">
        <v>181</v>
      </c>
      <c r="O2538" s="382"/>
      <c r="P2538" s="382"/>
      <c r="Q2538" s="382"/>
    </row>
    <row r="2539" spans="1:17" s="15" customFormat="1" x14ac:dyDescent="0.2">
      <c r="A2539" s="380"/>
      <c r="B2539" s="380"/>
      <c r="C2539" s="380"/>
      <c r="D2539" s="380"/>
      <c r="E2539" s="380"/>
      <c r="F2539" s="378"/>
      <c r="G2539" s="380"/>
      <c r="H2539" s="380"/>
      <c r="I2539" s="382"/>
      <c r="J2539" s="380"/>
      <c r="K2539" s="380"/>
      <c r="L2539" s="378"/>
      <c r="M2539" s="380"/>
      <c r="N2539" s="380"/>
      <c r="O2539" s="382"/>
      <c r="P2539" s="382"/>
      <c r="Q2539" s="382"/>
    </row>
    <row r="2540" spans="1:17" s="15" customFormat="1" x14ac:dyDescent="0.2">
      <c r="A2540" s="405" t="s">
        <v>1743</v>
      </c>
      <c r="B2540" s="380"/>
      <c r="C2540" s="334" t="s">
        <v>1886</v>
      </c>
      <c r="D2540" s="377"/>
      <c r="E2540" s="377"/>
      <c r="F2540" s="378"/>
      <c r="G2540" s="377"/>
      <c r="H2540" s="377"/>
      <c r="I2540" s="399"/>
      <c r="J2540" s="377"/>
      <c r="K2540" s="377"/>
      <c r="L2540" s="378"/>
      <c r="M2540" s="377"/>
      <c r="N2540" s="377"/>
      <c r="O2540" s="382"/>
      <c r="P2540" s="382"/>
      <c r="Q2540" s="382"/>
    </row>
    <row r="2541" spans="1:17" s="15" customFormat="1" x14ac:dyDescent="0.2">
      <c r="A2541" s="334" t="s">
        <v>1724</v>
      </c>
      <c r="B2541" s="380"/>
      <c r="C2541" s="334" t="s">
        <v>1881</v>
      </c>
      <c r="D2541" s="377">
        <v>882</v>
      </c>
      <c r="E2541" s="377">
        <v>138</v>
      </c>
      <c r="F2541" s="378">
        <v>451</v>
      </c>
      <c r="G2541" s="377"/>
      <c r="H2541" s="377">
        <v>48</v>
      </c>
      <c r="I2541" s="399"/>
      <c r="J2541" s="377">
        <v>882</v>
      </c>
      <c r="K2541" s="377">
        <v>138</v>
      </c>
      <c r="L2541" s="378">
        <v>451</v>
      </c>
      <c r="M2541" s="377"/>
      <c r="N2541" s="377">
        <v>48</v>
      </c>
      <c r="O2541" s="382"/>
      <c r="P2541" s="382"/>
      <c r="Q2541" s="382"/>
    </row>
    <row r="2542" spans="1:17" s="15" customFormat="1" x14ac:dyDescent="0.2">
      <c r="A2542" s="334" t="s">
        <v>1736</v>
      </c>
      <c r="B2542" s="380"/>
      <c r="C2542" s="334" t="s">
        <v>1747</v>
      </c>
      <c r="D2542" s="377"/>
      <c r="E2542" s="377"/>
      <c r="F2542" s="378"/>
      <c r="G2542" s="377"/>
      <c r="H2542" s="377"/>
      <c r="I2542" s="399"/>
      <c r="J2542" s="377"/>
      <c r="K2542" s="377"/>
      <c r="L2542" s="378"/>
      <c r="M2542" s="377"/>
      <c r="N2542" s="377"/>
      <c r="O2542" s="382"/>
      <c r="P2542" s="382"/>
      <c r="Q2542" s="382"/>
    </row>
    <row r="2543" spans="1:17" s="15" customFormat="1" x14ac:dyDescent="0.2">
      <c r="A2543" s="334" t="s">
        <v>1744</v>
      </c>
      <c r="B2543" s="380"/>
      <c r="C2543" s="334" t="s">
        <v>1254</v>
      </c>
      <c r="D2543" s="377"/>
      <c r="E2543" s="377"/>
      <c r="F2543" s="378"/>
      <c r="G2543" s="377"/>
      <c r="H2543" s="377"/>
      <c r="I2543" s="399"/>
      <c r="J2543" s="377"/>
      <c r="K2543" s="377"/>
      <c r="L2543" s="378"/>
      <c r="M2543" s="377"/>
      <c r="N2543" s="377"/>
      <c r="O2543" s="382"/>
      <c r="P2543" s="382"/>
      <c r="Q2543" s="382"/>
    </row>
    <row r="2544" spans="1:17" s="15" customFormat="1" x14ac:dyDescent="0.2">
      <c r="A2544" s="334" t="s">
        <v>1582</v>
      </c>
      <c r="B2544" s="380"/>
      <c r="C2544" s="334" t="s">
        <v>3135</v>
      </c>
      <c r="D2544" s="377"/>
      <c r="E2544" s="377"/>
      <c r="F2544" s="378"/>
      <c r="G2544" s="377"/>
      <c r="H2544" s="377"/>
      <c r="I2544" s="399"/>
      <c r="J2544" s="377"/>
      <c r="K2544" s="377"/>
      <c r="L2544" s="378"/>
      <c r="M2544" s="377"/>
      <c r="N2544" s="377"/>
      <c r="O2544" s="382"/>
      <c r="P2544" s="382"/>
      <c r="Q2544" s="382"/>
    </row>
    <row r="2545" spans="1:17" s="15" customFormat="1" x14ac:dyDescent="0.2">
      <c r="A2545" s="403" t="s">
        <v>1575</v>
      </c>
      <c r="B2545" s="380"/>
      <c r="C2545" s="334" t="s">
        <v>1889</v>
      </c>
      <c r="D2545" s="377"/>
      <c r="E2545" s="377"/>
      <c r="F2545" s="378"/>
      <c r="G2545" s="377"/>
      <c r="H2545" s="377"/>
      <c r="I2545" s="399"/>
      <c r="J2545" s="377"/>
      <c r="K2545" s="377"/>
      <c r="L2545" s="378"/>
      <c r="M2545" s="377"/>
      <c r="N2545" s="377"/>
      <c r="O2545" s="382"/>
      <c r="P2545" s="382"/>
      <c r="Q2545" s="382"/>
    </row>
    <row r="2546" spans="1:17" s="15" customFormat="1" x14ac:dyDescent="0.2">
      <c r="A2546" s="334" t="s">
        <v>1725</v>
      </c>
      <c r="B2546" s="380"/>
      <c r="C2546" s="334" t="s">
        <v>1890</v>
      </c>
      <c r="D2546" s="377"/>
      <c r="E2546" s="377"/>
      <c r="F2546" s="378">
        <v>617</v>
      </c>
      <c r="G2546" s="377"/>
      <c r="H2546" s="377">
        <v>48</v>
      </c>
      <c r="I2546" s="399"/>
      <c r="J2546" s="377"/>
      <c r="K2546" s="377"/>
      <c r="L2546" s="378">
        <v>617</v>
      </c>
      <c r="M2546" s="377"/>
      <c r="N2546" s="377">
        <v>48</v>
      </c>
      <c r="O2546" s="382"/>
      <c r="P2546" s="382"/>
      <c r="Q2546" s="382"/>
    </row>
    <row r="2547" spans="1:17" s="15" customFormat="1" x14ac:dyDescent="0.2">
      <c r="A2547" s="403" t="s">
        <v>1576</v>
      </c>
      <c r="B2547" s="380"/>
      <c r="C2547" s="334" t="s">
        <v>1590</v>
      </c>
      <c r="D2547" s="377"/>
      <c r="E2547" s="377">
        <v>14</v>
      </c>
      <c r="F2547" s="378"/>
      <c r="G2547" s="377"/>
      <c r="H2547" s="377"/>
      <c r="I2547" s="399"/>
      <c r="J2547" s="377"/>
      <c r="K2547" s="377">
        <v>14</v>
      </c>
      <c r="L2547" s="378"/>
      <c r="M2547" s="377"/>
      <c r="N2547" s="377"/>
      <c r="O2547" s="382"/>
      <c r="P2547" s="382"/>
      <c r="Q2547" s="382"/>
    </row>
    <row r="2548" spans="1:17" s="15" customFormat="1" x14ac:dyDescent="0.2">
      <c r="A2548" s="334" t="s">
        <v>1737</v>
      </c>
      <c r="B2548" s="380"/>
      <c r="C2548" s="334" t="s">
        <v>1984</v>
      </c>
      <c r="D2548" s="377"/>
      <c r="E2548" s="377">
        <v>47</v>
      </c>
      <c r="F2548" s="378">
        <v>48</v>
      </c>
      <c r="G2548" s="377"/>
      <c r="H2548" s="377"/>
      <c r="I2548" s="399"/>
      <c r="J2548" s="377"/>
      <c r="K2548" s="377">
        <v>47</v>
      </c>
      <c r="L2548" s="378">
        <v>48</v>
      </c>
      <c r="M2548" s="377"/>
      <c r="N2548" s="377"/>
      <c r="O2548" s="382"/>
      <c r="P2548" s="382"/>
      <c r="Q2548" s="382"/>
    </row>
    <row r="2549" spans="1:17" s="15" customFormat="1" x14ac:dyDescent="0.2">
      <c r="A2549" s="334" t="s">
        <v>1726</v>
      </c>
      <c r="B2549" s="380"/>
      <c r="C2549" s="334" t="s">
        <v>1117</v>
      </c>
      <c r="D2549" s="377"/>
      <c r="E2549" s="377"/>
      <c r="F2549" s="378"/>
      <c r="G2549" s="377"/>
      <c r="H2549" s="377"/>
      <c r="I2549" s="399"/>
      <c r="J2549" s="377"/>
      <c r="K2549" s="377"/>
      <c r="L2549" s="378"/>
      <c r="M2549" s="377"/>
      <c r="N2549" s="377"/>
      <c r="O2549" s="382"/>
      <c r="P2549" s="382"/>
      <c r="Q2549" s="382"/>
    </row>
    <row r="2550" spans="1:17" s="15" customFormat="1" x14ac:dyDescent="0.2">
      <c r="A2550" s="334" t="s">
        <v>1661</v>
      </c>
      <c r="B2550" s="380"/>
      <c r="C2550" s="334" t="s">
        <v>3136</v>
      </c>
      <c r="D2550" s="377"/>
      <c r="E2550" s="377"/>
      <c r="F2550" s="378"/>
      <c r="G2550" s="377"/>
      <c r="H2550" s="377"/>
      <c r="I2550" s="399"/>
      <c r="J2550" s="377"/>
      <c r="K2550" s="377"/>
      <c r="L2550" s="378"/>
      <c r="M2550" s="377"/>
      <c r="N2550" s="377"/>
      <c r="O2550" s="382"/>
      <c r="P2550" s="382"/>
      <c r="Q2550" s="382"/>
    </row>
    <row r="2551" spans="1:17" s="15" customFormat="1" x14ac:dyDescent="0.2">
      <c r="A2551" s="334" t="s">
        <v>1577</v>
      </c>
      <c r="B2551" s="380"/>
      <c r="C2551" s="334" t="s">
        <v>1815</v>
      </c>
      <c r="D2551" s="377"/>
      <c r="E2551" s="377"/>
      <c r="F2551" s="378"/>
      <c r="G2551" s="377"/>
      <c r="H2551" s="377"/>
      <c r="I2551" s="399"/>
      <c r="J2551" s="377"/>
      <c r="K2551" s="377"/>
      <c r="L2551" s="378"/>
      <c r="M2551" s="377"/>
      <c r="N2551" s="377"/>
      <c r="O2551" s="382"/>
      <c r="P2551" s="382"/>
      <c r="Q2551" s="382"/>
    </row>
    <row r="2552" spans="1:17" s="15" customFormat="1" x14ac:dyDescent="0.2">
      <c r="A2552" s="334" t="s">
        <v>1734</v>
      </c>
      <c r="B2552" s="380"/>
      <c r="C2552" s="334" t="s">
        <v>1746</v>
      </c>
      <c r="D2552" s="377"/>
      <c r="E2552" s="377"/>
      <c r="F2552" s="378"/>
      <c r="G2552" s="377"/>
      <c r="H2552" s="377"/>
      <c r="I2552" s="399"/>
      <c r="J2552" s="377"/>
      <c r="K2552" s="377"/>
      <c r="L2552" s="378"/>
      <c r="M2552" s="377"/>
      <c r="N2552" s="377"/>
      <c r="O2552" s="382"/>
      <c r="P2552" s="382"/>
      <c r="Q2552" s="382"/>
    </row>
    <row r="2553" spans="1:17" s="15" customFormat="1" x14ac:dyDescent="0.2">
      <c r="A2553" s="334" t="s">
        <v>1571</v>
      </c>
      <c r="B2553" s="380"/>
      <c r="C2553" s="334" t="s">
        <v>3</v>
      </c>
      <c r="D2553" s="377"/>
      <c r="E2553" s="377"/>
      <c r="F2553" s="378"/>
      <c r="G2553" s="377"/>
      <c r="H2553" s="377"/>
      <c r="I2553" s="399"/>
      <c r="J2553" s="377"/>
      <c r="K2553" s="377"/>
      <c r="L2553" s="378"/>
      <c r="M2553" s="377"/>
      <c r="N2553" s="377"/>
      <c r="O2553" s="382"/>
      <c r="P2553" s="382"/>
      <c r="Q2553" s="382"/>
    </row>
    <row r="2554" spans="1:17" s="15" customFormat="1" x14ac:dyDescent="0.2">
      <c r="A2554" s="403" t="s">
        <v>1578</v>
      </c>
      <c r="B2554" s="380"/>
      <c r="C2554" s="334" t="s">
        <v>22</v>
      </c>
      <c r="D2554" s="377"/>
      <c r="E2554" s="377"/>
      <c r="F2554" s="378"/>
      <c r="G2554" s="377"/>
      <c r="H2554" s="377"/>
      <c r="I2554" s="399"/>
      <c r="J2554" s="377"/>
      <c r="K2554" s="377"/>
      <c r="L2554" s="378"/>
      <c r="M2554" s="377"/>
      <c r="N2554" s="377"/>
      <c r="O2554" s="382"/>
      <c r="P2554" s="382"/>
      <c r="Q2554" s="382"/>
    </row>
    <row r="2555" spans="1:17" s="15" customFormat="1" x14ac:dyDescent="0.2">
      <c r="A2555" s="334" t="s">
        <v>1738</v>
      </c>
      <c r="B2555" s="380"/>
      <c r="C2555" s="334" t="s">
        <v>1591</v>
      </c>
      <c r="D2555" s="377"/>
      <c r="E2555" s="377">
        <v>29</v>
      </c>
      <c r="F2555" s="378"/>
      <c r="G2555" s="377"/>
      <c r="H2555" s="377"/>
      <c r="I2555" s="399"/>
      <c r="J2555" s="377"/>
      <c r="K2555" s="377">
        <v>29</v>
      </c>
      <c r="L2555" s="378"/>
      <c r="M2555" s="377"/>
      <c r="N2555" s="377"/>
      <c r="O2555" s="382"/>
      <c r="P2555" s="382"/>
      <c r="Q2555" s="382"/>
    </row>
    <row r="2556" spans="1:17" s="15" customFormat="1" x14ac:dyDescent="0.2">
      <c r="A2556" s="334" t="s">
        <v>1727</v>
      </c>
      <c r="B2556" s="380"/>
      <c r="C2556" s="334" t="s">
        <v>307</v>
      </c>
      <c r="D2556" s="377">
        <v>95</v>
      </c>
      <c r="E2556" s="377">
        <v>114</v>
      </c>
      <c r="F2556" s="378">
        <v>475</v>
      </c>
      <c r="G2556" s="377"/>
      <c r="H2556" s="377">
        <v>184</v>
      </c>
      <c r="I2556" s="399"/>
      <c r="J2556" s="377">
        <v>95</v>
      </c>
      <c r="K2556" s="377">
        <v>114</v>
      </c>
      <c r="L2556" s="378">
        <v>475</v>
      </c>
      <c r="M2556" s="377"/>
      <c r="N2556" s="377">
        <v>184</v>
      </c>
      <c r="O2556" s="382"/>
      <c r="P2556" s="382"/>
      <c r="Q2556" s="382"/>
    </row>
    <row r="2557" spans="1:17" s="15" customFormat="1" x14ac:dyDescent="0.2">
      <c r="A2557" s="334" t="s">
        <v>1728</v>
      </c>
      <c r="B2557" s="380"/>
      <c r="C2557" s="334" t="s">
        <v>310</v>
      </c>
      <c r="D2557" s="377">
        <v>48</v>
      </c>
      <c r="E2557" s="377">
        <v>71</v>
      </c>
      <c r="F2557" s="378">
        <v>190</v>
      </c>
      <c r="G2557" s="377"/>
      <c r="H2557" s="377">
        <v>74</v>
      </c>
      <c r="I2557" s="399"/>
      <c r="J2557" s="377">
        <v>48</v>
      </c>
      <c r="K2557" s="377">
        <v>71</v>
      </c>
      <c r="L2557" s="378">
        <v>190</v>
      </c>
      <c r="M2557" s="377"/>
      <c r="N2557" s="377">
        <v>74</v>
      </c>
      <c r="O2557" s="382"/>
      <c r="P2557" s="382"/>
      <c r="Q2557" s="382"/>
    </row>
    <row r="2558" spans="1:17" s="15" customFormat="1" x14ac:dyDescent="0.2">
      <c r="A2558" s="334" t="s">
        <v>1729</v>
      </c>
      <c r="B2558" s="380"/>
      <c r="C2558" s="380" t="s">
        <v>1551</v>
      </c>
      <c r="D2558" s="377">
        <f>-214.4-3000</f>
        <v>-3214.4</v>
      </c>
      <c r="E2558" s="377">
        <v>-446.2</v>
      </c>
      <c r="F2558" s="378">
        <v>-612.79999999999995</v>
      </c>
      <c r="G2558" s="377"/>
      <c r="H2558" s="377">
        <v>-85</v>
      </c>
      <c r="I2558" s="399"/>
      <c r="J2558" s="377"/>
      <c r="K2558" s="377"/>
      <c r="L2558" s="378"/>
      <c r="M2558" s="377"/>
      <c r="N2558" s="377"/>
      <c r="O2558" s="382"/>
      <c r="P2558" s="382"/>
      <c r="Q2558" s="382"/>
    </row>
    <row r="2559" spans="1:17" s="15" customFormat="1" x14ac:dyDescent="0.2">
      <c r="A2559" s="334" t="s">
        <v>1735</v>
      </c>
      <c r="B2559" s="380"/>
      <c r="C2559" s="380" t="s">
        <v>194</v>
      </c>
      <c r="D2559" s="377"/>
      <c r="E2559" s="377"/>
      <c r="F2559" s="378"/>
      <c r="G2559" s="377"/>
      <c r="H2559" s="377"/>
      <c r="I2559" s="399"/>
      <c r="J2559" s="377"/>
      <c r="K2559" s="377">
        <v>38</v>
      </c>
      <c r="L2559" s="378">
        <v>47</v>
      </c>
      <c r="M2559" s="377"/>
      <c r="N2559" s="377"/>
      <c r="O2559" s="382"/>
      <c r="P2559" s="382"/>
      <c r="Q2559" s="382"/>
    </row>
    <row r="2560" spans="1:17" s="15" customFormat="1" x14ac:dyDescent="0.2">
      <c r="A2560" s="334" t="s">
        <v>1741</v>
      </c>
      <c r="B2560" s="380"/>
      <c r="C2560" s="334" t="s">
        <v>1748</v>
      </c>
      <c r="D2560" s="377">
        <v>47</v>
      </c>
      <c r="E2560" s="377">
        <v>190</v>
      </c>
      <c r="F2560" s="378">
        <v>475</v>
      </c>
      <c r="G2560" s="377"/>
      <c r="H2560" s="377">
        <v>71</v>
      </c>
      <c r="I2560" s="399"/>
      <c r="J2560" s="377">
        <v>47</v>
      </c>
      <c r="K2560" s="377">
        <v>190</v>
      </c>
      <c r="L2560" s="378">
        <v>475</v>
      </c>
      <c r="M2560" s="377"/>
      <c r="N2560" s="377">
        <v>71</v>
      </c>
      <c r="O2560" s="382"/>
      <c r="P2560" s="382"/>
      <c r="Q2560" s="382"/>
    </row>
    <row r="2561" spans="1:17" s="15" customFormat="1" x14ac:dyDescent="0.2">
      <c r="A2561" s="334" t="s">
        <v>1584</v>
      </c>
      <c r="B2561" s="380"/>
      <c r="C2561" s="334" t="s">
        <v>0</v>
      </c>
      <c r="D2561" s="377"/>
      <c r="E2561" s="377"/>
      <c r="F2561" s="378"/>
      <c r="G2561" s="377"/>
      <c r="H2561" s="377"/>
      <c r="I2561" s="399"/>
      <c r="J2561" s="377"/>
      <c r="K2561" s="377"/>
      <c r="L2561" s="378"/>
      <c r="M2561" s="377"/>
      <c r="N2561" s="377"/>
      <c r="O2561" s="382"/>
      <c r="P2561" s="382"/>
      <c r="Q2561" s="382"/>
    </row>
    <row r="2562" spans="1:17" s="15" customFormat="1" x14ac:dyDescent="0.2">
      <c r="A2562" s="334" t="s">
        <v>1580</v>
      </c>
      <c r="B2562" s="380"/>
      <c r="C2562" s="334" t="s">
        <v>1935</v>
      </c>
      <c r="D2562" s="377"/>
      <c r="E2562" s="377"/>
      <c r="F2562" s="378"/>
      <c r="G2562" s="377"/>
      <c r="H2562" s="377"/>
      <c r="I2562" s="399"/>
      <c r="J2562" s="377"/>
      <c r="K2562" s="377"/>
      <c r="L2562" s="378"/>
      <c r="M2562" s="377"/>
      <c r="N2562" s="377"/>
      <c r="O2562" s="382"/>
      <c r="P2562" s="382"/>
      <c r="Q2562" s="382"/>
    </row>
    <row r="2563" spans="1:17" s="15" customFormat="1" x14ac:dyDescent="0.2">
      <c r="A2563" s="334" t="s">
        <v>1572</v>
      </c>
      <c r="B2563" s="380"/>
      <c r="C2563" s="334" t="s">
        <v>3134</v>
      </c>
      <c r="D2563" s="377"/>
      <c r="E2563" s="377"/>
      <c r="F2563" s="378"/>
      <c r="G2563" s="377"/>
      <c r="H2563" s="377"/>
      <c r="I2563" s="399"/>
      <c r="J2563" s="377"/>
      <c r="K2563" s="377"/>
      <c r="L2563" s="378"/>
      <c r="M2563" s="377"/>
      <c r="N2563" s="377"/>
      <c r="O2563" s="382"/>
      <c r="P2563" s="382"/>
      <c r="Q2563" s="382"/>
    </row>
    <row r="2564" spans="1:17" s="15" customFormat="1" x14ac:dyDescent="0.2">
      <c r="A2564" s="334" t="s">
        <v>1730</v>
      </c>
      <c r="B2564" s="380"/>
      <c r="C2564" s="334" t="s">
        <v>1985</v>
      </c>
      <c r="D2564" s="377"/>
      <c r="E2564" s="377">
        <v>428</v>
      </c>
      <c r="F2564" s="378">
        <v>428</v>
      </c>
      <c r="G2564" s="377"/>
      <c r="H2564" s="377"/>
      <c r="I2564" s="399"/>
      <c r="J2564" s="377"/>
      <c r="K2564" s="377">
        <v>428</v>
      </c>
      <c r="L2564" s="378">
        <v>428</v>
      </c>
      <c r="M2564" s="377"/>
      <c r="N2564" s="377"/>
      <c r="O2564" s="382"/>
      <c r="P2564" s="382"/>
      <c r="Q2564" s="382"/>
    </row>
    <row r="2565" spans="1:17" s="15" customFormat="1" x14ac:dyDescent="0.2">
      <c r="A2565" s="334" t="s">
        <v>1566</v>
      </c>
      <c r="B2565" s="380"/>
      <c r="C2565" s="334" t="s">
        <v>366</v>
      </c>
      <c r="D2565" s="377"/>
      <c r="E2565" s="377">
        <v>380</v>
      </c>
      <c r="F2565" s="378">
        <v>380</v>
      </c>
      <c r="G2565" s="377"/>
      <c r="H2565" s="377"/>
      <c r="I2565" s="399"/>
      <c r="J2565" s="377"/>
      <c r="K2565" s="377">
        <v>380</v>
      </c>
      <c r="L2565" s="378">
        <v>380</v>
      </c>
      <c r="M2565" s="377"/>
      <c r="N2565" s="377"/>
      <c r="O2565" s="382"/>
      <c r="P2565" s="382"/>
      <c r="Q2565" s="382"/>
    </row>
    <row r="2566" spans="1:17" s="15" customFormat="1" x14ac:dyDescent="0.2">
      <c r="A2566" s="334" t="s">
        <v>1755</v>
      </c>
      <c r="B2566" s="380"/>
      <c r="C2566" s="380" t="s">
        <v>1986</v>
      </c>
      <c r="D2566" s="377"/>
      <c r="E2566" s="377"/>
      <c r="F2566" s="378"/>
      <c r="G2566" s="377"/>
      <c r="H2566" s="377"/>
      <c r="I2566" s="399"/>
      <c r="J2566" s="377"/>
      <c r="K2566" s="377"/>
      <c r="L2566" s="378"/>
      <c r="M2566" s="377"/>
      <c r="N2566" s="377"/>
      <c r="O2566" s="382"/>
      <c r="P2566" s="382"/>
      <c r="Q2566" s="382"/>
    </row>
    <row r="2567" spans="1:17" s="15" customFormat="1" x14ac:dyDescent="0.2">
      <c r="A2567" s="334" t="s">
        <v>1587</v>
      </c>
      <c r="B2567" s="380"/>
      <c r="C2567" s="334" t="s">
        <v>34</v>
      </c>
      <c r="D2567" s="377"/>
      <c r="E2567" s="377"/>
      <c r="F2567" s="378"/>
      <c r="G2567" s="377"/>
      <c r="H2567" s="377"/>
      <c r="I2567" s="399"/>
      <c r="J2567" s="377"/>
      <c r="K2567" s="377"/>
      <c r="L2567" s="378"/>
      <c r="M2567" s="377"/>
      <c r="N2567" s="377"/>
      <c r="O2567" s="382"/>
      <c r="P2567" s="382"/>
      <c r="Q2567" s="382"/>
    </row>
    <row r="2568" spans="1:17" s="15" customFormat="1" x14ac:dyDescent="0.2">
      <c r="A2568" s="384" t="s">
        <v>1962</v>
      </c>
      <c r="B2568" s="380"/>
      <c r="C2568" s="380" t="s">
        <v>572</v>
      </c>
      <c r="D2568" s="377"/>
      <c r="E2568" s="377">
        <v>820</v>
      </c>
      <c r="F2568" s="378"/>
      <c r="G2568" s="377"/>
      <c r="H2568" s="377"/>
      <c r="I2568" s="399"/>
      <c r="J2568" s="377"/>
      <c r="K2568" s="377"/>
      <c r="L2568" s="378"/>
      <c r="M2568" s="377"/>
      <c r="N2568" s="377"/>
      <c r="O2568" s="382"/>
      <c r="P2568" s="382"/>
      <c r="Q2568" s="382"/>
    </row>
    <row r="2569" spans="1:17" s="15" customFormat="1" x14ac:dyDescent="0.2">
      <c r="A2569" s="334" t="s">
        <v>1662</v>
      </c>
      <c r="B2569" s="380"/>
      <c r="C2569" s="334" t="s">
        <v>24</v>
      </c>
      <c r="D2569" s="377"/>
      <c r="E2569" s="377"/>
      <c r="F2569" s="378"/>
      <c r="G2569" s="377"/>
      <c r="H2569" s="377"/>
      <c r="I2569" s="399"/>
      <c r="J2569" s="377"/>
      <c r="K2569" s="377"/>
      <c r="L2569" s="378"/>
      <c r="M2569" s="377"/>
      <c r="N2569" s="377"/>
      <c r="O2569" s="382"/>
      <c r="P2569" s="382"/>
      <c r="Q2569" s="382"/>
    </row>
    <row r="2570" spans="1:17" s="15" customFormat="1" x14ac:dyDescent="0.2">
      <c r="A2570" s="334"/>
      <c r="B2570" s="380"/>
      <c r="C2570" s="334" t="s">
        <v>25</v>
      </c>
      <c r="D2570" s="377"/>
      <c r="E2570" s="377"/>
      <c r="F2570" s="378"/>
      <c r="G2570" s="377"/>
      <c r="H2570" s="377"/>
      <c r="I2570" s="399"/>
      <c r="J2570" s="377"/>
      <c r="K2570" s="377"/>
      <c r="L2570" s="378"/>
      <c r="M2570" s="377"/>
      <c r="N2570" s="377"/>
      <c r="O2570" s="382"/>
      <c r="P2570" s="382"/>
      <c r="Q2570" s="382"/>
    </row>
    <row r="2571" spans="1:17" s="15" customFormat="1" x14ac:dyDescent="0.2">
      <c r="A2571" s="334"/>
      <c r="B2571" s="380"/>
      <c r="C2571" s="334" t="s">
        <v>1608</v>
      </c>
      <c r="D2571" s="377"/>
      <c r="E2571" s="377"/>
      <c r="F2571" s="378"/>
      <c r="G2571" s="377"/>
      <c r="H2571" s="377"/>
      <c r="I2571" s="399"/>
      <c r="J2571" s="377"/>
      <c r="K2571" s="377"/>
      <c r="L2571" s="378"/>
      <c r="M2571" s="377"/>
      <c r="N2571" s="377"/>
      <c r="O2571" s="382"/>
      <c r="P2571" s="382"/>
      <c r="Q2571" s="382"/>
    </row>
    <row r="2572" spans="1:17" s="15" customFormat="1" x14ac:dyDescent="0.2">
      <c r="A2572" s="380"/>
      <c r="B2572" s="380"/>
      <c r="C2572" s="380"/>
      <c r="D2572" s="410" t="s">
        <v>342</v>
      </c>
      <c r="E2572" s="410" t="s">
        <v>342</v>
      </c>
      <c r="F2572" s="445" t="s">
        <v>342</v>
      </c>
      <c r="G2572" s="410"/>
      <c r="H2572" s="410" t="s">
        <v>342</v>
      </c>
      <c r="I2572" s="385"/>
      <c r="J2572" s="410" t="s">
        <v>342</v>
      </c>
      <c r="K2572" s="410" t="s">
        <v>342</v>
      </c>
      <c r="L2572" s="445" t="s">
        <v>342</v>
      </c>
      <c r="M2572" s="410"/>
      <c r="N2572" s="410" t="s">
        <v>342</v>
      </c>
      <c r="O2572" s="382"/>
      <c r="P2572" s="382"/>
      <c r="Q2572" s="382"/>
    </row>
    <row r="2573" spans="1:17" s="15" customFormat="1" ht="15.75" thickBot="1" x14ac:dyDescent="0.25">
      <c r="A2573" s="334" t="s">
        <v>342</v>
      </c>
      <c r="B2573" s="380"/>
      <c r="C2573" s="334" t="s">
        <v>342</v>
      </c>
      <c r="D2573" s="411">
        <f>SUM(D2540:D2570)</f>
        <v>-2142.4</v>
      </c>
      <c r="E2573" s="411">
        <f>SUM(E2540:E2570)</f>
        <v>1784.8</v>
      </c>
      <c r="F2573" s="414">
        <f>SUM(F2540:F2570)</f>
        <v>2451.1999999999998</v>
      </c>
      <c r="G2573" s="411"/>
      <c r="H2573" s="411">
        <f>SUM(H2540:H2570)</f>
        <v>340</v>
      </c>
      <c r="I2573" s="385"/>
      <c r="J2573" s="411">
        <f>SUM(J2540:J2570)</f>
        <v>1072</v>
      </c>
      <c r="K2573" s="411">
        <f>SUM(K2540:K2570)</f>
        <v>1449</v>
      </c>
      <c r="L2573" s="414">
        <f>SUM(L2540:L2570)</f>
        <v>3111</v>
      </c>
      <c r="M2573" s="411"/>
      <c r="N2573" s="411">
        <f>SUM(N2540:N2570)</f>
        <v>425</v>
      </c>
      <c r="O2573" s="382"/>
      <c r="P2573" s="382"/>
      <c r="Q2573" s="382"/>
    </row>
    <row r="2574" spans="1:17" s="15" customFormat="1" x14ac:dyDescent="0.2">
      <c r="A2574" s="385"/>
      <c r="B2574" s="382"/>
      <c r="C2574" s="385"/>
      <c r="D2574" s="385"/>
      <c r="E2574" s="399"/>
      <c r="F2574" s="416"/>
      <c r="G2574" s="399"/>
      <c r="H2574" s="399"/>
      <c r="I2574" s="385"/>
      <c r="J2574" s="385"/>
      <c r="K2574" s="399"/>
      <c r="L2574" s="416"/>
      <c r="M2574" s="399"/>
      <c r="N2574" s="399"/>
      <c r="O2574" s="382"/>
      <c r="P2574" s="382"/>
      <c r="Q2574" s="382"/>
    </row>
    <row r="2575" spans="1:17" s="15" customFormat="1" x14ac:dyDescent="0.2">
      <c r="A2575" s="385"/>
      <c r="B2575" s="382"/>
      <c r="C2575" s="385"/>
      <c r="D2575" s="385"/>
      <c r="E2575" s="399"/>
      <c r="F2575" s="416"/>
      <c r="G2575" s="399"/>
      <c r="H2575" s="399"/>
      <c r="I2575" s="385"/>
      <c r="J2575" s="385"/>
      <c r="K2575" s="399"/>
      <c r="L2575" s="416"/>
      <c r="M2575" s="399"/>
      <c r="N2575" s="399"/>
      <c r="O2575" s="382"/>
      <c r="P2575" s="382"/>
      <c r="Q2575" s="382"/>
    </row>
    <row r="2576" spans="1:17" s="15" customFormat="1" x14ac:dyDescent="0.2">
      <c r="A2576" s="334" t="s">
        <v>1659</v>
      </c>
      <c r="B2576" s="380"/>
      <c r="C2576" s="380"/>
      <c r="D2576" s="334" t="s">
        <v>272</v>
      </c>
      <c r="E2576" s="334" t="s">
        <v>273</v>
      </c>
      <c r="F2576" s="412" t="s">
        <v>267</v>
      </c>
      <c r="G2576" s="334"/>
      <c r="H2576" s="389">
        <v>64</v>
      </c>
      <c r="I2576" s="385"/>
      <c r="J2576" s="334" t="s">
        <v>272</v>
      </c>
      <c r="K2576" s="334" t="s">
        <v>273</v>
      </c>
      <c r="L2576" s="412" t="s">
        <v>267</v>
      </c>
      <c r="M2576" s="334"/>
      <c r="N2576" s="389">
        <v>64</v>
      </c>
      <c r="O2576" s="382"/>
      <c r="P2576" s="382"/>
      <c r="Q2576" s="382"/>
    </row>
    <row r="2577" spans="1:17" s="15" customFormat="1" x14ac:dyDescent="0.2">
      <c r="A2577" s="334" t="s">
        <v>1660</v>
      </c>
      <c r="B2577" s="380"/>
      <c r="C2577" s="384"/>
      <c r="D2577" s="384" t="s">
        <v>3705</v>
      </c>
      <c r="E2577" s="384" t="s">
        <v>3706</v>
      </c>
      <c r="F2577" s="421" t="s">
        <v>2926</v>
      </c>
      <c r="G2577" s="334"/>
      <c r="H2577" s="334" t="s">
        <v>2851</v>
      </c>
      <c r="I2577" s="385"/>
      <c r="J2577" s="384" t="s">
        <v>3705</v>
      </c>
      <c r="K2577" s="384" t="s">
        <v>3706</v>
      </c>
      <c r="L2577" s="421" t="s">
        <v>2926</v>
      </c>
      <c r="M2577" s="334"/>
      <c r="N2577" s="334" t="s">
        <v>2851</v>
      </c>
      <c r="O2577" s="382"/>
      <c r="P2577" s="382"/>
      <c r="Q2577" s="382"/>
    </row>
    <row r="2578" spans="1:17" s="15" customFormat="1" x14ac:dyDescent="0.2">
      <c r="A2578" s="380"/>
      <c r="B2578" s="380"/>
      <c r="C2578" s="380"/>
      <c r="D2578" s="334" t="s">
        <v>66</v>
      </c>
      <c r="E2578" s="334" t="s">
        <v>69</v>
      </c>
      <c r="F2578" s="389" t="s">
        <v>105</v>
      </c>
      <c r="G2578" s="334"/>
      <c r="H2578" s="334" t="s">
        <v>737</v>
      </c>
      <c r="I2578" s="385"/>
      <c r="J2578" s="334" t="s">
        <v>66</v>
      </c>
      <c r="K2578" s="334" t="s">
        <v>69</v>
      </c>
      <c r="L2578" s="412" t="s">
        <v>105</v>
      </c>
      <c r="M2578" s="334"/>
      <c r="N2578" s="334" t="s">
        <v>737</v>
      </c>
      <c r="O2578" s="382"/>
      <c r="P2578" s="382"/>
      <c r="Q2578" s="382"/>
    </row>
    <row r="2579" spans="1:17" s="15" customFormat="1" x14ac:dyDescent="0.2">
      <c r="A2579" s="334" t="s">
        <v>1723</v>
      </c>
      <c r="B2579" s="380"/>
      <c r="C2579" s="334" t="s">
        <v>1880</v>
      </c>
      <c r="D2579" s="334" t="s">
        <v>181</v>
      </c>
      <c r="E2579" s="334" t="s">
        <v>181</v>
      </c>
      <c r="F2579" s="389" t="s">
        <v>181</v>
      </c>
      <c r="G2579" s="334"/>
      <c r="H2579" s="334" t="s">
        <v>181</v>
      </c>
      <c r="I2579" s="385"/>
      <c r="J2579" s="334" t="s">
        <v>181</v>
      </c>
      <c r="K2579" s="334" t="s">
        <v>181</v>
      </c>
      <c r="L2579" s="412" t="s">
        <v>181</v>
      </c>
      <c r="M2579" s="334"/>
      <c r="N2579" s="334" t="s">
        <v>181</v>
      </c>
      <c r="O2579" s="382"/>
      <c r="P2579" s="382"/>
      <c r="Q2579" s="382"/>
    </row>
    <row r="2580" spans="1:17" s="15" customFormat="1" x14ac:dyDescent="0.2">
      <c r="A2580" s="380"/>
      <c r="B2580" s="380"/>
      <c r="C2580" s="380"/>
      <c r="D2580" s="380"/>
      <c r="E2580" s="380"/>
      <c r="F2580" s="378"/>
      <c r="G2580" s="380"/>
      <c r="H2580" s="380"/>
      <c r="I2580" s="382"/>
      <c r="J2580" s="380"/>
      <c r="K2580" s="380"/>
      <c r="L2580" s="378"/>
      <c r="M2580" s="380"/>
      <c r="N2580" s="380"/>
      <c r="O2580" s="382"/>
      <c r="P2580" s="382"/>
      <c r="Q2580" s="382"/>
    </row>
    <row r="2581" spans="1:17" s="15" customFormat="1" x14ac:dyDescent="0.2">
      <c r="A2581" s="334" t="s">
        <v>1569</v>
      </c>
      <c r="B2581" s="380"/>
      <c r="C2581" s="334" t="s">
        <v>1888</v>
      </c>
      <c r="D2581" s="377"/>
      <c r="E2581" s="377"/>
      <c r="F2581" s="378"/>
      <c r="G2581" s="377"/>
      <c r="H2581" s="377"/>
      <c r="I2581" s="399"/>
      <c r="J2581" s="377"/>
      <c r="K2581" s="377"/>
      <c r="L2581" s="378"/>
      <c r="M2581" s="377"/>
      <c r="N2581" s="377"/>
      <c r="O2581" s="382"/>
      <c r="P2581" s="382"/>
      <c r="Q2581" s="382"/>
    </row>
    <row r="2582" spans="1:17" s="15" customFormat="1" x14ac:dyDescent="0.2">
      <c r="A2582" s="334" t="s">
        <v>1724</v>
      </c>
      <c r="B2582" s="380"/>
      <c r="C2582" s="334" t="s">
        <v>1881</v>
      </c>
      <c r="D2582" s="377">
        <v>76</v>
      </c>
      <c r="E2582" s="377">
        <v>380</v>
      </c>
      <c r="F2582" s="378"/>
      <c r="G2582" s="377"/>
      <c r="H2582" s="377">
        <v>285</v>
      </c>
      <c r="I2582" s="399"/>
      <c r="J2582" s="377">
        <v>76</v>
      </c>
      <c r="K2582" s="377">
        <v>380</v>
      </c>
      <c r="L2582" s="378"/>
      <c r="M2582" s="377"/>
      <c r="N2582" s="377">
        <v>285</v>
      </c>
      <c r="O2582" s="382"/>
      <c r="P2582" s="382"/>
      <c r="Q2582" s="382"/>
    </row>
    <row r="2583" spans="1:17" s="15" customFormat="1" x14ac:dyDescent="0.2">
      <c r="A2583" s="334" t="s">
        <v>1736</v>
      </c>
      <c r="B2583" s="380"/>
      <c r="C2583" s="334" t="s">
        <v>1747</v>
      </c>
      <c r="D2583" s="377"/>
      <c r="E2583" s="377">
        <v>1425</v>
      </c>
      <c r="F2583" s="378"/>
      <c r="G2583" s="377"/>
      <c r="H2583" s="377"/>
      <c r="I2583" s="399"/>
      <c r="J2583" s="377"/>
      <c r="K2583" s="377">
        <v>1425</v>
      </c>
      <c r="L2583" s="378"/>
      <c r="M2583" s="377"/>
      <c r="N2583" s="377"/>
      <c r="O2583" s="382"/>
      <c r="P2583" s="382"/>
      <c r="Q2583" s="382"/>
    </row>
    <row r="2584" spans="1:17" s="15" customFormat="1" x14ac:dyDescent="0.2">
      <c r="A2584" s="334" t="s">
        <v>1744</v>
      </c>
      <c r="B2584" s="380"/>
      <c r="C2584" s="334" t="s">
        <v>1254</v>
      </c>
      <c r="D2584" s="377"/>
      <c r="E2584" s="377"/>
      <c r="F2584" s="378"/>
      <c r="G2584" s="377"/>
      <c r="H2584" s="377">
        <v>180</v>
      </c>
      <c r="I2584" s="399"/>
      <c r="J2584" s="377"/>
      <c r="K2584" s="377"/>
      <c r="L2584" s="378"/>
      <c r="M2584" s="377"/>
      <c r="N2584" s="377">
        <v>180</v>
      </c>
      <c r="O2584" s="382"/>
      <c r="P2584" s="382"/>
      <c r="Q2584" s="382"/>
    </row>
    <row r="2585" spans="1:17" s="15" customFormat="1" x14ac:dyDescent="0.2">
      <c r="A2585" s="334" t="s">
        <v>1582</v>
      </c>
      <c r="B2585" s="380"/>
      <c r="C2585" s="334" t="s">
        <v>3135</v>
      </c>
      <c r="D2585" s="377"/>
      <c r="E2585" s="377"/>
      <c r="F2585" s="378"/>
      <c r="G2585" s="377"/>
      <c r="H2585" s="377"/>
      <c r="I2585" s="399"/>
      <c r="J2585" s="377"/>
      <c r="K2585" s="377"/>
      <c r="L2585" s="378"/>
      <c r="M2585" s="377"/>
      <c r="N2585" s="377"/>
      <c r="O2585" s="382"/>
      <c r="P2585" s="382"/>
      <c r="Q2585" s="382"/>
    </row>
    <row r="2586" spans="1:17" s="15" customFormat="1" x14ac:dyDescent="0.2">
      <c r="A2586" s="403" t="s">
        <v>1575</v>
      </c>
      <c r="B2586" s="380"/>
      <c r="C2586" s="334" t="s">
        <v>1889</v>
      </c>
      <c r="D2586" s="377"/>
      <c r="E2586" s="377"/>
      <c r="F2586" s="378"/>
      <c r="G2586" s="377"/>
      <c r="H2586" s="377"/>
      <c r="I2586" s="399"/>
      <c r="J2586" s="377"/>
      <c r="K2586" s="377"/>
      <c r="L2586" s="378"/>
      <c r="M2586" s="377"/>
      <c r="N2586" s="377"/>
      <c r="O2586" s="382"/>
      <c r="P2586" s="382"/>
      <c r="Q2586" s="382"/>
    </row>
    <row r="2587" spans="1:17" s="15" customFormat="1" x14ac:dyDescent="0.2">
      <c r="A2587" s="334" t="s">
        <v>1725</v>
      </c>
      <c r="B2587" s="380"/>
      <c r="C2587" s="334" t="s">
        <v>1890</v>
      </c>
      <c r="D2587" s="377"/>
      <c r="E2587" s="377">
        <v>371</v>
      </c>
      <c r="F2587" s="378"/>
      <c r="G2587" s="377"/>
      <c r="H2587" s="377">
        <v>143</v>
      </c>
      <c r="I2587" s="399"/>
      <c r="J2587" s="377"/>
      <c r="K2587" s="377">
        <v>371</v>
      </c>
      <c r="L2587" s="378"/>
      <c r="M2587" s="377"/>
      <c r="N2587" s="377">
        <v>143</v>
      </c>
      <c r="O2587" s="382"/>
      <c r="P2587" s="382"/>
      <c r="Q2587" s="382"/>
    </row>
    <row r="2588" spans="1:17" s="15" customFormat="1" x14ac:dyDescent="0.2">
      <c r="A2588" s="403" t="s">
        <v>1576</v>
      </c>
      <c r="B2588" s="380"/>
      <c r="C2588" s="334" t="s">
        <v>1590</v>
      </c>
      <c r="D2588" s="377"/>
      <c r="E2588" s="377">
        <v>190</v>
      </c>
      <c r="F2588" s="378"/>
      <c r="G2588" s="377"/>
      <c r="H2588" s="377">
        <v>24</v>
      </c>
      <c r="I2588" s="399"/>
      <c r="J2588" s="377"/>
      <c r="K2588" s="377">
        <v>190</v>
      </c>
      <c r="L2588" s="378"/>
      <c r="M2588" s="377"/>
      <c r="N2588" s="377">
        <v>24</v>
      </c>
      <c r="O2588" s="382"/>
      <c r="P2588" s="382"/>
      <c r="Q2588" s="382"/>
    </row>
    <row r="2589" spans="1:17" s="15" customFormat="1" x14ac:dyDescent="0.2">
      <c r="A2589" s="334" t="s">
        <v>1737</v>
      </c>
      <c r="B2589" s="380"/>
      <c r="C2589" s="334" t="s">
        <v>1984</v>
      </c>
      <c r="D2589" s="377"/>
      <c r="E2589" s="377">
        <v>47</v>
      </c>
      <c r="F2589" s="378"/>
      <c r="G2589" s="377"/>
      <c r="H2589" s="377">
        <v>47</v>
      </c>
      <c r="I2589" s="399"/>
      <c r="J2589" s="377"/>
      <c r="K2589" s="377">
        <v>47</v>
      </c>
      <c r="L2589" s="378"/>
      <c r="M2589" s="377"/>
      <c r="N2589" s="377">
        <v>47</v>
      </c>
      <c r="O2589" s="382"/>
      <c r="P2589" s="382"/>
      <c r="Q2589" s="382"/>
    </row>
    <row r="2590" spans="1:17" s="15" customFormat="1" x14ac:dyDescent="0.2">
      <c r="A2590" s="334" t="s">
        <v>1726</v>
      </c>
      <c r="B2590" s="380"/>
      <c r="C2590" s="334" t="s">
        <v>1117</v>
      </c>
      <c r="D2590" s="377"/>
      <c r="E2590" s="377">
        <v>142</v>
      </c>
      <c r="F2590" s="378"/>
      <c r="G2590" s="377"/>
      <c r="H2590" s="377"/>
      <c r="I2590" s="399"/>
      <c r="J2590" s="377"/>
      <c r="K2590" s="377">
        <v>142</v>
      </c>
      <c r="L2590" s="378"/>
      <c r="M2590" s="377"/>
      <c r="N2590" s="377"/>
      <c r="O2590" s="382"/>
      <c r="P2590" s="382"/>
      <c r="Q2590" s="382"/>
    </row>
    <row r="2591" spans="1:17" s="15" customFormat="1" x14ac:dyDescent="0.2">
      <c r="A2591" s="334" t="s">
        <v>1661</v>
      </c>
      <c r="B2591" s="380"/>
      <c r="C2591" s="334" t="s">
        <v>3136</v>
      </c>
      <c r="D2591" s="377"/>
      <c r="E2591" s="377"/>
      <c r="F2591" s="378"/>
      <c r="G2591" s="377"/>
      <c r="H2591" s="377"/>
      <c r="I2591" s="399"/>
      <c r="J2591" s="377"/>
      <c r="K2591" s="377"/>
      <c r="L2591" s="378"/>
      <c r="M2591" s="377"/>
      <c r="N2591" s="377"/>
      <c r="O2591" s="382"/>
      <c r="P2591" s="382"/>
      <c r="Q2591" s="382"/>
    </row>
    <row r="2592" spans="1:17" s="15" customFormat="1" x14ac:dyDescent="0.2">
      <c r="A2592" s="334" t="s">
        <v>1577</v>
      </c>
      <c r="B2592" s="380"/>
      <c r="C2592" s="334" t="s">
        <v>1815</v>
      </c>
      <c r="D2592" s="377"/>
      <c r="E2592" s="377"/>
      <c r="F2592" s="378"/>
      <c r="G2592" s="377"/>
      <c r="H2592" s="377"/>
      <c r="I2592" s="399"/>
      <c r="J2592" s="377"/>
      <c r="K2592" s="377"/>
      <c r="L2592" s="378"/>
      <c r="M2592" s="377"/>
      <c r="N2592" s="377"/>
      <c r="O2592" s="382"/>
      <c r="P2592" s="382"/>
      <c r="Q2592" s="382"/>
    </row>
    <row r="2593" spans="1:17" s="15" customFormat="1" x14ac:dyDescent="0.2">
      <c r="A2593" s="334" t="s">
        <v>1734</v>
      </c>
      <c r="B2593" s="380"/>
      <c r="C2593" s="334" t="s">
        <v>1746</v>
      </c>
      <c r="D2593" s="377"/>
      <c r="E2593" s="377"/>
      <c r="F2593" s="378"/>
      <c r="G2593" s="377"/>
      <c r="H2593" s="377"/>
      <c r="I2593" s="399"/>
      <c r="J2593" s="377"/>
      <c r="K2593" s="377"/>
      <c r="L2593" s="378"/>
      <c r="M2593" s="377"/>
      <c r="N2593" s="377"/>
      <c r="O2593" s="382"/>
      <c r="P2593" s="382"/>
      <c r="Q2593" s="382"/>
    </row>
    <row r="2594" spans="1:17" s="15" customFormat="1" x14ac:dyDescent="0.2">
      <c r="A2594" s="334" t="s">
        <v>1571</v>
      </c>
      <c r="B2594" s="380"/>
      <c r="C2594" s="334" t="s">
        <v>3</v>
      </c>
      <c r="D2594" s="377"/>
      <c r="E2594" s="377"/>
      <c r="F2594" s="378"/>
      <c r="G2594" s="377"/>
      <c r="H2594" s="377"/>
      <c r="I2594" s="399"/>
      <c r="J2594" s="377"/>
      <c r="K2594" s="377"/>
      <c r="L2594" s="378"/>
      <c r="M2594" s="377"/>
      <c r="N2594" s="377"/>
      <c r="O2594" s="382"/>
      <c r="P2594" s="382"/>
      <c r="Q2594" s="382"/>
    </row>
    <row r="2595" spans="1:17" s="15" customFormat="1" x14ac:dyDescent="0.2">
      <c r="A2595" s="403" t="s">
        <v>1578</v>
      </c>
      <c r="B2595" s="380"/>
      <c r="C2595" s="334" t="s">
        <v>22</v>
      </c>
      <c r="D2595" s="377"/>
      <c r="E2595" s="377"/>
      <c r="F2595" s="378"/>
      <c r="G2595" s="377"/>
      <c r="H2595" s="377"/>
      <c r="I2595" s="399"/>
      <c r="J2595" s="377"/>
      <c r="K2595" s="377"/>
      <c r="L2595" s="378"/>
      <c r="M2595" s="377"/>
      <c r="N2595" s="377"/>
      <c r="O2595" s="382"/>
      <c r="P2595" s="382"/>
      <c r="Q2595" s="382"/>
    </row>
    <row r="2596" spans="1:17" s="15" customFormat="1" x14ac:dyDescent="0.2">
      <c r="A2596" s="334" t="s">
        <v>1738</v>
      </c>
      <c r="B2596" s="380"/>
      <c r="C2596" s="334" t="s">
        <v>1591</v>
      </c>
      <c r="D2596" s="377">
        <v>24</v>
      </c>
      <c r="E2596" s="377"/>
      <c r="F2596" s="378"/>
      <c r="G2596" s="377"/>
      <c r="H2596" s="377">
        <v>95</v>
      </c>
      <c r="I2596" s="399"/>
      <c r="J2596" s="377">
        <v>24</v>
      </c>
      <c r="K2596" s="377"/>
      <c r="L2596" s="378"/>
      <c r="M2596" s="377"/>
      <c r="N2596" s="377">
        <v>95</v>
      </c>
      <c r="O2596" s="382"/>
      <c r="P2596" s="382"/>
      <c r="Q2596" s="382"/>
    </row>
    <row r="2597" spans="1:17" s="15" customFormat="1" x14ac:dyDescent="0.2">
      <c r="A2597" s="334" t="s">
        <v>1727</v>
      </c>
      <c r="B2597" s="380"/>
      <c r="C2597" s="334" t="s">
        <v>307</v>
      </c>
      <c r="D2597" s="377">
        <v>133</v>
      </c>
      <c r="E2597" s="377">
        <v>428</v>
      </c>
      <c r="F2597" s="378"/>
      <c r="G2597" s="377"/>
      <c r="H2597" s="377">
        <v>95</v>
      </c>
      <c r="I2597" s="399"/>
      <c r="J2597" s="377">
        <v>133</v>
      </c>
      <c r="K2597" s="377">
        <v>428</v>
      </c>
      <c r="L2597" s="378"/>
      <c r="M2597" s="377"/>
      <c r="N2597" s="377">
        <v>95</v>
      </c>
      <c r="O2597" s="382"/>
      <c r="P2597" s="382"/>
      <c r="Q2597" s="382"/>
    </row>
    <row r="2598" spans="1:17" s="15" customFormat="1" x14ac:dyDescent="0.2">
      <c r="A2598" s="334" t="s">
        <v>1728</v>
      </c>
      <c r="B2598" s="380"/>
      <c r="C2598" s="334" t="s">
        <v>310</v>
      </c>
      <c r="D2598" s="377">
        <v>95</v>
      </c>
      <c r="E2598" s="377">
        <v>385</v>
      </c>
      <c r="F2598" s="378">
        <v>27</v>
      </c>
      <c r="G2598" s="377"/>
      <c r="H2598" s="377">
        <v>48</v>
      </c>
      <c r="I2598" s="399"/>
      <c r="J2598" s="377">
        <v>95</v>
      </c>
      <c r="K2598" s="377">
        <v>385</v>
      </c>
      <c r="L2598" s="378">
        <v>27</v>
      </c>
      <c r="M2598" s="377"/>
      <c r="N2598" s="377">
        <v>48</v>
      </c>
      <c r="O2598" s="382"/>
      <c r="P2598" s="382"/>
      <c r="Q2598" s="382"/>
    </row>
    <row r="2599" spans="1:17" s="15" customFormat="1" x14ac:dyDescent="0.2">
      <c r="A2599" s="334" t="s">
        <v>1729</v>
      </c>
      <c r="B2599" s="380"/>
      <c r="C2599" s="380" t="s">
        <v>1551</v>
      </c>
      <c r="D2599" s="377">
        <v>-192.8</v>
      </c>
      <c r="E2599" s="377">
        <v>-1044.2</v>
      </c>
      <c r="F2599" s="378">
        <v>-180.2</v>
      </c>
      <c r="G2599" s="377"/>
      <c r="H2599" s="377"/>
      <c r="I2599" s="399"/>
      <c r="J2599" s="377"/>
      <c r="K2599" s="377"/>
      <c r="L2599" s="378"/>
      <c r="M2599" s="377"/>
      <c r="N2599" s="377"/>
      <c r="O2599" s="382"/>
      <c r="P2599" s="382"/>
      <c r="Q2599" s="382"/>
    </row>
    <row r="2600" spans="1:17" s="15" customFormat="1" x14ac:dyDescent="0.2">
      <c r="A2600" s="334" t="s">
        <v>1735</v>
      </c>
      <c r="B2600" s="380"/>
      <c r="C2600" s="380" t="s">
        <v>194</v>
      </c>
      <c r="D2600" s="377"/>
      <c r="E2600" s="377"/>
      <c r="F2600" s="378"/>
      <c r="G2600" s="377"/>
      <c r="H2600" s="377"/>
      <c r="I2600" s="399"/>
      <c r="J2600" s="377"/>
      <c r="K2600" s="377">
        <v>47</v>
      </c>
      <c r="L2600" s="378"/>
      <c r="M2600" s="377"/>
      <c r="N2600" s="377">
        <v>24</v>
      </c>
      <c r="O2600" s="382"/>
      <c r="P2600" s="382"/>
      <c r="Q2600" s="382"/>
    </row>
    <row r="2601" spans="1:17" s="15" customFormat="1" x14ac:dyDescent="0.2">
      <c r="A2601" s="334" t="s">
        <v>1741</v>
      </c>
      <c r="B2601" s="380"/>
      <c r="C2601" s="334" t="s">
        <v>1748</v>
      </c>
      <c r="D2601" s="377">
        <v>66</v>
      </c>
      <c r="E2601" s="377">
        <v>285</v>
      </c>
      <c r="F2601" s="378">
        <v>19</v>
      </c>
      <c r="G2601" s="377"/>
      <c r="H2601" s="377">
        <v>95</v>
      </c>
      <c r="I2601" s="399"/>
      <c r="J2601" s="377">
        <v>66</v>
      </c>
      <c r="K2601" s="377">
        <v>285</v>
      </c>
      <c r="L2601" s="378">
        <v>19</v>
      </c>
      <c r="M2601" s="377"/>
      <c r="N2601" s="377">
        <v>95</v>
      </c>
      <c r="O2601" s="382"/>
      <c r="P2601" s="382"/>
      <c r="Q2601" s="382"/>
    </row>
    <row r="2602" spans="1:17" s="15" customFormat="1" x14ac:dyDescent="0.2">
      <c r="A2602" s="334" t="s">
        <v>1584</v>
      </c>
      <c r="B2602" s="380"/>
      <c r="C2602" s="334" t="s">
        <v>0</v>
      </c>
      <c r="D2602" s="377"/>
      <c r="E2602" s="377"/>
      <c r="F2602" s="378"/>
      <c r="G2602" s="377"/>
      <c r="H2602" s="377"/>
      <c r="I2602" s="399"/>
      <c r="J2602" s="377"/>
      <c r="K2602" s="377"/>
      <c r="L2602" s="378"/>
      <c r="M2602" s="377"/>
      <c r="N2602" s="377"/>
      <c r="O2602" s="382"/>
      <c r="P2602" s="382"/>
      <c r="Q2602" s="382"/>
    </row>
    <row r="2603" spans="1:17" s="15" customFormat="1" x14ac:dyDescent="0.2">
      <c r="A2603" s="334" t="s">
        <v>1580</v>
      </c>
      <c r="B2603" s="380"/>
      <c r="C2603" s="334" t="s">
        <v>1935</v>
      </c>
      <c r="D2603" s="377"/>
      <c r="E2603" s="377"/>
      <c r="F2603" s="378"/>
      <c r="G2603" s="377"/>
      <c r="H2603" s="377"/>
      <c r="I2603" s="399"/>
      <c r="J2603" s="377"/>
      <c r="K2603" s="377">
        <v>48</v>
      </c>
      <c r="L2603" s="378"/>
      <c r="M2603" s="377"/>
      <c r="N2603" s="377"/>
      <c r="O2603" s="382"/>
      <c r="P2603" s="382"/>
      <c r="Q2603" s="382"/>
    </row>
    <row r="2604" spans="1:17" s="15" customFormat="1" x14ac:dyDescent="0.2">
      <c r="A2604" s="334" t="s">
        <v>1572</v>
      </c>
      <c r="B2604" s="380"/>
      <c r="C2604" s="334" t="s">
        <v>3134</v>
      </c>
      <c r="D2604" s="377"/>
      <c r="E2604" s="377">
        <v>95</v>
      </c>
      <c r="F2604" s="378"/>
      <c r="G2604" s="377"/>
      <c r="H2604" s="377"/>
      <c r="I2604" s="399"/>
      <c r="J2604" s="377"/>
      <c r="K2604" s="377">
        <v>95</v>
      </c>
      <c r="L2604" s="378"/>
      <c r="M2604" s="377"/>
      <c r="N2604" s="377"/>
      <c r="O2604" s="382"/>
      <c r="P2604" s="382"/>
      <c r="Q2604" s="382"/>
    </row>
    <row r="2605" spans="1:17" s="15" customFormat="1" x14ac:dyDescent="0.2">
      <c r="A2605" s="334" t="s">
        <v>1730</v>
      </c>
      <c r="B2605" s="380"/>
      <c r="C2605" s="334" t="s">
        <v>1985</v>
      </c>
      <c r="D2605" s="377">
        <v>570</v>
      </c>
      <c r="E2605" s="377">
        <v>1093</v>
      </c>
      <c r="F2605" s="378">
        <v>855</v>
      </c>
      <c r="G2605" s="377"/>
      <c r="H2605" s="377">
        <v>427</v>
      </c>
      <c r="I2605" s="399"/>
      <c r="J2605" s="377">
        <v>570</v>
      </c>
      <c r="K2605" s="377">
        <v>1093</v>
      </c>
      <c r="L2605" s="378">
        <v>855</v>
      </c>
      <c r="M2605" s="377"/>
      <c r="N2605" s="377">
        <v>427</v>
      </c>
      <c r="O2605" s="382"/>
      <c r="P2605" s="382"/>
      <c r="Q2605" s="382"/>
    </row>
    <row r="2606" spans="1:17" s="15" customFormat="1" x14ac:dyDescent="0.2">
      <c r="A2606" s="334" t="s">
        <v>1566</v>
      </c>
      <c r="B2606" s="380"/>
      <c r="C2606" s="334" t="s">
        <v>366</v>
      </c>
      <c r="D2606" s="377"/>
      <c r="E2606" s="377">
        <v>380</v>
      </c>
      <c r="F2606" s="378"/>
      <c r="G2606" s="377"/>
      <c r="H2606" s="377">
        <v>380</v>
      </c>
      <c r="I2606" s="399"/>
      <c r="J2606" s="377"/>
      <c r="K2606" s="377">
        <v>380</v>
      </c>
      <c r="L2606" s="378"/>
      <c r="M2606" s="377"/>
      <c r="N2606" s="377">
        <v>380</v>
      </c>
      <c r="O2606" s="382"/>
      <c r="P2606" s="382"/>
      <c r="Q2606" s="382"/>
    </row>
    <row r="2607" spans="1:17" s="15" customFormat="1" x14ac:dyDescent="0.2">
      <c r="A2607" s="334" t="s">
        <v>1755</v>
      </c>
      <c r="B2607" s="380"/>
      <c r="C2607" s="380" t="s">
        <v>1986</v>
      </c>
      <c r="D2607" s="377"/>
      <c r="E2607" s="377"/>
      <c r="F2607" s="378"/>
      <c r="G2607" s="377"/>
      <c r="H2607" s="377"/>
      <c r="I2607" s="399"/>
      <c r="J2607" s="377"/>
      <c r="K2607" s="377"/>
      <c r="L2607" s="378"/>
      <c r="M2607" s="377"/>
      <c r="N2607" s="377"/>
      <c r="O2607" s="382"/>
      <c r="P2607" s="382"/>
      <c r="Q2607" s="382"/>
    </row>
    <row r="2608" spans="1:17" s="15" customFormat="1" x14ac:dyDescent="0.2">
      <c r="A2608" s="334" t="s">
        <v>1587</v>
      </c>
      <c r="B2608" s="380"/>
      <c r="C2608" s="334" t="s">
        <v>34</v>
      </c>
      <c r="D2608" s="377"/>
      <c r="E2608" s="377"/>
      <c r="F2608" s="378"/>
      <c r="G2608" s="377"/>
      <c r="H2608" s="377"/>
      <c r="I2608" s="399"/>
      <c r="J2608" s="377"/>
      <c r="K2608" s="377"/>
      <c r="L2608" s="378"/>
      <c r="M2608" s="377"/>
      <c r="N2608" s="377"/>
      <c r="O2608" s="382"/>
      <c r="P2608" s="382"/>
      <c r="Q2608" s="382"/>
    </row>
    <row r="2609" spans="1:17" s="15" customFormat="1" x14ac:dyDescent="0.2">
      <c r="A2609" s="384" t="s">
        <v>1962</v>
      </c>
      <c r="B2609" s="380"/>
      <c r="C2609" s="380" t="s">
        <v>572</v>
      </c>
      <c r="D2609" s="377"/>
      <c r="E2609" s="377"/>
      <c r="F2609" s="378"/>
      <c r="G2609" s="377"/>
      <c r="H2609" s="377"/>
      <c r="I2609" s="399"/>
      <c r="J2609" s="377"/>
      <c r="K2609" s="377">
        <v>1045</v>
      </c>
      <c r="L2609" s="378"/>
      <c r="M2609" s="377"/>
      <c r="N2609" s="377"/>
      <c r="O2609" s="382"/>
      <c r="P2609" s="382"/>
      <c r="Q2609" s="382"/>
    </row>
    <row r="2610" spans="1:17" s="15" customFormat="1" x14ac:dyDescent="0.2">
      <c r="A2610" s="334" t="s">
        <v>1662</v>
      </c>
      <c r="B2610" s="380"/>
      <c r="C2610" s="334" t="s">
        <v>24</v>
      </c>
      <c r="D2610" s="377"/>
      <c r="E2610" s="377"/>
      <c r="F2610" s="378"/>
      <c r="G2610" s="377"/>
      <c r="H2610" s="377"/>
      <c r="I2610" s="399"/>
      <c r="J2610" s="377"/>
      <c r="K2610" s="377"/>
      <c r="L2610" s="378"/>
      <c r="M2610" s="377"/>
      <c r="N2610" s="377"/>
      <c r="O2610" s="382"/>
      <c r="P2610" s="382"/>
      <c r="Q2610" s="382"/>
    </row>
    <row r="2611" spans="1:17" s="15" customFormat="1" x14ac:dyDescent="0.2">
      <c r="A2611" s="334"/>
      <c r="B2611" s="380"/>
      <c r="C2611" s="334" t="s">
        <v>25</v>
      </c>
      <c r="D2611" s="377"/>
      <c r="E2611" s="377"/>
      <c r="F2611" s="378"/>
      <c r="G2611" s="377"/>
      <c r="H2611" s="377"/>
      <c r="I2611" s="399"/>
      <c r="J2611" s="377"/>
      <c r="K2611" s="377"/>
      <c r="L2611" s="378"/>
      <c r="M2611" s="377"/>
      <c r="N2611" s="377"/>
      <c r="O2611" s="382"/>
      <c r="P2611" s="382"/>
      <c r="Q2611" s="382"/>
    </row>
    <row r="2612" spans="1:17" s="15" customFormat="1" x14ac:dyDescent="0.2">
      <c r="A2612" s="334"/>
      <c r="B2612" s="380"/>
      <c r="C2612" s="334" t="s">
        <v>1608</v>
      </c>
      <c r="D2612" s="377"/>
      <c r="E2612" s="377"/>
      <c r="F2612" s="378"/>
      <c r="G2612" s="377"/>
      <c r="H2612" s="377"/>
      <c r="I2612" s="399"/>
      <c r="J2612" s="377"/>
      <c r="K2612" s="377"/>
      <c r="L2612" s="378"/>
      <c r="M2612" s="377"/>
      <c r="N2612" s="377"/>
      <c r="O2612" s="382"/>
      <c r="P2612" s="382"/>
      <c r="Q2612" s="382"/>
    </row>
    <row r="2613" spans="1:17" s="15" customFormat="1" x14ac:dyDescent="0.2">
      <c r="A2613" s="380"/>
      <c r="B2613" s="380"/>
      <c r="C2613" s="380"/>
      <c r="D2613" s="410" t="s">
        <v>342</v>
      </c>
      <c r="E2613" s="410" t="s">
        <v>342</v>
      </c>
      <c r="F2613" s="445" t="s">
        <v>342</v>
      </c>
      <c r="G2613" s="410"/>
      <c r="H2613" s="410"/>
      <c r="I2613" s="385"/>
      <c r="J2613" s="410" t="s">
        <v>342</v>
      </c>
      <c r="K2613" s="410" t="s">
        <v>342</v>
      </c>
      <c r="L2613" s="445" t="s">
        <v>342</v>
      </c>
      <c r="M2613" s="410"/>
      <c r="N2613" s="410"/>
      <c r="O2613" s="382"/>
      <c r="P2613" s="382"/>
      <c r="Q2613" s="382"/>
    </row>
    <row r="2614" spans="1:17" s="15" customFormat="1" ht="15.75" thickBot="1" x14ac:dyDescent="0.25">
      <c r="A2614" s="334" t="s">
        <v>342</v>
      </c>
      <c r="B2614" s="380"/>
      <c r="C2614" s="334" t="s">
        <v>342</v>
      </c>
      <c r="D2614" s="411">
        <f>SUM(D2581:D2611)</f>
        <v>771.2</v>
      </c>
      <c r="E2614" s="411">
        <f>SUM(E2581:E2612)</f>
        <v>4176.8</v>
      </c>
      <c r="F2614" s="414">
        <f>SUM(F2581:F2611)</f>
        <v>720.8</v>
      </c>
      <c r="G2614" s="411"/>
      <c r="H2614" s="411">
        <f>SUM(H2581:H2612)</f>
        <v>1819</v>
      </c>
      <c r="I2614" s="385"/>
      <c r="J2614" s="411">
        <f>SUM(J2581:J2611)</f>
        <v>964</v>
      </c>
      <c r="K2614" s="411">
        <f>SUM(K2581:K2612)</f>
        <v>6361</v>
      </c>
      <c r="L2614" s="414">
        <f>SUM(L2581:L2611)</f>
        <v>901</v>
      </c>
      <c r="M2614" s="411"/>
      <c r="N2614" s="411">
        <f>SUM(N2581:N2612)</f>
        <v>1843</v>
      </c>
      <c r="O2614" s="382"/>
      <c r="P2614" s="382"/>
      <c r="Q2614" s="382"/>
    </row>
    <row r="2615" spans="1:17" s="15" customFormat="1" x14ac:dyDescent="0.2">
      <c r="A2615" s="385"/>
      <c r="B2615" s="382"/>
      <c r="C2615" s="385"/>
      <c r="D2615" s="385"/>
      <c r="E2615" s="399"/>
      <c r="F2615" s="416"/>
      <c r="G2615" s="399"/>
      <c r="H2615" s="399"/>
      <c r="I2615" s="385"/>
      <c r="J2615" s="385"/>
      <c r="K2615" s="399"/>
      <c r="L2615" s="416"/>
      <c r="M2615" s="399"/>
      <c r="N2615" s="399"/>
      <c r="O2615" s="382"/>
      <c r="P2615" s="382"/>
      <c r="Q2615" s="382"/>
    </row>
    <row r="2616" spans="1:17" s="15" customFormat="1" x14ac:dyDescent="0.2">
      <c r="A2616" s="385"/>
      <c r="B2616" s="382"/>
      <c r="C2616" s="385"/>
      <c r="D2616" s="385"/>
      <c r="E2616" s="399"/>
      <c r="F2616" s="416"/>
      <c r="G2616" s="399"/>
      <c r="H2616" s="399"/>
      <c r="I2616" s="385"/>
      <c r="J2616" s="385"/>
      <c r="K2616" s="399"/>
      <c r="L2616" s="416"/>
      <c r="M2616" s="399"/>
      <c r="N2616" s="399"/>
      <c r="O2616" s="382"/>
      <c r="P2616" s="382"/>
      <c r="Q2616" s="382"/>
    </row>
    <row r="2617" spans="1:17" s="15" customFormat="1" x14ac:dyDescent="0.2">
      <c r="A2617" s="334" t="s">
        <v>1659</v>
      </c>
      <c r="B2617" s="380"/>
      <c r="C2617" s="380"/>
      <c r="D2617" s="334" t="s">
        <v>133</v>
      </c>
      <c r="E2617" s="334" t="s">
        <v>134</v>
      </c>
      <c r="F2617" s="412" t="s">
        <v>135</v>
      </c>
      <c r="G2617" s="334"/>
      <c r="H2617" s="334" t="s">
        <v>136</v>
      </c>
      <c r="I2617" s="385"/>
      <c r="J2617" s="334" t="s">
        <v>133</v>
      </c>
      <c r="K2617" s="334" t="s">
        <v>134</v>
      </c>
      <c r="L2617" s="412" t="s">
        <v>135</v>
      </c>
      <c r="M2617" s="334"/>
      <c r="N2617" s="334" t="s">
        <v>136</v>
      </c>
      <c r="O2617" s="382"/>
      <c r="P2617" s="382"/>
      <c r="Q2617" s="382"/>
    </row>
    <row r="2618" spans="1:17" s="15" customFormat="1" x14ac:dyDescent="0.2">
      <c r="A2618" s="334" t="s">
        <v>1660</v>
      </c>
      <c r="B2618" s="380"/>
      <c r="C2618" s="384"/>
      <c r="D2618" s="384" t="s">
        <v>3707</v>
      </c>
      <c r="E2618" s="384" t="s">
        <v>3708</v>
      </c>
      <c r="F2618" s="421" t="s">
        <v>2927</v>
      </c>
      <c r="G2618" s="334"/>
      <c r="H2618" s="384" t="s">
        <v>3709</v>
      </c>
      <c r="I2618" s="385"/>
      <c r="J2618" s="384" t="s">
        <v>3707</v>
      </c>
      <c r="K2618" s="384" t="s">
        <v>3708</v>
      </c>
      <c r="L2618" s="421" t="s">
        <v>2927</v>
      </c>
      <c r="M2618" s="334"/>
      <c r="N2618" s="384" t="s">
        <v>3709</v>
      </c>
      <c r="O2618" s="382"/>
      <c r="P2618" s="382"/>
      <c r="Q2618" s="382"/>
    </row>
    <row r="2619" spans="1:17" s="15" customFormat="1" x14ac:dyDescent="0.2">
      <c r="A2619" s="380"/>
      <c r="B2619" s="380"/>
      <c r="C2619" s="380"/>
      <c r="D2619" s="334" t="s">
        <v>155</v>
      </c>
      <c r="E2619" s="418" t="s">
        <v>1684</v>
      </c>
      <c r="F2619" s="389" t="s">
        <v>160</v>
      </c>
      <c r="G2619" s="334"/>
      <c r="H2619" s="334" t="s">
        <v>90</v>
      </c>
      <c r="I2619" s="385"/>
      <c r="J2619" s="334" t="s">
        <v>155</v>
      </c>
      <c r="K2619" s="418" t="s">
        <v>1684</v>
      </c>
      <c r="L2619" s="412" t="s">
        <v>160</v>
      </c>
      <c r="M2619" s="334"/>
      <c r="N2619" s="334" t="s">
        <v>90</v>
      </c>
      <c r="O2619" s="382"/>
      <c r="P2619" s="382"/>
      <c r="Q2619" s="382"/>
    </row>
    <row r="2620" spans="1:17" s="15" customFormat="1" x14ac:dyDescent="0.2">
      <c r="A2620" s="334" t="s">
        <v>1723</v>
      </c>
      <c r="B2620" s="380"/>
      <c r="C2620" s="334" t="s">
        <v>1880</v>
      </c>
      <c r="D2620" s="334" t="s">
        <v>181</v>
      </c>
      <c r="E2620" s="334" t="s">
        <v>181</v>
      </c>
      <c r="F2620" s="389" t="s">
        <v>181</v>
      </c>
      <c r="G2620" s="334"/>
      <c r="H2620" s="334" t="s">
        <v>181</v>
      </c>
      <c r="I2620" s="385"/>
      <c r="J2620" s="334" t="s">
        <v>181</v>
      </c>
      <c r="K2620" s="334" t="s">
        <v>181</v>
      </c>
      <c r="L2620" s="412" t="s">
        <v>181</v>
      </c>
      <c r="M2620" s="334"/>
      <c r="N2620" s="334" t="s">
        <v>181</v>
      </c>
      <c r="O2620" s="382"/>
      <c r="P2620" s="382"/>
      <c r="Q2620" s="382"/>
    </row>
    <row r="2621" spans="1:17" s="15" customFormat="1" x14ac:dyDescent="0.2">
      <c r="A2621" s="380"/>
      <c r="B2621" s="380"/>
      <c r="C2621" s="380"/>
      <c r="D2621" s="380"/>
      <c r="E2621" s="380"/>
      <c r="F2621" s="378"/>
      <c r="G2621" s="380"/>
      <c r="H2621" s="380"/>
      <c r="I2621" s="382"/>
      <c r="J2621" s="380"/>
      <c r="K2621" s="380"/>
      <c r="L2621" s="378"/>
      <c r="M2621" s="380"/>
      <c r="N2621" s="380"/>
      <c r="O2621" s="382"/>
      <c r="P2621" s="382"/>
      <c r="Q2621" s="382"/>
    </row>
    <row r="2622" spans="1:17" s="15" customFormat="1" x14ac:dyDescent="0.2">
      <c r="A2622" s="334" t="s">
        <v>1569</v>
      </c>
      <c r="B2622" s="380"/>
      <c r="C2622" s="334" t="s">
        <v>1888</v>
      </c>
      <c r="D2622" s="377"/>
      <c r="E2622" s="377"/>
      <c r="F2622" s="378"/>
      <c r="G2622" s="377"/>
      <c r="H2622" s="377"/>
      <c r="I2622" s="399"/>
      <c r="J2622" s="377"/>
      <c r="K2622" s="377"/>
      <c r="L2622" s="378"/>
      <c r="M2622" s="377"/>
      <c r="N2622" s="377"/>
      <c r="O2622" s="382"/>
      <c r="P2622" s="382"/>
      <c r="Q2622" s="382"/>
    </row>
    <row r="2623" spans="1:17" s="15" customFormat="1" x14ac:dyDescent="0.2">
      <c r="A2623" s="334" t="s">
        <v>1724</v>
      </c>
      <c r="B2623" s="380"/>
      <c r="C2623" s="334" t="s">
        <v>1881</v>
      </c>
      <c r="D2623" s="377">
        <v>380</v>
      </c>
      <c r="E2623" s="377">
        <v>95</v>
      </c>
      <c r="F2623" s="378">
        <v>194</v>
      </c>
      <c r="G2623" s="377"/>
      <c r="H2623" s="377"/>
      <c r="I2623" s="399"/>
      <c r="J2623" s="377">
        <v>380</v>
      </c>
      <c r="K2623" s="377">
        <v>95</v>
      </c>
      <c r="L2623" s="378">
        <v>194</v>
      </c>
      <c r="M2623" s="377"/>
      <c r="N2623" s="377"/>
      <c r="O2623" s="382"/>
      <c r="P2623" s="382"/>
      <c r="Q2623" s="382"/>
    </row>
    <row r="2624" spans="1:17" s="15" customFormat="1" x14ac:dyDescent="0.2">
      <c r="A2624" s="334" t="s">
        <v>1736</v>
      </c>
      <c r="B2624" s="380"/>
      <c r="C2624" s="334" t="s">
        <v>1747</v>
      </c>
      <c r="D2624" s="377"/>
      <c r="E2624" s="377"/>
      <c r="F2624" s="378"/>
      <c r="G2624" s="377"/>
      <c r="H2624" s="377"/>
      <c r="I2624" s="399"/>
      <c r="J2624" s="377"/>
      <c r="K2624" s="377"/>
      <c r="L2624" s="378"/>
      <c r="M2624" s="377"/>
      <c r="N2624" s="377"/>
      <c r="O2624" s="382"/>
      <c r="P2624" s="382"/>
      <c r="Q2624" s="382"/>
    </row>
    <row r="2625" spans="1:17" s="15" customFormat="1" x14ac:dyDescent="0.2">
      <c r="A2625" s="334" t="s">
        <v>1744</v>
      </c>
      <c r="B2625" s="380"/>
      <c r="C2625" s="334" t="s">
        <v>1254</v>
      </c>
      <c r="D2625" s="377">
        <v>950</v>
      </c>
      <c r="E2625" s="377"/>
      <c r="F2625" s="378"/>
      <c r="G2625" s="377"/>
      <c r="H2625" s="377"/>
      <c r="I2625" s="399"/>
      <c r="J2625" s="377"/>
      <c r="K2625" s="377"/>
      <c r="L2625" s="378"/>
      <c r="M2625" s="377"/>
      <c r="N2625" s="377"/>
      <c r="O2625" s="382"/>
      <c r="P2625" s="382"/>
      <c r="Q2625" s="382"/>
    </row>
    <row r="2626" spans="1:17" s="15" customFormat="1" x14ac:dyDescent="0.2">
      <c r="A2626" s="334" t="s">
        <v>1582</v>
      </c>
      <c r="B2626" s="380"/>
      <c r="C2626" s="334" t="s">
        <v>3135</v>
      </c>
      <c r="D2626" s="377"/>
      <c r="E2626" s="377"/>
      <c r="F2626" s="378"/>
      <c r="G2626" s="377"/>
      <c r="H2626" s="377"/>
      <c r="I2626" s="399"/>
      <c r="J2626" s="377"/>
      <c r="K2626" s="377"/>
      <c r="L2626" s="378"/>
      <c r="M2626" s="377"/>
      <c r="N2626" s="377"/>
      <c r="O2626" s="382"/>
      <c r="P2626" s="382"/>
      <c r="Q2626" s="382"/>
    </row>
    <row r="2627" spans="1:17" s="15" customFormat="1" x14ac:dyDescent="0.2">
      <c r="A2627" s="403" t="s">
        <v>1575</v>
      </c>
      <c r="B2627" s="380"/>
      <c r="C2627" s="334" t="s">
        <v>1889</v>
      </c>
      <c r="D2627" s="377"/>
      <c r="E2627" s="377"/>
      <c r="F2627" s="378"/>
      <c r="G2627" s="377"/>
      <c r="H2627" s="377"/>
      <c r="I2627" s="399"/>
      <c r="J2627" s="377"/>
      <c r="K2627" s="377"/>
      <c r="L2627" s="378"/>
      <c r="M2627" s="377"/>
      <c r="N2627" s="377"/>
      <c r="O2627" s="382"/>
      <c r="P2627" s="382"/>
      <c r="Q2627" s="382"/>
    </row>
    <row r="2628" spans="1:17" s="15" customFormat="1" x14ac:dyDescent="0.2">
      <c r="A2628" s="334" t="s">
        <v>1725</v>
      </c>
      <c r="B2628" s="380"/>
      <c r="C2628" s="334" t="s">
        <v>1890</v>
      </c>
      <c r="D2628" s="377">
        <v>285</v>
      </c>
      <c r="E2628" s="377">
        <v>43</v>
      </c>
      <c r="F2628" s="378">
        <v>95</v>
      </c>
      <c r="G2628" s="377"/>
      <c r="H2628" s="377"/>
      <c r="I2628" s="399"/>
      <c r="J2628" s="377">
        <v>285</v>
      </c>
      <c r="K2628" s="377">
        <v>43</v>
      </c>
      <c r="L2628" s="378">
        <v>95</v>
      </c>
      <c r="M2628" s="377"/>
      <c r="N2628" s="377"/>
      <c r="O2628" s="382"/>
      <c r="P2628" s="382"/>
      <c r="Q2628" s="382"/>
    </row>
    <row r="2629" spans="1:17" s="15" customFormat="1" x14ac:dyDescent="0.2">
      <c r="A2629" s="403" t="s">
        <v>1576</v>
      </c>
      <c r="B2629" s="380"/>
      <c r="C2629" s="334" t="s">
        <v>1590</v>
      </c>
      <c r="D2629" s="377">
        <v>85</v>
      </c>
      <c r="E2629" s="377"/>
      <c r="F2629" s="378"/>
      <c r="G2629" s="377"/>
      <c r="H2629" s="377"/>
      <c r="I2629" s="399"/>
      <c r="J2629" s="377">
        <v>85</v>
      </c>
      <c r="K2629" s="377"/>
      <c r="L2629" s="378"/>
      <c r="M2629" s="377"/>
      <c r="N2629" s="377"/>
      <c r="O2629" s="382"/>
      <c r="P2629" s="382"/>
      <c r="Q2629" s="382"/>
    </row>
    <row r="2630" spans="1:17" s="15" customFormat="1" x14ac:dyDescent="0.2">
      <c r="A2630" s="334" t="s">
        <v>1737</v>
      </c>
      <c r="B2630" s="380"/>
      <c r="C2630" s="334" t="s">
        <v>1984</v>
      </c>
      <c r="D2630" s="377">
        <v>48</v>
      </c>
      <c r="E2630" s="377"/>
      <c r="F2630" s="378"/>
      <c r="G2630" s="377"/>
      <c r="H2630" s="377"/>
      <c r="I2630" s="399"/>
      <c r="J2630" s="377">
        <v>48</v>
      </c>
      <c r="K2630" s="377"/>
      <c r="L2630" s="378"/>
      <c r="M2630" s="377"/>
      <c r="N2630" s="377"/>
      <c r="O2630" s="382"/>
      <c r="P2630" s="382"/>
      <c r="Q2630" s="382"/>
    </row>
    <row r="2631" spans="1:17" s="15" customFormat="1" x14ac:dyDescent="0.2">
      <c r="A2631" s="334" t="s">
        <v>1726</v>
      </c>
      <c r="B2631" s="380"/>
      <c r="C2631" s="334" t="s">
        <v>1117</v>
      </c>
      <c r="D2631" s="377">
        <v>285</v>
      </c>
      <c r="E2631" s="377"/>
      <c r="F2631" s="378"/>
      <c r="G2631" s="377"/>
      <c r="H2631" s="377"/>
      <c r="I2631" s="399"/>
      <c r="J2631" s="377">
        <v>285</v>
      </c>
      <c r="K2631" s="377"/>
      <c r="L2631" s="378"/>
      <c r="M2631" s="377"/>
      <c r="N2631" s="377"/>
      <c r="O2631" s="382"/>
      <c r="P2631" s="382"/>
      <c r="Q2631" s="382"/>
    </row>
    <row r="2632" spans="1:17" s="15" customFormat="1" x14ac:dyDescent="0.2">
      <c r="A2632" s="334" t="s">
        <v>1661</v>
      </c>
      <c r="B2632" s="380"/>
      <c r="C2632" s="334" t="s">
        <v>3136</v>
      </c>
      <c r="D2632" s="377"/>
      <c r="E2632" s="377"/>
      <c r="F2632" s="378">
        <v>190</v>
      </c>
      <c r="G2632" s="377"/>
      <c r="H2632" s="377"/>
      <c r="I2632" s="399"/>
      <c r="J2632" s="377"/>
      <c r="K2632" s="377"/>
      <c r="L2632" s="378">
        <v>190</v>
      </c>
      <c r="M2632" s="377"/>
      <c r="N2632" s="377"/>
      <c r="O2632" s="382"/>
      <c r="P2632" s="382"/>
      <c r="Q2632" s="382"/>
    </row>
    <row r="2633" spans="1:17" s="15" customFormat="1" x14ac:dyDescent="0.2">
      <c r="A2633" s="334" t="s">
        <v>1577</v>
      </c>
      <c r="B2633" s="380"/>
      <c r="C2633" s="334" t="s">
        <v>1815</v>
      </c>
      <c r="D2633" s="377"/>
      <c r="E2633" s="377"/>
      <c r="F2633" s="378"/>
      <c r="G2633" s="377"/>
      <c r="H2633" s="377"/>
      <c r="I2633" s="399"/>
      <c r="J2633" s="377"/>
      <c r="K2633" s="377"/>
      <c r="L2633" s="378"/>
      <c r="M2633" s="377"/>
      <c r="N2633" s="377"/>
      <c r="O2633" s="382"/>
      <c r="P2633" s="382"/>
      <c r="Q2633" s="382"/>
    </row>
    <row r="2634" spans="1:17" s="15" customFormat="1" x14ac:dyDescent="0.2">
      <c r="A2634" s="334" t="s">
        <v>1734</v>
      </c>
      <c r="B2634" s="380"/>
      <c r="C2634" s="334" t="s">
        <v>1746</v>
      </c>
      <c r="D2634" s="377">
        <v>190</v>
      </c>
      <c r="E2634" s="377"/>
      <c r="F2634" s="378"/>
      <c r="G2634" s="377"/>
      <c r="H2634" s="377"/>
      <c r="I2634" s="399"/>
      <c r="J2634" s="377">
        <v>190</v>
      </c>
      <c r="K2634" s="377"/>
      <c r="L2634" s="378"/>
      <c r="M2634" s="377"/>
      <c r="N2634" s="377"/>
      <c r="O2634" s="382"/>
      <c r="P2634" s="382"/>
      <c r="Q2634" s="382"/>
    </row>
    <row r="2635" spans="1:17" s="15" customFormat="1" x14ac:dyDescent="0.2">
      <c r="A2635" s="334" t="s">
        <v>1571</v>
      </c>
      <c r="B2635" s="380"/>
      <c r="C2635" s="334" t="s">
        <v>3</v>
      </c>
      <c r="D2635" s="377"/>
      <c r="E2635" s="377"/>
      <c r="F2635" s="378"/>
      <c r="G2635" s="377"/>
      <c r="H2635" s="377"/>
      <c r="I2635" s="399"/>
      <c r="J2635" s="377"/>
      <c r="K2635" s="377"/>
      <c r="L2635" s="378"/>
      <c r="M2635" s="377"/>
      <c r="N2635" s="377"/>
      <c r="O2635" s="382"/>
      <c r="P2635" s="382"/>
      <c r="Q2635" s="382"/>
    </row>
    <row r="2636" spans="1:17" s="15" customFormat="1" x14ac:dyDescent="0.2">
      <c r="A2636" s="403" t="s">
        <v>1578</v>
      </c>
      <c r="B2636" s="380"/>
      <c r="C2636" s="334" t="s">
        <v>22</v>
      </c>
      <c r="D2636" s="377"/>
      <c r="E2636" s="377"/>
      <c r="F2636" s="378"/>
      <c r="G2636" s="377"/>
      <c r="H2636" s="377"/>
      <c r="I2636" s="399"/>
      <c r="J2636" s="377"/>
      <c r="K2636" s="377"/>
      <c r="L2636" s="378"/>
      <c r="M2636" s="377"/>
      <c r="N2636" s="377"/>
      <c r="O2636" s="382"/>
      <c r="P2636" s="382"/>
      <c r="Q2636" s="382"/>
    </row>
    <row r="2637" spans="1:17" s="15" customFormat="1" x14ac:dyDescent="0.2">
      <c r="A2637" s="334" t="s">
        <v>1738</v>
      </c>
      <c r="B2637" s="380"/>
      <c r="C2637" s="334" t="s">
        <v>1591</v>
      </c>
      <c r="D2637" s="377">
        <v>237</v>
      </c>
      <c r="E2637" s="377">
        <v>112</v>
      </c>
      <c r="F2637" s="378">
        <v>71</v>
      </c>
      <c r="G2637" s="377"/>
      <c r="H2637" s="377"/>
      <c r="I2637" s="399"/>
      <c r="J2637" s="377">
        <v>237</v>
      </c>
      <c r="K2637" s="377">
        <v>112</v>
      </c>
      <c r="L2637" s="378">
        <v>71</v>
      </c>
      <c r="M2637" s="377"/>
      <c r="N2637" s="377"/>
      <c r="O2637" s="382"/>
      <c r="P2637" s="382"/>
      <c r="Q2637" s="382"/>
    </row>
    <row r="2638" spans="1:17" s="15" customFormat="1" x14ac:dyDescent="0.2">
      <c r="A2638" s="334" t="s">
        <v>1727</v>
      </c>
      <c r="B2638" s="380"/>
      <c r="C2638" s="334" t="s">
        <v>307</v>
      </c>
      <c r="D2638" s="377">
        <v>238</v>
      </c>
      <c r="E2638" s="377">
        <v>95</v>
      </c>
      <c r="F2638" s="378"/>
      <c r="G2638" s="377"/>
      <c r="H2638" s="377"/>
      <c r="I2638" s="399"/>
      <c r="J2638" s="377">
        <v>238</v>
      </c>
      <c r="K2638" s="377">
        <v>95</v>
      </c>
      <c r="L2638" s="378"/>
      <c r="M2638" s="377"/>
      <c r="N2638" s="377"/>
      <c r="O2638" s="382"/>
      <c r="P2638" s="382"/>
      <c r="Q2638" s="382"/>
    </row>
    <row r="2639" spans="1:17" s="15" customFormat="1" x14ac:dyDescent="0.2">
      <c r="A2639" s="334" t="s">
        <v>1728</v>
      </c>
      <c r="B2639" s="380"/>
      <c r="C2639" s="334" t="s">
        <v>310</v>
      </c>
      <c r="D2639" s="377">
        <v>380</v>
      </c>
      <c r="E2639" s="377">
        <v>119</v>
      </c>
      <c r="F2639" s="378">
        <v>286</v>
      </c>
      <c r="G2639" s="377"/>
      <c r="H2639" s="377">
        <v>95</v>
      </c>
      <c r="I2639" s="399"/>
      <c r="J2639" s="377">
        <v>380</v>
      </c>
      <c r="K2639" s="377">
        <v>119</v>
      </c>
      <c r="L2639" s="378">
        <v>286</v>
      </c>
      <c r="M2639" s="377"/>
      <c r="N2639" s="377">
        <v>95</v>
      </c>
      <c r="O2639" s="382"/>
      <c r="P2639" s="382"/>
      <c r="Q2639" s="382"/>
    </row>
    <row r="2640" spans="1:17" s="15" customFormat="1" x14ac:dyDescent="0.2">
      <c r="A2640" s="334" t="s">
        <v>1729</v>
      </c>
      <c r="B2640" s="380"/>
      <c r="C2640" s="380" t="s">
        <v>1551</v>
      </c>
      <c r="D2640" s="377">
        <f>-758.2-1000</f>
        <v>-1758.2</v>
      </c>
      <c r="E2640" s="377">
        <v>-192.4</v>
      </c>
      <c r="F2640" s="378">
        <v>-167.2</v>
      </c>
      <c r="G2640" s="377"/>
      <c r="H2640" s="377"/>
      <c r="I2640" s="399"/>
      <c r="J2640" s="377"/>
      <c r="K2640" s="377"/>
      <c r="L2640" s="378"/>
      <c r="M2640" s="377"/>
      <c r="N2640" s="377"/>
      <c r="O2640" s="382"/>
      <c r="P2640" s="382"/>
      <c r="Q2640" s="382"/>
    </row>
    <row r="2641" spans="1:17" s="15" customFormat="1" x14ac:dyDescent="0.2">
      <c r="A2641" s="334" t="s">
        <v>1735</v>
      </c>
      <c r="B2641" s="380"/>
      <c r="C2641" s="380" t="s">
        <v>194</v>
      </c>
      <c r="D2641" s="377"/>
      <c r="E2641" s="377"/>
      <c r="F2641" s="378"/>
      <c r="G2641" s="377"/>
      <c r="H2641" s="377"/>
      <c r="I2641" s="399"/>
      <c r="J2641" s="377">
        <v>71</v>
      </c>
      <c r="K2641" s="377">
        <v>24</v>
      </c>
      <c r="L2641" s="378"/>
      <c r="M2641" s="377"/>
      <c r="N2641" s="377"/>
      <c r="O2641" s="382"/>
      <c r="P2641" s="382"/>
      <c r="Q2641" s="382"/>
    </row>
    <row r="2642" spans="1:17" s="15" customFormat="1" x14ac:dyDescent="0.2">
      <c r="A2642" s="334" t="s">
        <v>1741</v>
      </c>
      <c r="B2642" s="380"/>
      <c r="C2642" s="334" t="s">
        <v>1748</v>
      </c>
      <c r="D2642" s="377">
        <v>143</v>
      </c>
      <c r="E2642" s="377"/>
      <c r="F2642" s="378"/>
      <c r="G2642" s="377"/>
      <c r="H2642" s="377">
        <v>86</v>
      </c>
      <c r="I2642" s="399"/>
      <c r="J2642" s="377">
        <v>143</v>
      </c>
      <c r="K2642" s="377"/>
      <c r="L2642" s="378"/>
      <c r="M2642" s="377"/>
      <c r="N2642" s="377">
        <v>86</v>
      </c>
      <c r="O2642" s="382"/>
      <c r="P2642" s="382"/>
      <c r="Q2642" s="382"/>
    </row>
    <row r="2643" spans="1:17" s="15" customFormat="1" x14ac:dyDescent="0.2">
      <c r="A2643" s="334" t="s">
        <v>1584</v>
      </c>
      <c r="B2643" s="380"/>
      <c r="C2643" s="334" t="s">
        <v>0</v>
      </c>
      <c r="D2643" s="377"/>
      <c r="E2643" s="377"/>
      <c r="F2643" s="378"/>
      <c r="G2643" s="377"/>
      <c r="H2643" s="377"/>
      <c r="I2643" s="399"/>
      <c r="J2643" s="377"/>
      <c r="K2643" s="377"/>
      <c r="L2643" s="378"/>
      <c r="M2643" s="377"/>
      <c r="N2643" s="377"/>
      <c r="O2643" s="382"/>
      <c r="P2643" s="382"/>
      <c r="Q2643" s="382"/>
    </row>
    <row r="2644" spans="1:17" s="15" customFormat="1" x14ac:dyDescent="0.2">
      <c r="A2644" s="334" t="s">
        <v>1580</v>
      </c>
      <c r="B2644" s="380"/>
      <c r="C2644" s="334" t="s">
        <v>1935</v>
      </c>
      <c r="D2644" s="377"/>
      <c r="E2644" s="377"/>
      <c r="F2644" s="378"/>
      <c r="G2644" s="377"/>
      <c r="H2644" s="377"/>
      <c r="I2644" s="399"/>
      <c r="J2644" s="377"/>
      <c r="K2644" s="377"/>
      <c r="L2644" s="378"/>
      <c r="M2644" s="377"/>
      <c r="N2644" s="377"/>
      <c r="O2644" s="382"/>
      <c r="P2644" s="382"/>
      <c r="Q2644" s="382"/>
    </row>
    <row r="2645" spans="1:17" s="15" customFormat="1" x14ac:dyDescent="0.2">
      <c r="A2645" s="334" t="s">
        <v>1572</v>
      </c>
      <c r="B2645" s="380"/>
      <c r="C2645" s="334" t="s">
        <v>3134</v>
      </c>
      <c r="D2645" s="377"/>
      <c r="E2645" s="377"/>
      <c r="F2645" s="378"/>
      <c r="G2645" s="377"/>
      <c r="H2645" s="377"/>
      <c r="I2645" s="399"/>
      <c r="J2645" s="377"/>
      <c r="K2645" s="377"/>
      <c r="L2645" s="378"/>
      <c r="M2645" s="377"/>
      <c r="N2645" s="377"/>
      <c r="O2645" s="382"/>
      <c r="P2645" s="382"/>
      <c r="Q2645" s="382"/>
    </row>
    <row r="2646" spans="1:17" s="15" customFormat="1" x14ac:dyDescent="0.2">
      <c r="A2646" s="334" t="s">
        <v>1730</v>
      </c>
      <c r="B2646" s="380"/>
      <c r="C2646" s="334" t="s">
        <v>1985</v>
      </c>
      <c r="D2646" s="377">
        <v>380</v>
      </c>
      <c r="E2646" s="377">
        <v>498</v>
      </c>
      <c r="F2646" s="378"/>
      <c r="G2646" s="377"/>
      <c r="H2646" s="377">
        <v>342</v>
      </c>
      <c r="I2646" s="399"/>
      <c r="J2646" s="377">
        <v>380</v>
      </c>
      <c r="K2646" s="377">
        <v>498</v>
      </c>
      <c r="L2646" s="378"/>
      <c r="M2646" s="377"/>
      <c r="N2646" s="377">
        <v>342</v>
      </c>
      <c r="O2646" s="382"/>
      <c r="P2646" s="382"/>
      <c r="Q2646" s="382"/>
    </row>
    <row r="2647" spans="1:17" s="15" customFormat="1" x14ac:dyDescent="0.2">
      <c r="A2647" s="334" t="s">
        <v>1566</v>
      </c>
      <c r="B2647" s="380"/>
      <c r="C2647" s="334" t="s">
        <v>366</v>
      </c>
      <c r="D2647" s="377">
        <v>190</v>
      </c>
      <c r="E2647" s="377"/>
      <c r="F2647" s="378"/>
      <c r="G2647" s="377"/>
      <c r="H2647" s="377"/>
      <c r="I2647" s="399"/>
      <c r="J2647" s="377">
        <v>190</v>
      </c>
      <c r="K2647" s="377"/>
      <c r="L2647" s="378"/>
      <c r="M2647" s="377"/>
      <c r="N2647" s="377"/>
      <c r="O2647" s="382"/>
      <c r="P2647" s="382"/>
      <c r="Q2647" s="382"/>
    </row>
    <row r="2648" spans="1:17" s="15" customFormat="1" x14ac:dyDescent="0.2">
      <c r="A2648" s="334" t="s">
        <v>1755</v>
      </c>
      <c r="B2648" s="380"/>
      <c r="C2648" s="380" t="s">
        <v>1986</v>
      </c>
      <c r="D2648" s="377"/>
      <c r="E2648" s="377"/>
      <c r="F2648" s="378"/>
      <c r="G2648" s="377"/>
      <c r="H2648" s="377"/>
      <c r="I2648" s="399"/>
      <c r="J2648" s="377"/>
      <c r="K2648" s="377"/>
      <c r="L2648" s="378"/>
      <c r="M2648" s="377"/>
      <c r="N2648" s="377"/>
      <c r="O2648" s="382"/>
      <c r="P2648" s="382"/>
      <c r="Q2648" s="382"/>
    </row>
    <row r="2649" spans="1:17" s="15" customFormat="1" x14ac:dyDescent="0.2">
      <c r="A2649" s="334" t="s">
        <v>1587</v>
      </c>
      <c r="B2649" s="380"/>
      <c r="C2649" s="334" t="s">
        <v>34</v>
      </c>
      <c r="D2649" s="377"/>
      <c r="E2649" s="377"/>
      <c r="F2649" s="378"/>
      <c r="G2649" s="377"/>
      <c r="H2649" s="377"/>
      <c r="I2649" s="399"/>
      <c r="J2649" s="377"/>
      <c r="K2649" s="377"/>
      <c r="L2649" s="378"/>
      <c r="M2649" s="377"/>
      <c r="N2649" s="377"/>
      <c r="O2649" s="382"/>
      <c r="P2649" s="382"/>
      <c r="Q2649" s="382"/>
    </row>
    <row r="2650" spans="1:17" s="15" customFormat="1" x14ac:dyDescent="0.2">
      <c r="A2650" s="384" t="s">
        <v>1962</v>
      </c>
      <c r="B2650" s="380"/>
      <c r="C2650" s="380" t="s">
        <v>572</v>
      </c>
      <c r="D2650" s="377"/>
      <c r="E2650" s="377"/>
      <c r="F2650" s="378"/>
      <c r="G2650" s="377"/>
      <c r="H2650" s="377"/>
      <c r="I2650" s="399"/>
      <c r="J2650" s="377"/>
      <c r="K2650" s="377"/>
      <c r="L2650" s="378"/>
      <c r="M2650" s="377"/>
      <c r="N2650" s="377"/>
      <c r="O2650" s="382"/>
      <c r="P2650" s="382"/>
      <c r="Q2650" s="382"/>
    </row>
    <row r="2651" spans="1:17" s="15" customFormat="1" x14ac:dyDescent="0.2">
      <c r="A2651" s="334" t="s">
        <v>1567</v>
      </c>
      <c r="B2651" s="380"/>
      <c r="C2651" s="334" t="s">
        <v>3142</v>
      </c>
      <c r="D2651" s="377"/>
      <c r="E2651" s="377"/>
      <c r="F2651" s="378"/>
      <c r="G2651" s="377"/>
      <c r="H2651" s="377"/>
      <c r="I2651" s="399"/>
      <c r="J2651" s="377"/>
      <c r="K2651" s="377"/>
      <c r="L2651" s="378"/>
      <c r="M2651" s="377"/>
      <c r="N2651" s="377"/>
      <c r="O2651" s="382"/>
      <c r="P2651" s="382"/>
      <c r="Q2651" s="382"/>
    </row>
    <row r="2652" spans="1:17" s="15" customFormat="1" x14ac:dyDescent="0.2">
      <c r="A2652" s="334" t="s">
        <v>1662</v>
      </c>
      <c r="B2652" s="380"/>
      <c r="C2652" s="334" t="s">
        <v>24</v>
      </c>
      <c r="D2652" s="377"/>
      <c r="E2652" s="377"/>
      <c r="F2652" s="378"/>
      <c r="G2652" s="377"/>
      <c r="H2652" s="377"/>
      <c r="I2652" s="399"/>
      <c r="J2652" s="377"/>
      <c r="K2652" s="377"/>
      <c r="L2652" s="378"/>
      <c r="M2652" s="377"/>
      <c r="N2652" s="377"/>
      <c r="O2652" s="382"/>
      <c r="P2652" s="382"/>
      <c r="Q2652" s="382"/>
    </row>
    <row r="2653" spans="1:17" s="15" customFormat="1" x14ac:dyDescent="0.2">
      <c r="A2653" s="334"/>
      <c r="B2653" s="380"/>
      <c r="C2653" s="334" t="s">
        <v>25</v>
      </c>
      <c r="D2653" s="377"/>
      <c r="E2653" s="377"/>
      <c r="F2653" s="378"/>
      <c r="G2653" s="377"/>
      <c r="H2653" s="377"/>
      <c r="I2653" s="399"/>
      <c r="J2653" s="377"/>
      <c r="K2653" s="377"/>
      <c r="L2653" s="378"/>
      <c r="M2653" s="377"/>
      <c r="N2653" s="377"/>
      <c r="O2653" s="382"/>
      <c r="P2653" s="382"/>
      <c r="Q2653" s="382"/>
    </row>
    <row r="2654" spans="1:17" s="15" customFormat="1" x14ac:dyDescent="0.2">
      <c r="A2654" s="334"/>
      <c r="B2654" s="380"/>
      <c r="C2654" s="334" t="s">
        <v>1608</v>
      </c>
      <c r="D2654" s="377"/>
      <c r="E2654" s="377"/>
      <c r="F2654" s="378"/>
      <c r="G2654" s="377"/>
      <c r="H2654" s="377"/>
      <c r="I2654" s="399"/>
      <c r="J2654" s="377"/>
      <c r="K2654" s="377"/>
      <c r="L2654" s="378"/>
      <c r="M2654" s="377"/>
      <c r="N2654" s="377"/>
      <c r="O2654" s="382"/>
      <c r="P2654" s="382"/>
      <c r="Q2654" s="382"/>
    </row>
    <row r="2655" spans="1:17" s="15" customFormat="1" x14ac:dyDescent="0.2">
      <c r="A2655" s="380"/>
      <c r="B2655" s="380"/>
      <c r="C2655" s="380"/>
      <c r="D2655" s="410" t="s">
        <v>342</v>
      </c>
      <c r="E2655" s="410" t="s">
        <v>342</v>
      </c>
      <c r="F2655" s="445" t="s">
        <v>342</v>
      </c>
      <c r="G2655" s="410"/>
      <c r="H2655" s="410" t="s">
        <v>342</v>
      </c>
      <c r="I2655" s="385"/>
      <c r="J2655" s="410" t="s">
        <v>342</v>
      </c>
      <c r="K2655" s="410" t="s">
        <v>342</v>
      </c>
      <c r="L2655" s="445" t="s">
        <v>342</v>
      </c>
      <c r="M2655" s="410"/>
      <c r="N2655" s="410" t="s">
        <v>342</v>
      </c>
      <c r="O2655" s="382"/>
      <c r="P2655" s="382"/>
      <c r="Q2655" s="382"/>
    </row>
    <row r="2656" spans="1:17" s="15" customFormat="1" ht="15.75" thickBot="1" x14ac:dyDescent="0.25">
      <c r="A2656" s="334" t="s">
        <v>342</v>
      </c>
      <c r="B2656" s="380"/>
      <c r="C2656" s="334" t="s">
        <v>342</v>
      </c>
      <c r="D2656" s="411">
        <f>SUM(D2622:D2653)</f>
        <v>2032.8</v>
      </c>
      <c r="E2656" s="411">
        <f>SUM(E2622:E2653)</f>
        <v>769.6</v>
      </c>
      <c r="F2656" s="414">
        <f>SUM(F2622:F2653)</f>
        <v>668.8</v>
      </c>
      <c r="G2656" s="411"/>
      <c r="H2656" s="411">
        <f>SUM(H2622:H2653)</f>
        <v>523</v>
      </c>
      <c r="I2656" s="385"/>
      <c r="J2656" s="411">
        <f>SUM(J2622:J2653)</f>
        <v>2912</v>
      </c>
      <c r="K2656" s="411">
        <f>SUM(K2622:K2653)</f>
        <v>986</v>
      </c>
      <c r="L2656" s="414">
        <f>SUM(L2622:L2653)</f>
        <v>836</v>
      </c>
      <c r="M2656" s="411"/>
      <c r="N2656" s="411">
        <f>SUM(N2622:N2653)</f>
        <v>523</v>
      </c>
      <c r="O2656" s="382"/>
      <c r="P2656" s="382"/>
      <c r="Q2656" s="382"/>
    </row>
    <row r="2657" spans="1:17" s="15" customFormat="1" x14ac:dyDescent="0.2">
      <c r="A2657" s="385"/>
      <c r="B2657" s="382"/>
      <c r="C2657" s="385"/>
      <c r="D2657" s="385"/>
      <c r="E2657" s="399"/>
      <c r="F2657" s="416"/>
      <c r="G2657" s="399"/>
      <c r="H2657" s="399"/>
      <c r="I2657" s="385"/>
      <c r="J2657" s="385"/>
      <c r="K2657" s="399"/>
      <c r="L2657" s="416"/>
      <c r="M2657" s="399"/>
      <c r="N2657" s="399"/>
      <c r="O2657" s="382"/>
      <c r="P2657" s="382"/>
      <c r="Q2657" s="382"/>
    </row>
    <row r="2658" spans="1:17" s="15" customFormat="1" x14ac:dyDescent="0.2">
      <c r="A2658" s="385"/>
      <c r="B2658" s="382"/>
      <c r="C2658" s="385"/>
      <c r="D2658" s="385"/>
      <c r="E2658" s="399"/>
      <c r="F2658" s="416"/>
      <c r="G2658" s="399"/>
      <c r="H2658" s="399"/>
      <c r="I2658" s="385"/>
      <c r="J2658" s="385"/>
      <c r="K2658" s="399"/>
      <c r="L2658" s="416"/>
      <c r="M2658" s="399"/>
      <c r="N2658" s="399"/>
      <c r="O2658" s="382"/>
      <c r="P2658" s="382"/>
      <c r="Q2658" s="382"/>
    </row>
    <row r="2659" spans="1:17" s="15" customFormat="1" x14ac:dyDescent="0.2">
      <c r="A2659" s="334" t="s">
        <v>1659</v>
      </c>
      <c r="B2659" s="380"/>
      <c r="C2659" s="380"/>
      <c r="D2659" s="334" t="s">
        <v>1415</v>
      </c>
      <c r="E2659" s="334" t="s">
        <v>265</v>
      </c>
      <c r="F2659" s="412" t="s">
        <v>132</v>
      </c>
      <c r="G2659" s="334"/>
      <c r="H2659" s="399"/>
      <c r="I2659" s="385"/>
      <c r="J2659" s="334" t="s">
        <v>1415</v>
      </c>
      <c r="K2659" s="334" t="s">
        <v>265</v>
      </c>
      <c r="L2659" s="412" t="s">
        <v>132</v>
      </c>
      <c r="M2659" s="334"/>
      <c r="N2659" s="399"/>
      <c r="O2659" s="382"/>
      <c r="P2659" s="385" t="s">
        <v>3167</v>
      </c>
      <c r="Q2659" s="382"/>
    </row>
    <row r="2660" spans="1:17" s="15" customFormat="1" x14ac:dyDescent="0.2">
      <c r="A2660" s="334" t="s">
        <v>1660</v>
      </c>
      <c r="B2660" s="380"/>
      <c r="C2660" s="384"/>
      <c r="D2660" s="334" t="s">
        <v>2175</v>
      </c>
      <c r="E2660" s="384" t="s">
        <v>3710</v>
      </c>
      <c r="F2660" s="421" t="s">
        <v>2928</v>
      </c>
      <c r="G2660" s="334"/>
      <c r="H2660" s="482" t="s">
        <v>3166</v>
      </c>
      <c r="I2660" s="385"/>
      <c r="J2660" s="334" t="s">
        <v>2175</v>
      </c>
      <c r="K2660" s="384" t="s">
        <v>3710</v>
      </c>
      <c r="L2660" s="421" t="s">
        <v>2928</v>
      </c>
      <c r="M2660" s="334"/>
      <c r="N2660" s="482" t="s">
        <v>3166</v>
      </c>
      <c r="O2660" s="382"/>
      <c r="P2660" s="457" t="s">
        <v>3166</v>
      </c>
      <c r="Q2660" s="382"/>
    </row>
    <row r="2661" spans="1:17" s="15" customFormat="1" x14ac:dyDescent="0.2">
      <c r="A2661" s="380"/>
      <c r="B2661" s="380"/>
      <c r="C2661" s="380"/>
      <c r="D2661" s="334" t="s">
        <v>161</v>
      </c>
      <c r="E2661" s="380" t="s">
        <v>1149</v>
      </c>
      <c r="F2661" s="389" t="s">
        <v>670</v>
      </c>
      <c r="G2661" s="334"/>
      <c r="H2661" s="420" t="s">
        <v>2718</v>
      </c>
      <c r="I2661" s="385"/>
      <c r="J2661" s="334" t="s">
        <v>161</v>
      </c>
      <c r="K2661" s="380" t="s">
        <v>1149</v>
      </c>
      <c r="L2661" s="412" t="s">
        <v>670</v>
      </c>
      <c r="M2661" s="334"/>
      <c r="N2661" s="420" t="s">
        <v>2718</v>
      </c>
      <c r="O2661" s="382"/>
      <c r="P2661" s="458" t="s">
        <v>2718</v>
      </c>
      <c r="Q2661" s="382"/>
    </row>
    <row r="2662" spans="1:17" s="15" customFormat="1" x14ac:dyDescent="0.2">
      <c r="A2662" s="334" t="s">
        <v>1723</v>
      </c>
      <c r="B2662" s="380"/>
      <c r="C2662" s="334" t="s">
        <v>1880</v>
      </c>
      <c r="D2662" s="334" t="s">
        <v>181</v>
      </c>
      <c r="E2662" s="380" t="s">
        <v>181</v>
      </c>
      <c r="F2662" s="389" t="s">
        <v>181</v>
      </c>
      <c r="G2662" s="334"/>
      <c r="H2662" s="420" t="s">
        <v>2719</v>
      </c>
      <c r="I2662" s="385"/>
      <c r="J2662" s="334" t="s">
        <v>181</v>
      </c>
      <c r="K2662" s="380" t="s">
        <v>181</v>
      </c>
      <c r="L2662" s="412" t="s">
        <v>181</v>
      </c>
      <c r="M2662" s="334"/>
      <c r="N2662" s="420" t="s">
        <v>2719</v>
      </c>
      <c r="O2662" s="382"/>
      <c r="P2662" s="458" t="s">
        <v>2719</v>
      </c>
      <c r="Q2662" s="382"/>
    </row>
    <row r="2663" spans="1:17" s="15" customFormat="1" x14ac:dyDescent="0.2">
      <c r="A2663" s="380"/>
      <c r="B2663" s="380"/>
      <c r="C2663" s="380"/>
      <c r="D2663" s="380"/>
      <c r="E2663" s="380"/>
      <c r="F2663" s="378"/>
      <c r="G2663" s="380"/>
      <c r="H2663" s="399"/>
      <c r="I2663" s="382"/>
      <c r="J2663" s="380"/>
      <c r="K2663" s="380"/>
      <c r="L2663" s="378"/>
      <c r="M2663" s="380"/>
      <c r="N2663" s="399"/>
      <c r="O2663" s="382"/>
      <c r="P2663" s="458"/>
      <c r="Q2663" s="382"/>
    </row>
    <row r="2664" spans="1:17" s="15" customFormat="1" x14ac:dyDescent="0.2">
      <c r="A2664" s="334" t="s">
        <v>1569</v>
      </c>
      <c r="B2664" s="380"/>
      <c r="C2664" s="334" t="s">
        <v>1888</v>
      </c>
      <c r="D2664" s="377"/>
      <c r="E2664" s="377"/>
      <c r="F2664" s="378"/>
      <c r="G2664" s="377"/>
      <c r="H2664" s="399"/>
      <c r="I2664" s="399"/>
      <c r="J2664" s="377"/>
      <c r="K2664" s="377"/>
      <c r="L2664" s="378"/>
      <c r="M2664" s="377"/>
      <c r="N2664" s="399"/>
      <c r="O2664" s="382"/>
      <c r="P2664" s="458"/>
      <c r="Q2664" s="382"/>
    </row>
    <row r="2665" spans="1:17" s="15" customFormat="1" x14ac:dyDescent="0.2">
      <c r="A2665" s="405" t="s">
        <v>1743</v>
      </c>
      <c r="B2665" s="380"/>
      <c r="C2665" s="334" t="s">
        <v>1886</v>
      </c>
      <c r="D2665" s="377"/>
      <c r="E2665" s="377"/>
      <c r="F2665" s="378"/>
      <c r="G2665" s="377"/>
      <c r="H2665" s="399">
        <v>19000</v>
      </c>
      <c r="I2665" s="399"/>
      <c r="J2665" s="377"/>
      <c r="K2665" s="377"/>
      <c r="L2665" s="378"/>
      <c r="M2665" s="377"/>
      <c r="N2665" s="399">
        <v>20000</v>
      </c>
      <c r="O2665" s="382"/>
      <c r="P2665" s="458"/>
      <c r="Q2665" s="382"/>
    </row>
    <row r="2666" spans="1:17" s="15" customFormat="1" x14ac:dyDescent="0.2">
      <c r="A2666" s="334" t="s">
        <v>1724</v>
      </c>
      <c r="B2666" s="380"/>
      <c r="C2666" s="334" t="s">
        <v>1881</v>
      </c>
      <c r="D2666" s="377">
        <v>3000</v>
      </c>
      <c r="E2666" s="377">
        <v>265</v>
      </c>
      <c r="F2666" s="378">
        <v>285</v>
      </c>
      <c r="G2666" s="377"/>
      <c r="H2666" s="399">
        <v>1000</v>
      </c>
      <c r="I2666" s="399"/>
      <c r="J2666" s="377">
        <v>2850</v>
      </c>
      <c r="K2666" s="377">
        <v>265</v>
      </c>
      <c r="L2666" s="378">
        <v>285</v>
      </c>
      <c r="M2666" s="377"/>
      <c r="N2666" s="399">
        <v>285</v>
      </c>
      <c r="O2666" s="382"/>
      <c r="P2666" s="458">
        <v>285</v>
      </c>
      <c r="Q2666" s="382"/>
    </row>
    <row r="2667" spans="1:17" s="15" customFormat="1" x14ac:dyDescent="0.2">
      <c r="A2667" s="334" t="s">
        <v>1736</v>
      </c>
      <c r="B2667" s="380"/>
      <c r="C2667" s="334" t="s">
        <v>1747</v>
      </c>
      <c r="D2667" s="377">
        <v>1662</v>
      </c>
      <c r="E2667" s="377"/>
      <c r="F2667" s="378">
        <v>950</v>
      </c>
      <c r="G2667" s="377"/>
      <c r="H2667" s="399">
        <v>250</v>
      </c>
      <c r="I2667" s="399"/>
      <c r="J2667" s="377">
        <v>1662</v>
      </c>
      <c r="K2667" s="377"/>
      <c r="L2667" s="378">
        <v>950</v>
      </c>
      <c r="M2667" s="377"/>
      <c r="N2667" s="399"/>
      <c r="O2667" s="382"/>
      <c r="P2667" s="458"/>
      <c r="Q2667" s="382"/>
    </row>
    <row r="2668" spans="1:17" s="15" customFormat="1" x14ac:dyDescent="0.2">
      <c r="A2668" s="334" t="s">
        <v>1744</v>
      </c>
      <c r="B2668" s="380"/>
      <c r="C2668" s="334" t="s">
        <v>1254</v>
      </c>
      <c r="D2668" s="377"/>
      <c r="E2668" s="377"/>
      <c r="F2668" s="378">
        <v>950</v>
      </c>
      <c r="G2668" s="377"/>
      <c r="H2668" s="399">
        <v>1500</v>
      </c>
      <c r="I2668" s="399"/>
      <c r="J2668" s="377"/>
      <c r="K2668" s="377"/>
      <c r="L2668" s="378"/>
      <c r="M2668" s="377"/>
      <c r="N2668" s="399">
        <v>285</v>
      </c>
      <c r="O2668" s="382"/>
      <c r="P2668" s="458">
        <v>285</v>
      </c>
      <c r="Q2668" s="382"/>
    </row>
    <row r="2669" spans="1:17" s="15" customFormat="1" x14ac:dyDescent="0.2">
      <c r="A2669" s="334" t="s">
        <v>1582</v>
      </c>
      <c r="B2669" s="380"/>
      <c r="C2669" s="334" t="s">
        <v>3135</v>
      </c>
      <c r="D2669" s="377"/>
      <c r="E2669" s="377"/>
      <c r="F2669" s="378">
        <v>333</v>
      </c>
      <c r="G2669" s="377"/>
      <c r="H2669" s="399"/>
      <c r="I2669" s="399"/>
      <c r="J2669" s="377"/>
      <c r="K2669" s="377"/>
      <c r="L2669" s="378">
        <v>333</v>
      </c>
      <c r="M2669" s="377"/>
      <c r="N2669" s="399">
        <v>190</v>
      </c>
      <c r="O2669" s="382"/>
      <c r="P2669" s="458">
        <v>190</v>
      </c>
      <c r="Q2669" s="382"/>
    </row>
    <row r="2670" spans="1:17" s="15" customFormat="1" x14ac:dyDescent="0.2">
      <c r="A2670" s="403" t="s">
        <v>1575</v>
      </c>
      <c r="B2670" s="380"/>
      <c r="C2670" s="334" t="s">
        <v>1889</v>
      </c>
      <c r="D2670" s="377"/>
      <c r="E2670" s="377"/>
      <c r="F2670" s="378"/>
      <c r="G2670" s="377"/>
      <c r="H2670" s="399"/>
      <c r="I2670" s="399"/>
      <c r="J2670" s="377"/>
      <c r="K2670" s="377"/>
      <c r="L2670" s="378"/>
      <c r="M2670" s="377"/>
      <c r="N2670" s="399"/>
      <c r="O2670" s="382"/>
      <c r="P2670" s="458"/>
      <c r="Q2670" s="382"/>
    </row>
    <row r="2671" spans="1:17" s="15" customFormat="1" x14ac:dyDescent="0.2">
      <c r="A2671" s="334" t="s">
        <v>1725</v>
      </c>
      <c r="B2671" s="380"/>
      <c r="C2671" s="334" t="s">
        <v>1890</v>
      </c>
      <c r="D2671" s="377">
        <v>25770</v>
      </c>
      <c r="E2671" s="377">
        <v>95</v>
      </c>
      <c r="F2671" s="378"/>
      <c r="G2671" s="377"/>
      <c r="H2671" s="399">
        <v>500</v>
      </c>
      <c r="I2671" s="399"/>
      <c r="J2671" s="377">
        <v>20064</v>
      </c>
      <c r="K2671" s="377">
        <v>95</v>
      </c>
      <c r="L2671" s="378"/>
      <c r="M2671" s="377"/>
      <c r="N2671" s="399">
        <v>190</v>
      </c>
      <c r="O2671" s="382"/>
      <c r="P2671" s="458">
        <v>190</v>
      </c>
      <c r="Q2671" s="382"/>
    </row>
    <row r="2672" spans="1:17" s="15" customFormat="1" x14ac:dyDescent="0.2">
      <c r="A2672" s="384" t="s">
        <v>1745</v>
      </c>
      <c r="B2672" s="380"/>
      <c r="C2672" s="334" t="s">
        <v>1887</v>
      </c>
      <c r="D2672" s="377"/>
      <c r="E2672" s="377"/>
      <c r="F2672" s="378"/>
      <c r="G2672" s="377"/>
      <c r="H2672" s="399"/>
      <c r="I2672" s="399"/>
      <c r="J2672" s="377"/>
      <c r="K2672" s="377"/>
      <c r="L2672" s="378"/>
      <c r="M2672" s="377"/>
      <c r="N2672" s="399"/>
      <c r="O2672" s="382"/>
      <c r="P2672" s="458"/>
      <c r="Q2672" s="382"/>
    </row>
    <row r="2673" spans="1:17" s="15" customFormat="1" x14ac:dyDescent="0.2">
      <c r="A2673" s="403" t="s">
        <v>1576</v>
      </c>
      <c r="B2673" s="380"/>
      <c r="C2673" s="334" t="s">
        <v>1590</v>
      </c>
      <c r="D2673" s="377">
        <v>95</v>
      </c>
      <c r="E2673" s="377"/>
      <c r="F2673" s="378"/>
      <c r="G2673" s="377"/>
      <c r="H2673" s="399"/>
      <c r="I2673" s="399"/>
      <c r="J2673" s="377">
        <v>95</v>
      </c>
      <c r="K2673" s="377"/>
      <c r="L2673" s="378"/>
      <c r="M2673" s="377"/>
      <c r="N2673" s="399"/>
      <c r="O2673" s="382"/>
      <c r="P2673" s="458"/>
      <c r="Q2673" s="382"/>
    </row>
    <row r="2674" spans="1:17" s="15" customFormat="1" x14ac:dyDescent="0.2">
      <c r="A2674" s="334" t="s">
        <v>1737</v>
      </c>
      <c r="B2674" s="380"/>
      <c r="C2674" s="334" t="s">
        <v>1984</v>
      </c>
      <c r="D2674" s="377">
        <v>825</v>
      </c>
      <c r="E2674" s="377">
        <v>48</v>
      </c>
      <c r="F2674" s="378"/>
      <c r="G2674" s="377"/>
      <c r="H2674" s="399"/>
      <c r="I2674" s="399"/>
      <c r="J2674" s="377">
        <v>784</v>
      </c>
      <c r="K2674" s="377">
        <v>48</v>
      </c>
      <c r="L2674" s="378"/>
      <c r="M2674" s="377"/>
      <c r="N2674" s="399"/>
      <c r="O2674" s="382"/>
      <c r="P2674" s="458"/>
      <c r="Q2674" s="382"/>
    </row>
    <row r="2675" spans="1:17" s="15" customFormat="1" x14ac:dyDescent="0.2">
      <c r="A2675" s="334" t="s">
        <v>1726</v>
      </c>
      <c r="B2675" s="380"/>
      <c r="C2675" s="334" t="s">
        <v>1117</v>
      </c>
      <c r="D2675" s="377">
        <v>238</v>
      </c>
      <c r="E2675" s="377"/>
      <c r="F2675" s="378"/>
      <c r="G2675" s="377"/>
      <c r="H2675" s="399"/>
      <c r="I2675" s="399"/>
      <c r="J2675" s="377">
        <v>238</v>
      </c>
      <c r="K2675" s="377"/>
      <c r="L2675" s="378"/>
      <c r="M2675" s="377"/>
      <c r="N2675" s="399"/>
      <c r="O2675" s="382"/>
      <c r="P2675" s="458"/>
      <c r="Q2675" s="382"/>
    </row>
    <row r="2676" spans="1:17" s="15" customFormat="1" x14ac:dyDescent="0.2">
      <c r="A2676" s="384" t="s">
        <v>1828</v>
      </c>
      <c r="B2676" s="380"/>
      <c r="C2676" s="334" t="s">
        <v>2712</v>
      </c>
      <c r="D2676" s="377"/>
      <c r="E2676" s="377"/>
      <c r="F2676" s="378"/>
      <c r="G2676" s="377"/>
      <c r="H2676" s="399">
        <v>1000</v>
      </c>
      <c r="I2676" s="399"/>
      <c r="J2676" s="377"/>
      <c r="K2676" s="377"/>
      <c r="L2676" s="378"/>
      <c r="M2676" s="377"/>
      <c r="N2676" s="399"/>
      <c r="O2676" s="382"/>
      <c r="P2676" s="458"/>
      <c r="Q2676" s="382"/>
    </row>
    <row r="2677" spans="1:17" s="15" customFormat="1" x14ac:dyDescent="0.2">
      <c r="A2677" s="334" t="s">
        <v>1661</v>
      </c>
      <c r="B2677" s="380"/>
      <c r="C2677" s="334" t="s">
        <v>3136</v>
      </c>
      <c r="D2677" s="377">
        <v>475</v>
      </c>
      <c r="E2677" s="377"/>
      <c r="F2677" s="378"/>
      <c r="G2677" s="377"/>
      <c r="H2677" s="399"/>
      <c r="I2677" s="399"/>
      <c r="J2677" s="377">
        <v>475</v>
      </c>
      <c r="K2677" s="377"/>
      <c r="L2677" s="378"/>
      <c r="M2677" s="377"/>
      <c r="N2677" s="399"/>
      <c r="O2677" s="382"/>
      <c r="P2677" s="458"/>
      <c r="Q2677" s="382"/>
    </row>
    <row r="2678" spans="1:17" s="15" customFormat="1" x14ac:dyDescent="0.2">
      <c r="A2678" s="384" t="s">
        <v>1760</v>
      </c>
      <c r="B2678" s="380"/>
      <c r="C2678" s="334" t="s">
        <v>40</v>
      </c>
      <c r="D2678" s="377">
        <v>1200</v>
      </c>
      <c r="E2678" s="377"/>
      <c r="F2678" s="378"/>
      <c r="G2678" s="377"/>
      <c r="H2678" s="399"/>
      <c r="I2678" s="399"/>
      <c r="J2678" s="377"/>
      <c r="K2678" s="377"/>
      <c r="L2678" s="378"/>
      <c r="M2678" s="377"/>
      <c r="N2678" s="399"/>
      <c r="O2678" s="382"/>
      <c r="P2678" s="458"/>
      <c r="Q2678" s="382"/>
    </row>
    <row r="2679" spans="1:17" s="15" customFormat="1" x14ac:dyDescent="0.2">
      <c r="A2679" s="334" t="s">
        <v>1734</v>
      </c>
      <c r="B2679" s="380"/>
      <c r="C2679" s="334" t="s">
        <v>1746</v>
      </c>
      <c r="D2679" s="377"/>
      <c r="E2679" s="377"/>
      <c r="F2679" s="378">
        <v>475</v>
      </c>
      <c r="G2679" s="377"/>
      <c r="H2679" s="399">
        <v>100</v>
      </c>
      <c r="I2679" s="399"/>
      <c r="J2679" s="377"/>
      <c r="K2679" s="377"/>
      <c r="L2679" s="378">
        <v>475</v>
      </c>
      <c r="M2679" s="377"/>
      <c r="N2679" s="399"/>
      <c r="O2679" s="382"/>
      <c r="P2679" s="458"/>
      <c r="Q2679" s="382"/>
    </row>
    <row r="2680" spans="1:17" s="15" customFormat="1" x14ac:dyDescent="0.2">
      <c r="A2680" s="334" t="s">
        <v>1571</v>
      </c>
      <c r="B2680" s="380"/>
      <c r="C2680" s="334" t="s">
        <v>3</v>
      </c>
      <c r="D2680" s="377"/>
      <c r="E2680" s="377"/>
      <c r="F2680" s="378"/>
      <c r="G2680" s="377"/>
      <c r="H2680" s="399">
        <v>100</v>
      </c>
      <c r="I2680" s="399"/>
      <c r="J2680" s="377"/>
      <c r="K2680" s="377"/>
      <c r="L2680" s="378"/>
      <c r="M2680" s="377"/>
      <c r="N2680" s="399"/>
      <c r="O2680" s="382"/>
      <c r="P2680" s="458"/>
      <c r="Q2680" s="382"/>
    </row>
    <row r="2681" spans="1:17" s="15" customFormat="1" x14ac:dyDescent="0.2">
      <c r="A2681" s="403" t="s">
        <v>1578</v>
      </c>
      <c r="B2681" s="380"/>
      <c r="C2681" s="334" t="s">
        <v>22</v>
      </c>
      <c r="D2681" s="377"/>
      <c r="E2681" s="377"/>
      <c r="F2681" s="378"/>
      <c r="G2681" s="377"/>
      <c r="H2681" s="399"/>
      <c r="I2681" s="399"/>
      <c r="J2681" s="377"/>
      <c r="K2681" s="377"/>
      <c r="L2681" s="378"/>
      <c r="M2681" s="377"/>
      <c r="N2681" s="399"/>
      <c r="O2681" s="382"/>
      <c r="P2681" s="458"/>
      <c r="Q2681" s="382"/>
    </row>
    <row r="2682" spans="1:17" s="15" customFormat="1" x14ac:dyDescent="0.2">
      <c r="A2682" s="334" t="s">
        <v>1738</v>
      </c>
      <c r="B2682" s="380"/>
      <c r="C2682" s="334" t="s">
        <v>1591</v>
      </c>
      <c r="D2682" s="377">
        <v>400</v>
      </c>
      <c r="E2682" s="377">
        <v>28</v>
      </c>
      <c r="F2682" s="378"/>
      <c r="G2682" s="377"/>
      <c r="H2682" s="399">
        <v>100</v>
      </c>
      <c r="I2682" s="399"/>
      <c r="J2682" s="377">
        <v>380</v>
      </c>
      <c r="K2682" s="377">
        <v>28</v>
      </c>
      <c r="L2682" s="378"/>
      <c r="M2682" s="377"/>
      <c r="N2682" s="399"/>
      <c r="O2682" s="382"/>
      <c r="P2682" s="458"/>
      <c r="Q2682" s="382"/>
    </row>
    <row r="2683" spans="1:17" s="15" customFormat="1" x14ac:dyDescent="0.2">
      <c r="A2683" s="334" t="s">
        <v>1727</v>
      </c>
      <c r="B2683" s="380"/>
      <c r="C2683" s="334" t="s">
        <v>307</v>
      </c>
      <c r="D2683" s="377">
        <v>900</v>
      </c>
      <c r="E2683" s="377">
        <v>95</v>
      </c>
      <c r="F2683" s="378">
        <v>190</v>
      </c>
      <c r="G2683" s="377"/>
      <c r="H2683" s="399">
        <v>500</v>
      </c>
      <c r="I2683" s="399"/>
      <c r="J2683" s="377">
        <v>855</v>
      </c>
      <c r="K2683" s="377">
        <v>95</v>
      </c>
      <c r="L2683" s="378">
        <v>190</v>
      </c>
      <c r="M2683" s="377"/>
      <c r="N2683" s="399">
        <v>237</v>
      </c>
      <c r="O2683" s="382"/>
      <c r="P2683" s="458">
        <v>237</v>
      </c>
      <c r="Q2683" s="382"/>
    </row>
    <row r="2684" spans="1:17" s="15" customFormat="1" x14ac:dyDescent="0.2">
      <c r="A2684" s="334" t="s">
        <v>1728</v>
      </c>
      <c r="B2684" s="380"/>
      <c r="C2684" s="334" t="s">
        <v>310</v>
      </c>
      <c r="D2684" s="377">
        <v>600</v>
      </c>
      <c r="E2684" s="377">
        <v>47</v>
      </c>
      <c r="F2684" s="378">
        <v>76</v>
      </c>
      <c r="G2684" s="377"/>
      <c r="H2684" s="399">
        <v>500</v>
      </c>
      <c r="I2684" s="399"/>
      <c r="J2684" s="377">
        <v>570</v>
      </c>
      <c r="K2684" s="377">
        <v>47</v>
      </c>
      <c r="L2684" s="378">
        <v>76</v>
      </c>
      <c r="M2684" s="377"/>
      <c r="N2684" s="399">
        <v>238</v>
      </c>
      <c r="O2684" s="382"/>
      <c r="P2684" s="458">
        <v>238</v>
      </c>
      <c r="Q2684" s="382"/>
    </row>
    <row r="2685" spans="1:17" s="15" customFormat="1" x14ac:dyDescent="0.2">
      <c r="A2685" s="334" t="s">
        <v>1729</v>
      </c>
      <c r="B2685" s="380"/>
      <c r="C2685" s="380" t="s">
        <v>1551</v>
      </c>
      <c r="D2685" s="377">
        <f>-4106.5-5000</f>
        <v>-9106.5</v>
      </c>
      <c r="E2685" s="377">
        <f>-286.6-7000</f>
        <v>-7286.6</v>
      </c>
      <c r="F2685" s="378">
        <v>-1022.4</v>
      </c>
      <c r="G2685" s="377"/>
      <c r="H2685" s="399">
        <v>-10798.27</v>
      </c>
      <c r="I2685" s="399"/>
      <c r="J2685" s="377"/>
      <c r="K2685" s="377"/>
      <c r="L2685" s="378">
        <v>19</v>
      </c>
      <c r="M2685" s="377"/>
      <c r="N2685" s="399">
        <v>47</v>
      </c>
      <c r="O2685" s="382"/>
      <c r="P2685" s="458"/>
      <c r="Q2685" s="382"/>
    </row>
    <row r="2686" spans="1:17" s="15" customFormat="1" x14ac:dyDescent="0.2">
      <c r="A2686" s="334" t="s">
        <v>1735</v>
      </c>
      <c r="B2686" s="380"/>
      <c r="C2686" s="380" t="s">
        <v>194</v>
      </c>
      <c r="D2686" s="377"/>
      <c r="E2686" s="377"/>
      <c r="F2686" s="378"/>
      <c r="G2686" s="377"/>
      <c r="H2686" s="399"/>
      <c r="I2686" s="399"/>
      <c r="J2686" s="377">
        <v>95</v>
      </c>
      <c r="K2686" s="377">
        <v>24</v>
      </c>
      <c r="L2686" s="378">
        <v>47</v>
      </c>
      <c r="M2686" s="377"/>
      <c r="N2686" s="399"/>
      <c r="O2686" s="382"/>
      <c r="P2686" s="458"/>
      <c r="Q2686" s="382"/>
    </row>
    <row r="2687" spans="1:17" s="15" customFormat="1" x14ac:dyDescent="0.2">
      <c r="A2687" s="334" t="s">
        <v>1741</v>
      </c>
      <c r="B2687" s="380"/>
      <c r="C2687" s="334" t="s">
        <v>1748</v>
      </c>
      <c r="D2687" s="377">
        <v>500</v>
      </c>
      <c r="E2687" s="377">
        <v>48</v>
      </c>
      <c r="F2687" s="378">
        <v>143</v>
      </c>
      <c r="G2687" s="377"/>
      <c r="H2687" s="399"/>
      <c r="I2687" s="399"/>
      <c r="J2687" s="377">
        <v>475</v>
      </c>
      <c r="K2687" s="377">
        <v>48</v>
      </c>
      <c r="L2687" s="378">
        <v>143</v>
      </c>
      <c r="M2687" s="377"/>
      <c r="N2687" s="399">
        <v>95</v>
      </c>
      <c r="O2687" s="382"/>
      <c r="P2687" s="458">
        <v>95</v>
      </c>
      <c r="Q2687" s="382"/>
    </row>
    <row r="2688" spans="1:17" s="15" customFormat="1" x14ac:dyDescent="0.2">
      <c r="A2688" s="403" t="s">
        <v>1754</v>
      </c>
      <c r="B2688" s="380"/>
      <c r="C2688" s="334" t="s">
        <v>1929</v>
      </c>
      <c r="D2688" s="377"/>
      <c r="E2688" s="377"/>
      <c r="F2688" s="378"/>
      <c r="G2688" s="377"/>
      <c r="H2688" s="399"/>
      <c r="I2688" s="399"/>
      <c r="J2688" s="377"/>
      <c r="K2688" s="377"/>
      <c r="L2688" s="378"/>
      <c r="M2688" s="377"/>
      <c r="N2688" s="399">
        <v>333</v>
      </c>
      <c r="O2688" s="382"/>
      <c r="P2688" s="458">
        <v>333</v>
      </c>
      <c r="Q2688" s="382"/>
    </row>
    <row r="2689" spans="1:17" s="15" customFormat="1" x14ac:dyDescent="0.2">
      <c r="A2689" s="334" t="s">
        <v>1584</v>
      </c>
      <c r="B2689" s="380"/>
      <c r="C2689" s="334" t="s">
        <v>0</v>
      </c>
      <c r="D2689" s="377"/>
      <c r="E2689" s="377"/>
      <c r="F2689" s="378"/>
      <c r="G2689" s="377"/>
      <c r="H2689" s="399"/>
      <c r="I2689" s="399"/>
      <c r="J2689" s="377"/>
      <c r="K2689" s="377"/>
      <c r="L2689" s="378"/>
      <c r="M2689" s="377"/>
      <c r="N2689" s="399"/>
      <c r="O2689" s="382"/>
      <c r="P2689" s="458"/>
      <c r="Q2689" s="382"/>
    </row>
    <row r="2690" spans="1:17" s="15" customFormat="1" x14ac:dyDescent="0.2">
      <c r="A2690" s="334" t="s">
        <v>1580</v>
      </c>
      <c r="B2690" s="380"/>
      <c r="C2690" s="334" t="s">
        <v>1935</v>
      </c>
      <c r="D2690" s="377"/>
      <c r="E2690" s="377"/>
      <c r="F2690" s="378"/>
      <c r="G2690" s="377"/>
      <c r="H2690" s="399"/>
      <c r="I2690" s="399"/>
      <c r="J2690" s="377"/>
      <c r="K2690" s="377"/>
      <c r="L2690" s="378"/>
      <c r="M2690" s="377"/>
      <c r="N2690" s="399">
        <v>95</v>
      </c>
      <c r="O2690" s="382"/>
      <c r="P2690" s="458"/>
      <c r="Q2690" s="382"/>
    </row>
    <row r="2691" spans="1:17" s="15" customFormat="1" x14ac:dyDescent="0.2">
      <c r="A2691" s="334" t="s">
        <v>1572</v>
      </c>
      <c r="B2691" s="380"/>
      <c r="C2691" s="334" t="s">
        <v>3134</v>
      </c>
      <c r="D2691" s="377"/>
      <c r="E2691" s="377"/>
      <c r="F2691" s="378"/>
      <c r="G2691" s="377"/>
      <c r="H2691" s="399"/>
      <c r="I2691" s="399"/>
      <c r="J2691" s="377"/>
      <c r="K2691" s="377"/>
      <c r="L2691" s="378"/>
      <c r="M2691" s="377"/>
      <c r="N2691" s="399"/>
      <c r="O2691" s="382"/>
      <c r="P2691" s="458"/>
      <c r="Q2691" s="382"/>
    </row>
    <row r="2692" spans="1:17" s="15" customFormat="1" x14ac:dyDescent="0.2">
      <c r="A2692" s="334" t="s">
        <v>1730</v>
      </c>
      <c r="B2692" s="380"/>
      <c r="C2692" s="334" t="s">
        <v>1985</v>
      </c>
      <c r="D2692" s="377">
        <v>800</v>
      </c>
      <c r="E2692" s="377">
        <v>427</v>
      </c>
      <c r="F2692" s="378">
        <v>380</v>
      </c>
      <c r="G2692" s="377"/>
      <c r="H2692" s="399">
        <v>500</v>
      </c>
      <c r="I2692" s="399"/>
      <c r="J2692" s="377">
        <v>760</v>
      </c>
      <c r="K2692" s="377">
        <v>427</v>
      </c>
      <c r="L2692" s="378">
        <v>380</v>
      </c>
      <c r="M2692" s="377"/>
      <c r="N2692" s="399">
        <v>475</v>
      </c>
      <c r="O2692" s="382"/>
      <c r="P2692" s="458">
        <v>475</v>
      </c>
      <c r="Q2692" s="382"/>
    </row>
    <row r="2693" spans="1:17" s="15" customFormat="1" x14ac:dyDescent="0.2">
      <c r="A2693" s="334" t="s">
        <v>1566</v>
      </c>
      <c r="B2693" s="380"/>
      <c r="C2693" s="334" t="s">
        <v>366</v>
      </c>
      <c r="D2693" s="377">
        <v>1400</v>
      </c>
      <c r="E2693" s="377">
        <v>380</v>
      </c>
      <c r="F2693" s="378">
        <v>380</v>
      </c>
      <c r="G2693" s="377"/>
      <c r="H2693" s="399"/>
      <c r="I2693" s="399"/>
      <c r="J2693" s="377">
        <v>1282</v>
      </c>
      <c r="K2693" s="377">
        <v>380</v>
      </c>
      <c r="L2693" s="378">
        <v>380</v>
      </c>
      <c r="M2693" s="377"/>
      <c r="N2693" s="399">
        <v>380</v>
      </c>
      <c r="O2693" s="382"/>
      <c r="P2693" s="458">
        <v>380</v>
      </c>
      <c r="Q2693" s="382"/>
    </row>
    <row r="2694" spans="1:17" s="15" customFormat="1" x14ac:dyDescent="0.2">
      <c r="A2694" s="334" t="s">
        <v>1755</v>
      </c>
      <c r="B2694" s="380"/>
      <c r="C2694" s="380" t="s">
        <v>1986</v>
      </c>
      <c r="D2694" s="377">
        <v>600</v>
      </c>
      <c r="E2694" s="377"/>
      <c r="F2694" s="378"/>
      <c r="G2694" s="377"/>
      <c r="H2694" s="399">
        <v>500</v>
      </c>
      <c r="I2694" s="399"/>
      <c r="J2694" s="377">
        <v>570</v>
      </c>
      <c r="K2694" s="377"/>
      <c r="L2694" s="378"/>
      <c r="M2694" s="377"/>
      <c r="N2694" s="399"/>
      <c r="O2694" s="382"/>
      <c r="P2694" s="458"/>
      <c r="Q2694" s="382"/>
    </row>
    <row r="2695" spans="1:17" s="15" customFormat="1" x14ac:dyDescent="0.2">
      <c r="A2695" s="334" t="s">
        <v>1587</v>
      </c>
      <c r="B2695" s="380"/>
      <c r="C2695" s="334" t="s">
        <v>34</v>
      </c>
      <c r="D2695" s="377"/>
      <c r="E2695" s="377"/>
      <c r="F2695" s="378"/>
      <c r="G2695" s="377"/>
      <c r="H2695" s="399"/>
      <c r="I2695" s="399"/>
      <c r="J2695" s="377"/>
      <c r="K2695" s="377"/>
      <c r="L2695" s="378"/>
      <c r="M2695" s="377"/>
      <c r="N2695" s="399"/>
      <c r="O2695" s="382"/>
      <c r="P2695" s="458"/>
      <c r="Q2695" s="382"/>
    </row>
    <row r="2696" spans="1:17" s="15" customFormat="1" x14ac:dyDescent="0.2">
      <c r="A2696" s="384" t="s">
        <v>1962</v>
      </c>
      <c r="B2696" s="380"/>
      <c r="C2696" s="380" t="s">
        <v>572</v>
      </c>
      <c r="D2696" s="377">
        <v>2600</v>
      </c>
      <c r="E2696" s="377"/>
      <c r="F2696" s="378"/>
      <c r="G2696" s="377"/>
      <c r="H2696" s="399"/>
      <c r="I2696" s="399"/>
      <c r="J2696" s="377">
        <v>855</v>
      </c>
      <c r="K2696" s="377"/>
      <c r="L2696" s="378"/>
      <c r="M2696" s="377"/>
      <c r="N2696" s="399"/>
      <c r="O2696" s="382"/>
      <c r="P2696" s="458"/>
      <c r="Q2696" s="382"/>
    </row>
    <row r="2697" spans="1:17" s="15" customFormat="1" x14ac:dyDescent="0.2">
      <c r="A2697" s="334" t="s">
        <v>1567</v>
      </c>
      <c r="B2697" s="380"/>
      <c r="C2697" s="334" t="s">
        <v>3142</v>
      </c>
      <c r="D2697" s="377"/>
      <c r="E2697" s="377"/>
      <c r="F2697" s="378"/>
      <c r="G2697" s="377"/>
      <c r="H2697" s="399"/>
      <c r="I2697" s="399"/>
      <c r="J2697" s="377"/>
      <c r="K2697" s="377"/>
      <c r="L2697" s="378"/>
      <c r="M2697" s="377"/>
      <c r="N2697" s="399"/>
      <c r="O2697" s="382"/>
      <c r="P2697" s="458"/>
      <c r="Q2697" s="382"/>
    </row>
    <row r="2698" spans="1:17" s="15" customFormat="1" x14ac:dyDescent="0.2">
      <c r="A2698" s="334" t="s">
        <v>1662</v>
      </c>
      <c r="B2698" s="380"/>
      <c r="C2698" s="334" t="s">
        <v>24</v>
      </c>
      <c r="D2698" s="377"/>
      <c r="E2698" s="377"/>
      <c r="F2698" s="378"/>
      <c r="G2698" s="377"/>
      <c r="H2698" s="399"/>
      <c r="I2698" s="399"/>
      <c r="J2698" s="377"/>
      <c r="K2698" s="377"/>
      <c r="L2698" s="378"/>
      <c r="M2698" s="377"/>
      <c r="N2698" s="399"/>
      <c r="O2698" s="382"/>
      <c r="P2698" s="458"/>
      <c r="Q2698" s="382"/>
    </row>
    <row r="2699" spans="1:17" s="15" customFormat="1" x14ac:dyDescent="0.2">
      <c r="A2699" s="334"/>
      <c r="B2699" s="380"/>
      <c r="C2699" s="334" t="s">
        <v>25</v>
      </c>
      <c r="D2699" s="377"/>
      <c r="E2699" s="377"/>
      <c r="F2699" s="378">
        <v>950</v>
      </c>
      <c r="G2699" s="377"/>
      <c r="H2699" s="399"/>
      <c r="I2699" s="399"/>
      <c r="J2699" s="377"/>
      <c r="K2699" s="377"/>
      <c r="L2699" s="378">
        <v>950</v>
      </c>
      <c r="M2699" s="377"/>
      <c r="N2699" s="399"/>
      <c r="O2699" s="382"/>
      <c r="P2699" s="458"/>
      <c r="Q2699" s="382"/>
    </row>
    <row r="2700" spans="1:17" s="15" customFormat="1" x14ac:dyDescent="0.2">
      <c r="A2700" s="334"/>
      <c r="B2700" s="380"/>
      <c r="C2700" s="334" t="s">
        <v>1608</v>
      </c>
      <c r="D2700" s="377"/>
      <c r="E2700" s="423"/>
      <c r="F2700" s="378"/>
      <c r="G2700" s="377"/>
      <c r="H2700" s="423"/>
      <c r="I2700" s="399"/>
      <c r="J2700" s="377"/>
      <c r="K2700" s="423"/>
      <c r="L2700" s="378"/>
      <c r="M2700" s="377"/>
      <c r="N2700" s="423"/>
      <c r="O2700" s="382"/>
      <c r="P2700" s="458"/>
      <c r="Q2700" s="382"/>
    </row>
    <row r="2701" spans="1:17" s="15" customFormat="1" x14ac:dyDescent="0.2">
      <c r="A2701" s="380"/>
      <c r="B2701" s="380"/>
      <c r="C2701" s="380"/>
      <c r="D2701" s="410" t="s">
        <v>342</v>
      </c>
      <c r="E2701" s="377"/>
      <c r="F2701" s="445"/>
      <c r="G2701" s="432"/>
      <c r="H2701" s="399"/>
      <c r="I2701" s="385"/>
      <c r="J2701" s="410" t="s">
        <v>342</v>
      </c>
      <c r="K2701" s="377"/>
      <c r="L2701" s="445"/>
      <c r="M2701" s="432"/>
      <c r="N2701" s="399"/>
      <c r="O2701" s="382"/>
      <c r="P2701" s="458"/>
      <c r="Q2701" s="382"/>
    </row>
    <row r="2702" spans="1:17" s="15" customFormat="1" ht="15.75" thickBot="1" x14ac:dyDescent="0.25">
      <c r="A2702" s="334" t="s">
        <v>342</v>
      </c>
      <c r="B2702" s="380"/>
      <c r="C2702" s="334" t="s">
        <v>342</v>
      </c>
      <c r="D2702" s="411">
        <f>SUM(D2664:D2700)</f>
        <v>31958.5</v>
      </c>
      <c r="E2702" s="411">
        <f>SUM(E2664:E2699)</f>
        <v>-5853.6</v>
      </c>
      <c r="F2702" s="414">
        <f>SUM(F2664:F2700)</f>
        <v>4089.6</v>
      </c>
      <c r="G2702" s="411"/>
      <c r="H2702" s="411">
        <f>SUM(H2664:H2700)</f>
        <v>14751.73</v>
      </c>
      <c r="I2702" s="385"/>
      <c r="J2702" s="411">
        <f>SUM(J2664:J2700)</f>
        <v>32010</v>
      </c>
      <c r="K2702" s="411">
        <f>SUM(K2664:K2699)</f>
        <v>1457</v>
      </c>
      <c r="L2702" s="414">
        <f>SUM(L2664:L2700)</f>
        <v>4228</v>
      </c>
      <c r="M2702" s="411"/>
      <c r="N2702" s="411">
        <f>SUM(N2664:N2700)</f>
        <v>22850</v>
      </c>
      <c r="O2702" s="382"/>
      <c r="P2702" s="458">
        <v>2708</v>
      </c>
      <c r="Q2702" s="382"/>
    </row>
    <row r="2703" spans="1:17" s="15" customFormat="1" x14ac:dyDescent="0.2">
      <c r="A2703" s="385"/>
      <c r="B2703" s="382"/>
      <c r="C2703" s="385"/>
      <c r="D2703" s="385"/>
      <c r="E2703" s="399"/>
      <c r="F2703" s="416"/>
      <c r="G2703" s="399"/>
      <c r="H2703" s="399"/>
      <c r="I2703" s="385"/>
      <c r="J2703" s="385"/>
      <c r="K2703" s="399"/>
      <c r="L2703" s="416"/>
      <c r="M2703" s="399"/>
      <c r="N2703" s="399"/>
      <c r="O2703" s="382"/>
      <c r="P2703" s="382"/>
      <c r="Q2703" s="382"/>
    </row>
    <row r="2704" spans="1:17" s="15" customFormat="1" x14ac:dyDescent="0.2">
      <c r="A2704" s="385"/>
      <c r="B2704" s="382"/>
      <c r="C2704" s="385"/>
      <c r="D2704" s="385"/>
      <c r="E2704" s="399"/>
      <c r="F2704" s="416"/>
      <c r="G2704" s="399"/>
      <c r="H2704" s="399"/>
      <c r="I2704" s="385"/>
      <c r="J2704" s="385"/>
      <c r="K2704" s="399"/>
      <c r="L2704" s="416"/>
      <c r="M2704" s="399"/>
      <c r="N2704" s="399"/>
      <c r="O2704" s="382"/>
      <c r="P2704" s="382"/>
      <c r="Q2704" s="382"/>
    </row>
    <row r="2705" spans="1:17" s="15" customFormat="1" x14ac:dyDescent="0.2">
      <c r="A2705" s="334" t="s">
        <v>1663</v>
      </c>
      <c r="B2705" s="380"/>
      <c r="C2705" s="380"/>
      <c r="D2705" s="334" t="s">
        <v>277</v>
      </c>
      <c r="E2705" s="334" t="s">
        <v>280</v>
      </c>
      <c r="F2705" s="412" t="s">
        <v>278</v>
      </c>
      <c r="G2705" s="334"/>
      <c r="H2705" s="334" t="s">
        <v>281</v>
      </c>
      <c r="I2705" s="385"/>
      <c r="J2705" s="334" t="s">
        <v>277</v>
      </c>
      <c r="K2705" s="334" t="s">
        <v>280</v>
      </c>
      <c r="L2705" s="412" t="s">
        <v>278</v>
      </c>
      <c r="M2705" s="334"/>
      <c r="N2705" s="334" t="s">
        <v>281</v>
      </c>
      <c r="O2705" s="382"/>
      <c r="P2705" s="382"/>
      <c r="Q2705" s="382"/>
    </row>
    <row r="2706" spans="1:17" s="15" customFormat="1" x14ac:dyDescent="0.2">
      <c r="A2706" s="334"/>
      <c r="B2706" s="380"/>
      <c r="C2706" s="384" t="s">
        <v>436</v>
      </c>
      <c r="D2706" s="384" t="s">
        <v>3711</v>
      </c>
      <c r="E2706" s="384" t="s">
        <v>3712</v>
      </c>
      <c r="F2706" s="421" t="s">
        <v>2924</v>
      </c>
      <c r="G2706" s="334"/>
      <c r="H2706" s="384" t="s">
        <v>3702</v>
      </c>
      <c r="I2706" s="382"/>
      <c r="J2706" s="384" t="s">
        <v>3711</v>
      </c>
      <c r="K2706" s="384" t="s">
        <v>3712</v>
      </c>
      <c r="L2706" s="421" t="s">
        <v>2924</v>
      </c>
      <c r="M2706" s="334"/>
      <c r="N2706" s="384" t="s">
        <v>3702</v>
      </c>
      <c r="O2706" s="382"/>
      <c r="P2706" s="382"/>
      <c r="Q2706" s="382"/>
    </row>
    <row r="2707" spans="1:17" s="15" customFormat="1" x14ac:dyDescent="0.2">
      <c r="A2707" s="334" t="s">
        <v>342</v>
      </c>
      <c r="B2707" s="380"/>
      <c r="C2707" s="334" t="s">
        <v>342</v>
      </c>
      <c r="D2707" s="334" t="s">
        <v>106</v>
      </c>
      <c r="E2707" s="334" t="s">
        <v>960</v>
      </c>
      <c r="F2707" s="389" t="s">
        <v>795</v>
      </c>
      <c r="G2707" s="334"/>
      <c r="H2707" s="334" t="s">
        <v>796</v>
      </c>
      <c r="I2707" s="385"/>
      <c r="J2707" s="334" t="s">
        <v>106</v>
      </c>
      <c r="K2707" s="334" t="s">
        <v>960</v>
      </c>
      <c r="L2707" s="412" t="s">
        <v>795</v>
      </c>
      <c r="M2707" s="334"/>
      <c r="N2707" s="334" t="s">
        <v>796</v>
      </c>
      <c r="O2707" s="382"/>
      <c r="P2707" s="382"/>
      <c r="Q2707" s="382"/>
    </row>
    <row r="2708" spans="1:17" s="15" customFormat="1" x14ac:dyDescent="0.2">
      <c r="A2708" s="334" t="s">
        <v>1723</v>
      </c>
      <c r="B2708" s="380"/>
      <c r="C2708" s="334" t="s">
        <v>1880</v>
      </c>
      <c r="D2708" s="334" t="s">
        <v>181</v>
      </c>
      <c r="E2708" s="334" t="s">
        <v>181</v>
      </c>
      <c r="F2708" s="389" t="s">
        <v>181</v>
      </c>
      <c r="G2708" s="334"/>
      <c r="H2708" s="334" t="s">
        <v>181</v>
      </c>
      <c r="I2708" s="385"/>
      <c r="J2708" s="334" t="s">
        <v>181</v>
      </c>
      <c r="K2708" s="334" t="s">
        <v>181</v>
      </c>
      <c r="L2708" s="412" t="s">
        <v>181</v>
      </c>
      <c r="M2708" s="334"/>
      <c r="N2708" s="334" t="s">
        <v>181</v>
      </c>
      <c r="O2708" s="382"/>
      <c r="P2708" s="382"/>
      <c r="Q2708" s="382"/>
    </row>
    <row r="2709" spans="1:17" s="15" customFormat="1" x14ac:dyDescent="0.2">
      <c r="A2709" s="380"/>
      <c r="B2709" s="380"/>
      <c r="C2709" s="334" t="s">
        <v>342</v>
      </c>
      <c r="D2709" s="334" t="s">
        <v>342</v>
      </c>
      <c r="E2709" s="334" t="s">
        <v>342</v>
      </c>
      <c r="F2709" s="412" t="s">
        <v>342</v>
      </c>
      <c r="G2709" s="334"/>
      <c r="H2709" s="334" t="s">
        <v>342</v>
      </c>
      <c r="I2709" s="385"/>
      <c r="J2709" s="334" t="s">
        <v>342</v>
      </c>
      <c r="K2709" s="334" t="s">
        <v>342</v>
      </c>
      <c r="L2709" s="412" t="s">
        <v>342</v>
      </c>
      <c r="M2709" s="334"/>
      <c r="N2709" s="334" t="s">
        <v>342</v>
      </c>
      <c r="O2709" s="382"/>
      <c r="P2709" s="382"/>
      <c r="Q2709" s="382"/>
    </row>
    <row r="2710" spans="1:17" s="15" customFormat="1" x14ac:dyDescent="0.2">
      <c r="A2710" s="334" t="s">
        <v>1796</v>
      </c>
      <c r="B2710" s="380"/>
      <c r="C2710" s="334" t="s">
        <v>26</v>
      </c>
      <c r="D2710" s="377"/>
      <c r="E2710" s="377"/>
      <c r="F2710" s="378"/>
      <c r="G2710" s="377"/>
      <c r="H2710" s="377"/>
      <c r="I2710" s="399"/>
      <c r="J2710" s="377"/>
      <c r="K2710" s="377"/>
      <c r="L2710" s="378"/>
      <c r="M2710" s="377"/>
      <c r="N2710" s="377"/>
      <c r="O2710" s="382"/>
      <c r="P2710" s="382"/>
      <c r="Q2710" s="382"/>
    </row>
    <row r="2711" spans="1:17" s="15" customFormat="1" x14ac:dyDescent="0.2">
      <c r="A2711" s="334" t="s">
        <v>1733</v>
      </c>
      <c r="B2711" s="380"/>
      <c r="C2711" s="334" t="s">
        <v>27</v>
      </c>
      <c r="D2711" s="377"/>
      <c r="E2711" s="377"/>
      <c r="F2711" s="378"/>
      <c r="G2711" s="377"/>
      <c r="H2711" s="377"/>
      <c r="I2711" s="399"/>
      <c r="J2711" s="377"/>
      <c r="K2711" s="377"/>
      <c r="L2711" s="378"/>
      <c r="M2711" s="377"/>
      <c r="N2711" s="377"/>
      <c r="O2711" s="382"/>
      <c r="P2711" s="382"/>
      <c r="Q2711" s="382"/>
    </row>
    <row r="2712" spans="1:17" s="15" customFormat="1" x14ac:dyDescent="0.2">
      <c r="A2712" s="334" t="s">
        <v>1569</v>
      </c>
      <c r="B2712" s="380"/>
      <c r="C2712" s="334" t="s">
        <v>1888</v>
      </c>
      <c r="D2712" s="377"/>
      <c r="E2712" s="377"/>
      <c r="F2712" s="378"/>
      <c r="G2712" s="377"/>
      <c r="H2712" s="377"/>
      <c r="I2712" s="399"/>
      <c r="J2712" s="377"/>
      <c r="K2712" s="377"/>
      <c r="L2712" s="378"/>
      <c r="M2712" s="377"/>
      <c r="N2712" s="377"/>
      <c r="O2712" s="382"/>
      <c r="P2712" s="382"/>
      <c r="Q2712" s="382"/>
    </row>
    <row r="2713" spans="1:17" s="15" customFormat="1" x14ac:dyDescent="0.2">
      <c r="A2713" s="334" t="s">
        <v>1724</v>
      </c>
      <c r="B2713" s="380"/>
      <c r="C2713" s="334" t="s">
        <v>1881</v>
      </c>
      <c r="D2713" s="377">
        <v>250</v>
      </c>
      <c r="E2713" s="377">
        <v>180</v>
      </c>
      <c r="F2713" s="378">
        <v>7200</v>
      </c>
      <c r="G2713" s="377"/>
      <c r="H2713" s="377">
        <v>450</v>
      </c>
      <c r="I2713" s="399"/>
      <c r="J2713" s="377">
        <v>230</v>
      </c>
      <c r="K2713" s="377">
        <v>181</v>
      </c>
      <c r="L2713" s="378">
        <v>7000</v>
      </c>
      <c r="M2713" s="377"/>
      <c r="N2713" s="377">
        <v>450</v>
      </c>
      <c r="O2713" s="382"/>
      <c r="P2713" s="382"/>
      <c r="Q2713" s="382"/>
    </row>
    <row r="2714" spans="1:17" s="15" customFormat="1" x14ac:dyDescent="0.2">
      <c r="A2714" s="334" t="s">
        <v>1736</v>
      </c>
      <c r="B2714" s="380"/>
      <c r="C2714" s="334" t="s">
        <v>1747</v>
      </c>
      <c r="D2714" s="377">
        <v>1000</v>
      </c>
      <c r="E2714" s="377"/>
      <c r="F2714" s="378"/>
      <c r="G2714" s="377"/>
      <c r="H2714" s="377">
        <v>450</v>
      </c>
      <c r="I2714" s="399"/>
      <c r="J2714" s="377">
        <v>1000</v>
      </c>
      <c r="K2714" s="377"/>
      <c r="L2714" s="378"/>
      <c r="M2714" s="377"/>
      <c r="N2714" s="377">
        <v>450</v>
      </c>
      <c r="O2714" s="382"/>
      <c r="P2714" s="382"/>
      <c r="Q2714" s="382"/>
    </row>
    <row r="2715" spans="1:17" s="15" customFormat="1" x14ac:dyDescent="0.2">
      <c r="A2715" s="334" t="s">
        <v>1744</v>
      </c>
      <c r="B2715" s="380"/>
      <c r="C2715" s="334" t="s">
        <v>1254</v>
      </c>
      <c r="D2715" s="377"/>
      <c r="E2715" s="377">
        <v>800</v>
      </c>
      <c r="F2715" s="378"/>
      <c r="G2715" s="377"/>
      <c r="H2715" s="377">
        <v>725</v>
      </c>
      <c r="I2715" s="399"/>
      <c r="J2715" s="377"/>
      <c r="K2715" s="377">
        <v>800</v>
      </c>
      <c r="L2715" s="378"/>
      <c r="M2715" s="377"/>
      <c r="N2715" s="377">
        <v>725</v>
      </c>
      <c r="O2715" s="382"/>
      <c r="P2715" s="382"/>
      <c r="Q2715" s="382"/>
    </row>
    <row r="2716" spans="1:17" s="15" customFormat="1" x14ac:dyDescent="0.2">
      <c r="A2716" s="334" t="s">
        <v>1582</v>
      </c>
      <c r="B2716" s="380"/>
      <c r="C2716" s="334" t="s">
        <v>3135</v>
      </c>
      <c r="D2716" s="377"/>
      <c r="E2716" s="377">
        <v>950</v>
      </c>
      <c r="F2716" s="378">
        <v>3000</v>
      </c>
      <c r="G2716" s="377"/>
      <c r="H2716" s="377">
        <v>800</v>
      </c>
      <c r="I2716" s="399"/>
      <c r="J2716" s="377"/>
      <c r="K2716" s="377">
        <v>950</v>
      </c>
      <c r="L2716" s="378">
        <v>3600</v>
      </c>
      <c r="M2716" s="377"/>
      <c r="N2716" s="377">
        <v>800</v>
      </c>
      <c r="O2716" s="382"/>
      <c r="P2716" s="382"/>
      <c r="Q2716" s="382"/>
    </row>
    <row r="2717" spans="1:17" s="15" customFormat="1" x14ac:dyDescent="0.2">
      <c r="A2717" s="334" t="s">
        <v>1575</v>
      </c>
      <c r="B2717" s="380"/>
      <c r="C2717" s="334" t="s">
        <v>1889</v>
      </c>
      <c r="D2717" s="377"/>
      <c r="E2717" s="377"/>
      <c r="F2717" s="378"/>
      <c r="G2717" s="377"/>
      <c r="H2717" s="377"/>
      <c r="I2717" s="399"/>
      <c r="J2717" s="377"/>
      <c r="K2717" s="377"/>
      <c r="L2717" s="378"/>
      <c r="M2717" s="377"/>
      <c r="N2717" s="377"/>
      <c r="O2717" s="382"/>
      <c r="P2717" s="382"/>
      <c r="Q2717" s="382"/>
    </row>
    <row r="2718" spans="1:17" s="15" customFormat="1" x14ac:dyDescent="0.2">
      <c r="A2718" s="334" t="s">
        <v>1725</v>
      </c>
      <c r="B2718" s="380"/>
      <c r="C2718" s="334" t="s">
        <v>1890</v>
      </c>
      <c r="D2718" s="377">
        <v>500</v>
      </c>
      <c r="E2718" s="377">
        <v>250</v>
      </c>
      <c r="F2718" s="378"/>
      <c r="G2718" s="377"/>
      <c r="H2718" s="377">
        <v>350</v>
      </c>
      <c r="I2718" s="399"/>
      <c r="J2718" s="377">
        <v>450</v>
      </c>
      <c r="K2718" s="377">
        <v>271</v>
      </c>
      <c r="L2718" s="378">
        <v>90</v>
      </c>
      <c r="M2718" s="377"/>
      <c r="N2718" s="377">
        <v>350</v>
      </c>
      <c r="O2718" s="382"/>
      <c r="P2718" s="382"/>
      <c r="Q2718" s="382"/>
    </row>
    <row r="2719" spans="1:17" s="15" customFormat="1" x14ac:dyDescent="0.2">
      <c r="A2719" s="384" t="s">
        <v>1745</v>
      </c>
      <c r="B2719" s="380"/>
      <c r="C2719" s="334" t="s">
        <v>1887</v>
      </c>
      <c r="D2719" s="377"/>
      <c r="E2719" s="377">
        <v>125</v>
      </c>
      <c r="F2719" s="378"/>
      <c r="G2719" s="377"/>
      <c r="H2719" s="377"/>
      <c r="I2719" s="399"/>
      <c r="J2719" s="377"/>
      <c r="K2719" s="377">
        <v>135</v>
      </c>
      <c r="L2719" s="378"/>
      <c r="M2719" s="377"/>
      <c r="N2719" s="377"/>
      <c r="O2719" s="382"/>
      <c r="P2719" s="382"/>
      <c r="Q2719" s="382"/>
    </row>
    <row r="2720" spans="1:17" s="15" customFormat="1" x14ac:dyDescent="0.2">
      <c r="A2720" s="334" t="s">
        <v>1565</v>
      </c>
      <c r="B2720" s="380"/>
      <c r="C2720" s="334" t="s">
        <v>1927</v>
      </c>
      <c r="D2720" s="377"/>
      <c r="E2720" s="377"/>
      <c r="F2720" s="378"/>
      <c r="G2720" s="377"/>
      <c r="H2720" s="377"/>
      <c r="I2720" s="399"/>
      <c r="J2720" s="377"/>
      <c r="K2720" s="377"/>
      <c r="L2720" s="378"/>
      <c r="M2720" s="377"/>
      <c r="N2720" s="377"/>
      <c r="O2720" s="382"/>
      <c r="P2720" s="382"/>
      <c r="Q2720" s="382"/>
    </row>
    <row r="2721" spans="1:17" s="15" customFormat="1" x14ac:dyDescent="0.2">
      <c r="A2721" s="334" t="s">
        <v>1737</v>
      </c>
      <c r="B2721" s="380"/>
      <c r="C2721" s="334" t="s">
        <v>1984</v>
      </c>
      <c r="D2721" s="377">
        <v>50</v>
      </c>
      <c r="E2721" s="377">
        <v>320</v>
      </c>
      <c r="F2721" s="378">
        <v>90</v>
      </c>
      <c r="G2721" s="377"/>
      <c r="H2721" s="377">
        <v>550</v>
      </c>
      <c r="I2721" s="399"/>
      <c r="J2721" s="377">
        <v>45</v>
      </c>
      <c r="K2721" s="377">
        <v>320</v>
      </c>
      <c r="L2721" s="378">
        <v>90</v>
      </c>
      <c r="M2721" s="377"/>
      <c r="N2721" s="377">
        <v>550</v>
      </c>
      <c r="O2721" s="382"/>
      <c r="P2721" s="382"/>
      <c r="Q2721" s="382"/>
    </row>
    <row r="2722" spans="1:17" s="15" customFormat="1" x14ac:dyDescent="0.2">
      <c r="A2722" s="334" t="s">
        <v>1726</v>
      </c>
      <c r="B2722" s="380"/>
      <c r="C2722" s="334" t="s">
        <v>1117</v>
      </c>
      <c r="D2722" s="377">
        <v>250</v>
      </c>
      <c r="E2722" s="377"/>
      <c r="F2722" s="378"/>
      <c r="G2722" s="377"/>
      <c r="H2722" s="377"/>
      <c r="I2722" s="399"/>
      <c r="J2722" s="377">
        <v>230</v>
      </c>
      <c r="K2722" s="377"/>
      <c r="L2722" s="378"/>
      <c r="M2722" s="377"/>
      <c r="N2722" s="377"/>
      <c r="O2722" s="382"/>
      <c r="P2722" s="382"/>
      <c r="Q2722" s="382"/>
    </row>
    <row r="2723" spans="1:17" s="15" customFormat="1" x14ac:dyDescent="0.2">
      <c r="A2723" s="384" t="s">
        <v>1828</v>
      </c>
      <c r="B2723" s="380"/>
      <c r="C2723" s="334" t="s">
        <v>2712</v>
      </c>
      <c r="D2723" s="377"/>
      <c r="E2723" s="377"/>
      <c r="F2723" s="378"/>
      <c r="G2723" s="377"/>
      <c r="H2723" s="377"/>
      <c r="I2723" s="399"/>
      <c r="J2723" s="377"/>
      <c r="K2723" s="377"/>
      <c r="L2723" s="378"/>
      <c r="M2723" s="377"/>
      <c r="N2723" s="377"/>
      <c r="O2723" s="382"/>
      <c r="P2723" s="382"/>
      <c r="Q2723" s="382"/>
    </row>
    <row r="2724" spans="1:17" s="15" customFormat="1" x14ac:dyDescent="0.2">
      <c r="A2724" s="384" t="s">
        <v>1766</v>
      </c>
      <c r="B2724" s="380"/>
      <c r="C2724" s="334" t="s">
        <v>1883</v>
      </c>
      <c r="D2724" s="377"/>
      <c r="E2724" s="377"/>
      <c r="F2724" s="378"/>
      <c r="G2724" s="377"/>
      <c r="H2724" s="377"/>
      <c r="I2724" s="399"/>
      <c r="J2724" s="377"/>
      <c r="K2724" s="377"/>
      <c r="L2724" s="378"/>
      <c r="M2724" s="377"/>
      <c r="N2724" s="377"/>
      <c r="O2724" s="382"/>
      <c r="P2724" s="382"/>
      <c r="Q2724" s="382"/>
    </row>
    <row r="2725" spans="1:17" s="15" customFormat="1" x14ac:dyDescent="0.2">
      <c r="A2725" s="334" t="s">
        <v>1661</v>
      </c>
      <c r="B2725" s="380"/>
      <c r="C2725" s="334" t="s">
        <v>3136</v>
      </c>
      <c r="D2725" s="377"/>
      <c r="E2725" s="377"/>
      <c r="F2725" s="378"/>
      <c r="G2725" s="377"/>
      <c r="H2725" s="377"/>
      <c r="I2725" s="399"/>
      <c r="J2725" s="377"/>
      <c r="K2725" s="377"/>
      <c r="L2725" s="378"/>
      <c r="M2725" s="377"/>
      <c r="N2725" s="377"/>
      <c r="O2725" s="382"/>
      <c r="P2725" s="382"/>
      <c r="Q2725" s="382"/>
    </row>
    <row r="2726" spans="1:17" s="15" customFormat="1" x14ac:dyDescent="0.2">
      <c r="A2726" s="384" t="s">
        <v>1751</v>
      </c>
      <c r="B2726" s="380"/>
      <c r="C2726" s="334" t="s">
        <v>3138</v>
      </c>
      <c r="D2726" s="377"/>
      <c r="E2726" s="377"/>
      <c r="F2726" s="378"/>
      <c r="G2726" s="377"/>
      <c r="H2726" s="377"/>
      <c r="I2726" s="399"/>
      <c r="J2726" s="377"/>
      <c r="K2726" s="377"/>
      <c r="L2726" s="378"/>
      <c r="M2726" s="377"/>
      <c r="N2726" s="377"/>
      <c r="O2726" s="382"/>
      <c r="P2726" s="382"/>
      <c r="Q2726" s="382"/>
    </row>
    <row r="2727" spans="1:17" s="15" customFormat="1" x14ac:dyDescent="0.2">
      <c r="A2727" s="384" t="s">
        <v>1752</v>
      </c>
      <c r="B2727" s="380"/>
      <c r="C2727" s="334" t="s">
        <v>367</v>
      </c>
      <c r="D2727" s="377"/>
      <c r="E2727" s="377"/>
      <c r="F2727" s="378"/>
      <c r="G2727" s="377"/>
      <c r="H2727" s="377"/>
      <c r="I2727" s="399"/>
      <c r="J2727" s="377"/>
      <c r="K2727" s="377"/>
      <c r="L2727" s="378"/>
      <c r="M2727" s="377"/>
      <c r="N2727" s="377"/>
      <c r="O2727" s="382"/>
      <c r="P2727" s="382"/>
      <c r="Q2727" s="382"/>
    </row>
    <row r="2728" spans="1:17" s="15" customFormat="1" x14ac:dyDescent="0.2">
      <c r="A2728" s="334" t="s">
        <v>1577</v>
      </c>
      <c r="B2728" s="380"/>
      <c r="C2728" s="334" t="s">
        <v>1815</v>
      </c>
      <c r="D2728" s="377"/>
      <c r="E2728" s="377"/>
      <c r="F2728" s="378"/>
      <c r="G2728" s="377"/>
      <c r="H2728" s="377"/>
      <c r="I2728" s="399"/>
      <c r="J2728" s="377"/>
      <c r="K2728" s="377"/>
      <c r="L2728" s="378"/>
      <c r="M2728" s="377"/>
      <c r="N2728" s="377"/>
      <c r="O2728" s="382"/>
      <c r="P2728" s="382"/>
      <c r="Q2728" s="382"/>
    </row>
    <row r="2729" spans="1:17" s="15" customFormat="1" x14ac:dyDescent="0.2">
      <c r="A2729" s="334" t="s">
        <v>1734</v>
      </c>
      <c r="B2729" s="380"/>
      <c r="C2729" s="334" t="s">
        <v>1746</v>
      </c>
      <c r="D2729" s="377"/>
      <c r="E2729" s="377"/>
      <c r="F2729" s="378">
        <v>500</v>
      </c>
      <c r="G2729" s="377"/>
      <c r="H2729" s="377"/>
      <c r="I2729" s="399"/>
      <c r="J2729" s="377"/>
      <c r="K2729" s="377"/>
      <c r="L2729" s="378"/>
      <c r="M2729" s="377"/>
      <c r="N2729" s="377"/>
      <c r="O2729" s="382"/>
      <c r="P2729" s="382"/>
      <c r="Q2729" s="382"/>
    </row>
    <row r="2730" spans="1:17" s="15" customFormat="1" x14ac:dyDescent="0.2">
      <c r="A2730" s="334" t="s">
        <v>1571</v>
      </c>
      <c r="B2730" s="380"/>
      <c r="C2730" s="334" t="s">
        <v>3</v>
      </c>
      <c r="D2730" s="377"/>
      <c r="E2730" s="377"/>
      <c r="F2730" s="378"/>
      <c r="G2730" s="377"/>
      <c r="H2730" s="377"/>
      <c r="I2730" s="399"/>
      <c r="J2730" s="377"/>
      <c r="K2730" s="377"/>
      <c r="L2730" s="378"/>
      <c r="M2730" s="377"/>
      <c r="N2730" s="377"/>
      <c r="O2730" s="382"/>
      <c r="P2730" s="382"/>
      <c r="Q2730" s="382"/>
    </row>
    <row r="2731" spans="1:17" s="15" customFormat="1" x14ac:dyDescent="0.2">
      <c r="A2731" s="334" t="s">
        <v>1578</v>
      </c>
      <c r="B2731" s="380"/>
      <c r="C2731" s="334" t="s">
        <v>22</v>
      </c>
      <c r="D2731" s="377"/>
      <c r="E2731" s="377"/>
      <c r="F2731" s="378"/>
      <c r="G2731" s="377"/>
      <c r="H2731" s="377"/>
      <c r="I2731" s="399"/>
      <c r="J2731" s="377"/>
      <c r="K2731" s="377"/>
      <c r="L2731" s="378"/>
      <c r="M2731" s="377"/>
      <c r="N2731" s="377"/>
      <c r="O2731" s="382"/>
      <c r="P2731" s="382"/>
      <c r="Q2731" s="382"/>
    </row>
    <row r="2732" spans="1:17" s="15" customFormat="1" x14ac:dyDescent="0.2">
      <c r="A2732" s="334" t="s">
        <v>1738</v>
      </c>
      <c r="B2732" s="380"/>
      <c r="C2732" s="334" t="s">
        <v>1591</v>
      </c>
      <c r="D2732" s="377">
        <v>100</v>
      </c>
      <c r="E2732" s="377">
        <v>225</v>
      </c>
      <c r="F2732" s="378">
        <v>250</v>
      </c>
      <c r="G2732" s="377"/>
      <c r="H2732" s="377">
        <v>90</v>
      </c>
      <c r="I2732" s="399"/>
      <c r="J2732" s="377">
        <v>90</v>
      </c>
      <c r="K2732" s="377">
        <v>226</v>
      </c>
      <c r="L2732" s="378">
        <v>350</v>
      </c>
      <c r="M2732" s="377"/>
      <c r="N2732" s="377">
        <v>90</v>
      </c>
      <c r="O2732" s="382"/>
      <c r="P2732" s="382"/>
      <c r="Q2732" s="382"/>
    </row>
    <row r="2733" spans="1:17" s="15" customFormat="1" x14ac:dyDescent="0.2">
      <c r="A2733" s="334" t="s">
        <v>1727</v>
      </c>
      <c r="B2733" s="380"/>
      <c r="C2733" s="334" t="s">
        <v>307</v>
      </c>
      <c r="D2733" s="377">
        <v>50</v>
      </c>
      <c r="E2733" s="377">
        <v>275</v>
      </c>
      <c r="F2733" s="378">
        <v>200</v>
      </c>
      <c r="G2733" s="377"/>
      <c r="H2733" s="377"/>
      <c r="I2733" s="399"/>
      <c r="J2733" s="377">
        <v>45</v>
      </c>
      <c r="K2733" s="377">
        <v>271</v>
      </c>
      <c r="L2733" s="378">
        <v>361</v>
      </c>
      <c r="M2733" s="377"/>
      <c r="N2733" s="377"/>
      <c r="O2733" s="382"/>
      <c r="P2733" s="382"/>
      <c r="Q2733" s="382"/>
    </row>
    <row r="2734" spans="1:17" s="15" customFormat="1" x14ac:dyDescent="0.2">
      <c r="A2734" s="334" t="s">
        <v>1728</v>
      </c>
      <c r="B2734" s="380"/>
      <c r="C2734" s="334" t="s">
        <v>310</v>
      </c>
      <c r="D2734" s="377">
        <v>200</v>
      </c>
      <c r="E2734" s="377">
        <v>370</v>
      </c>
      <c r="F2734" s="378">
        <v>350</v>
      </c>
      <c r="G2734" s="377"/>
      <c r="H2734" s="377">
        <v>200</v>
      </c>
      <c r="I2734" s="399"/>
      <c r="J2734" s="377">
        <v>180</v>
      </c>
      <c r="K2734" s="377">
        <v>361</v>
      </c>
      <c r="L2734" s="378">
        <v>361</v>
      </c>
      <c r="M2734" s="377"/>
      <c r="N2734" s="377">
        <v>181</v>
      </c>
      <c r="O2734" s="382"/>
      <c r="P2734" s="382"/>
      <c r="Q2734" s="382"/>
    </row>
    <row r="2735" spans="1:17" s="15" customFormat="1" x14ac:dyDescent="0.2">
      <c r="A2735" s="334" t="s">
        <v>1729</v>
      </c>
      <c r="B2735" s="380"/>
      <c r="C2735" s="380" t="s">
        <v>1551</v>
      </c>
      <c r="D2735" s="377">
        <f>-602-1000</f>
        <v>-1602</v>
      </c>
      <c r="E2735" s="377">
        <f>-230.48-2000</f>
        <v>-2230.48</v>
      </c>
      <c r="F2735" s="378">
        <f>-2318-2000</f>
        <v>-4318</v>
      </c>
      <c r="G2735" s="377"/>
      <c r="H2735" s="377">
        <v>-1390</v>
      </c>
      <c r="I2735" s="399"/>
      <c r="J2735" s="377">
        <v>80</v>
      </c>
      <c r="K2735" s="377">
        <v>13</v>
      </c>
      <c r="L2735" s="378">
        <v>36</v>
      </c>
      <c r="M2735" s="377"/>
      <c r="N2735" s="377"/>
      <c r="O2735" s="382"/>
      <c r="P2735" s="382"/>
      <c r="Q2735" s="382"/>
    </row>
    <row r="2736" spans="1:17" s="15" customFormat="1" x14ac:dyDescent="0.2">
      <c r="A2736" s="334" t="s">
        <v>1735</v>
      </c>
      <c r="B2736" s="380"/>
      <c r="C2736" s="380" t="s">
        <v>194</v>
      </c>
      <c r="D2736" s="377"/>
      <c r="E2736" s="377"/>
      <c r="F2736" s="378"/>
      <c r="G2736" s="377"/>
      <c r="H2736" s="377"/>
      <c r="I2736" s="399"/>
      <c r="J2736" s="377">
        <v>70</v>
      </c>
      <c r="K2736" s="377">
        <v>22</v>
      </c>
      <c r="L2736" s="378"/>
      <c r="M2736" s="377"/>
      <c r="N2736" s="377">
        <v>45</v>
      </c>
      <c r="O2736" s="382"/>
      <c r="P2736" s="382"/>
      <c r="Q2736" s="382"/>
    </row>
    <row r="2737" spans="1:17" s="15" customFormat="1" x14ac:dyDescent="0.2">
      <c r="A2737" s="334" t="s">
        <v>1741</v>
      </c>
      <c r="B2737" s="380"/>
      <c r="C2737" s="334" t="s">
        <v>1748</v>
      </c>
      <c r="D2737" s="377"/>
      <c r="E2737" s="377"/>
      <c r="F2737" s="378"/>
      <c r="G2737" s="377"/>
      <c r="H2737" s="377"/>
      <c r="I2737" s="399"/>
      <c r="J2737" s="377"/>
      <c r="K2737" s="377"/>
      <c r="L2737" s="378"/>
      <c r="M2737" s="377"/>
      <c r="N2737" s="377"/>
      <c r="O2737" s="382"/>
      <c r="P2737" s="382"/>
      <c r="Q2737" s="382"/>
    </row>
    <row r="2738" spans="1:17" s="15" customFormat="1" x14ac:dyDescent="0.2">
      <c r="A2738" s="334" t="s">
        <v>1742</v>
      </c>
      <c r="B2738" s="380"/>
      <c r="C2738" s="334" t="s">
        <v>1553</v>
      </c>
      <c r="D2738" s="377"/>
      <c r="E2738" s="377"/>
      <c r="F2738" s="378"/>
      <c r="G2738" s="377"/>
      <c r="H2738" s="377"/>
      <c r="I2738" s="399"/>
      <c r="J2738" s="377"/>
      <c r="K2738" s="377"/>
      <c r="L2738" s="378"/>
      <c r="M2738" s="377"/>
      <c r="N2738" s="377"/>
      <c r="O2738" s="382"/>
      <c r="P2738" s="382"/>
      <c r="Q2738" s="382"/>
    </row>
    <row r="2739" spans="1:17" s="15" customFormat="1" x14ac:dyDescent="0.2">
      <c r="A2739" s="334" t="s">
        <v>1584</v>
      </c>
      <c r="B2739" s="380"/>
      <c r="C2739" s="334" t="s">
        <v>0</v>
      </c>
      <c r="D2739" s="377"/>
      <c r="E2739" s="377"/>
      <c r="F2739" s="378"/>
      <c r="G2739" s="377"/>
      <c r="H2739" s="377"/>
      <c r="I2739" s="399"/>
      <c r="J2739" s="377"/>
      <c r="K2739" s="377"/>
      <c r="L2739" s="378"/>
      <c r="M2739" s="377"/>
      <c r="N2739" s="377"/>
      <c r="O2739" s="382"/>
      <c r="P2739" s="382"/>
      <c r="Q2739" s="382"/>
    </row>
    <row r="2740" spans="1:17" s="15" customFormat="1" x14ac:dyDescent="0.2">
      <c r="A2740" s="334" t="s">
        <v>1580</v>
      </c>
      <c r="B2740" s="380"/>
      <c r="C2740" s="334" t="s">
        <v>1935</v>
      </c>
      <c r="D2740" s="377"/>
      <c r="E2740" s="377"/>
      <c r="F2740" s="378"/>
      <c r="G2740" s="377"/>
      <c r="H2740" s="377"/>
      <c r="I2740" s="399"/>
      <c r="J2740" s="377"/>
      <c r="K2740" s="377"/>
      <c r="L2740" s="378"/>
      <c r="M2740" s="377"/>
      <c r="N2740" s="377"/>
      <c r="O2740" s="382"/>
      <c r="P2740" s="382"/>
      <c r="Q2740" s="382"/>
    </row>
    <row r="2741" spans="1:17" s="15" customFormat="1" x14ac:dyDescent="0.2">
      <c r="A2741" s="334" t="s">
        <v>1572</v>
      </c>
      <c r="B2741" s="380"/>
      <c r="C2741" s="334" t="s">
        <v>3134</v>
      </c>
      <c r="D2741" s="377"/>
      <c r="E2741" s="377">
        <v>135</v>
      </c>
      <c r="F2741" s="378"/>
      <c r="G2741" s="377"/>
      <c r="H2741" s="377"/>
      <c r="I2741" s="399"/>
      <c r="J2741" s="377"/>
      <c r="K2741" s="377">
        <v>135</v>
      </c>
      <c r="L2741" s="378"/>
      <c r="M2741" s="377"/>
      <c r="N2741" s="377"/>
      <c r="O2741" s="382"/>
      <c r="P2741" s="382"/>
      <c r="Q2741" s="382"/>
    </row>
    <row r="2742" spans="1:17" s="15" customFormat="1" x14ac:dyDescent="0.2">
      <c r="A2742" s="334" t="s">
        <v>1730</v>
      </c>
      <c r="B2742" s="380"/>
      <c r="C2742" s="334" t="s">
        <v>1985</v>
      </c>
      <c r="D2742" s="377">
        <v>250</v>
      </c>
      <c r="E2742" s="377">
        <v>2000</v>
      </c>
      <c r="F2742" s="378"/>
      <c r="G2742" s="377"/>
      <c r="H2742" s="377">
        <v>1085</v>
      </c>
      <c r="I2742" s="399"/>
      <c r="J2742" s="377">
        <v>230</v>
      </c>
      <c r="K2742" s="377">
        <v>1000</v>
      </c>
      <c r="L2742" s="378"/>
      <c r="M2742" s="377"/>
      <c r="N2742" s="377">
        <v>1085</v>
      </c>
      <c r="O2742" s="382"/>
      <c r="P2742" s="382"/>
      <c r="Q2742" s="382"/>
    </row>
    <row r="2743" spans="1:17" s="15" customFormat="1" x14ac:dyDescent="0.2">
      <c r="A2743" s="334" t="s">
        <v>1566</v>
      </c>
      <c r="B2743" s="380"/>
      <c r="C2743" s="334" t="s">
        <v>366</v>
      </c>
      <c r="D2743" s="377">
        <v>360</v>
      </c>
      <c r="E2743" s="377">
        <v>1000</v>
      </c>
      <c r="F2743" s="378"/>
      <c r="G2743" s="377"/>
      <c r="H2743" s="377">
        <v>1700</v>
      </c>
      <c r="I2743" s="399"/>
      <c r="J2743" s="377">
        <v>360</v>
      </c>
      <c r="K2743" s="377">
        <v>1900</v>
      </c>
      <c r="L2743" s="378"/>
      <c r="M2743" s="377"/>
      <c r="N2743" s="377">
        <v>1600</v>
      </c>
      <c r="O2743" s="382"/>
      <c r="P2743" s="382"/>
      <c r="Q2743" s="382"/>
    </row>
    <row r="2744" spans="1:17" s="15" customFormat="1" x14ac:dyDescent="0.2">
      <c r="A2744" s="334" t="s">
        <v>1755</v>
      </c>
      <c r="B2744" s="380"/>
      <c r="C2744" s="380" t="s">
        <v>1986</v>
      </c>
      <c r="D2744" s="377"/>
      <c r="E2744" s="377"/>
      <c r="F2744" s="378"/>
      <c r="G2744" s="377"/>
      <c r="H2744" s="377"/>
      <c r="I2744" s="399"/>
      <c r="J2744" s="377"/>
      <c r="K2744" s="377"/>
      <c r="L2744" s="378"/>
      <c r="M2744" s="377"/>
      <c r="N2744" s="377"/>
      <c r="O2744" s="382"/>
      <c r="P2744" s="382"/>
      <c r="Q2744" s="382"/>
    </row>
    <row r="2745" spans="1:17" s="15" customFormat="1" x14ac:dyDescent="0.2">
      <c r="A2745" s="334" t="s">
        <v>1587</v>
      </c>
      <c r="B2745" s="380"/>
      <c r="C2745" s="334" t="s">
        <v>34</v>
      </c>
      <c r="D2745" s="377"/>
      <c r="E2745" s="377"/>
      <c r="F2745" s="378"/>
      <c r="G2745" s="377"/>
      <c r="H2745" s="377"/>
      <c r="I2745" s="399"/>
      <c r="J2745" s="377"/>
      <c r="K2745" s="377"/>
      <c r="L2745" s="378"/>
      <c r="M2745" s="377"/>
      <c r="N2745" s="377"/>
      <c r="O2745" s="382"/>
      <c r="P2745" s="382"/>
      <c r="Q2745" s="382"/>
    </row>
    <row r="2746" spans="1:17" s="15" customFormat="1" x14ac:dyDescent="0.2">
      <c r="A2746" s="384" t="s">
        <v>1962</v>
      </c>
      <c r="B2746" s="380"/>
      <c r="C2746" s="380" t="s">
        <v>572</v>
      </c>
      <c r="D2746" s="377"/>
      <c r="E2746" s="377">
        <v>1500</v>
      </c>
      <c r="F2746" s="378"/>
      <c r="G2746" s="377"/>
      <c r="H2746" s="377">
        <v>550</v>
      </c>
      <c r="I2746" s="399"/>
      <c r="J2746" s="377"/>
      <c r="K2746" s="377"/>
      <c r="L2746" s="378"/>
      <c r="M2746" s="377"/>
      <c r="N2746" s="377">
        <v>550</v>
      </c>
      <c r="O2746" s="382"/>
      <c r="P2746" s="382"/>
      <c r="Q2746" s="382"/>
    </row>
    <row r="2747" spans="1:17" s="15" customFormat="1" x14ac:dyDescent="0.2">
      <c r="A2747" s="334" t="s">
        <v>342</v>
      </c>
      <c r="B2747" s="380"/>
      <c r="C2747" s="334" t="s">
        <v>342</v>
      </c>
      <c r="D2747" s="410" t="s">
        <v>342</v>
      </c>
      <c r="E2747" s="410" t="s">
        <v>342</v>
      </c>
      <c r="F2747" s="445" t="s">
        <v>342</v>
      </c>
      <c r="G2747" s="410"/>
      <c r="H2747" s="410" t="s">
        <v>342</v>
      </c>
      <c r="I2747" s="385"/>
      <c r="J2747" s="410" t="s">
        <v>342</v>
      </c>
      <c r="K2747" s="410" t="s">
        <v>342</v>
      </c>
      <c r="L2747" s="445" t="s">
        <v>342</v>
      </c>
      <c r="M2747" s="410"/>
      <c r="N2747" s="410" t="s">
        <v>342</v>
      </c>
      <c r="O2747" s="382"/>
      <c r="P2747" s="382"/>
      <c r="Q2747" s="382"/>
    </row>
    <row r="2748" spans="1:17" s="15" customFormat="1" ht="15.75" thickBot="1" x14ac:dyDescent="0.25">
      <c r="A2748" s="334" t="s">
        <v>342</v>
      </c>
      <c r="B2748" s="380"/>
      <c r="C2748" s="334" t="s">
        <v>342</v>
      </c>
      <c r="D2748" s="411">
        <f>SUM(D2710:D2746)</f>
        <v>1408</v>
      </c>
      <c r="E2748" s="411">
        <f>SUM(E2710:E2746)</f>
        <v>5899.52</v>
      </c>
      <c r="F2748" s="414">
        <f>SUM(F2710:F2746)</f>
        <v>7272</v>
      </c>
      <c r="G2748" s="411"/>
      <c r="H2748" s="411">
        <f>SUM(H2710:H2746)</f>
        <v>5560</v>
      </c>
      <c r="I2748" s="385"/>
      <c r="J2748" s="411">
        <f>SUM(J2710:J2746)</f>
        <v>3010</v>
      </c>
      <c r="K2748" s="411">
        <f>SUM(K2710:K2746)</f>
        <v>6585</v>
      </c>
      <c r="L2748" s="414">
        <f>SUM(L2710:L2746)</f>
        <v>11888</v>
      </c>
      <c r="M2748" s="411"/>
      <c r="N2748" s="411">
        <f>SUM(N2710:N2746)</f>
        <v>6876</v>
      </c>
      <c r="O2748" s="382"/>
      <c r="P2748" s="382"/>
      <c r="Q2748" s="382"/>
    </row>
    <row r="2749" spans="1:17" s="15" customFormat="1" x14ac:dyDescent="0.2">
      <c r="A2749" s="385"/>
      <c r="B2749" s="382"/>
      <c r="C2749" s="385"/>
      <c r="D2749" s="385"/>
      <c r="E2749" s="399"/>
      <c r="F2749" s="416"/>
      <c r="G2749" s="399"/>
      <c r="H2749" s="399"/>
      <c r="I2749" s="385"/>
      <c r="J2749" s="385"/>
      <c r="K2749" s="399"/>
      <c r="L2749" s="416"/>
      <c r="M2749" s="399"/>
      <c r="N2749" s="399"/>
      <c r="O2749" s="382"/>
      <c r="P2749" s="382"/>
      <c r="Q2749" s="382"/>
    </row>
    <row r="2750" spans="1:17" s="15" customFormat="1" x14ac:dyDescent="0.2">
      <c r="A2750" s="385"/>
      <c r="B2750" s="382"/>
      <c r="C2750" s="385"/>
      <c r="D2750" s="385"/>
      <c r="E2750" s="399"/>
      <c r="F2750" s="416"/>
      <c r="G2750" s="399"/>
      <c r="H2750" s="399"/>
      <c r="I2750" s="385"/>
      <c r="J2750" s="385"/>
      <c r="K2750" s="399"/>
      <c r="L2750" s="416"/>
      <c r="M2750" s="399"/>
      <c r="N2750" s="399"/>
      <c r="O2750" s="382"/>
      <c r="P2750" s="382"/>
      <c r="Q2750" s="382"/>
    </row>
    <row r="2751" spans="1:17" s="15" customFormat="1" x14ac:dyDescent="0.2">
      <c r="A2751" s="385"/>
      <c r="B2751" s="382"/>
      <c r="C2751" s="385"/>
      <c r="D2751" s="385"/>
      <c r="E2751" s="399"/>
      <c r="F2751" s="416"/>
      <c r="G2751" s="399"/>
      <c r="H2751" s="399"/>
      <c r="I2751" s="385"/>
      <c r="J2751" s="385"/>
      <c r="K2751" s="399"/>
      <c r="L2751" s="416"/>
      <c r="M2751" s="399"/>
      <c r="N2751" s="399"/>
      <c r="O2751" s="382"/>
      <c r="P2751" s="382"/>
      <c r="Q2751" s="382"/>
    </row>
    <row r="2752" spans="1:17" s="15" customFormat="1" x14ac:dyDescent="0.2">
      <c r="A2752" s="334" t="s">
        <v>1663</v>
      </c>
      <c r="B2752" s="380"/>
      <c r="C2752" s="380"/>
      <c r="D2752" s="334" t="s">
        <v>282</v>
      </c>
      <c r="E2752" s="334" t="s">
        <v>285</v>
      </c>
      <c r="F2752" s="412" t="s">
        <v>286</v>
      </c>
      <c r="G2752" s="334"/>
      <c r="H2752" s="334" t="s">
        <v>284</v>
      </c>
      <c r="I2752" s="385"/>
      <c r="J2752" s="334" t="s">
        <v>282</v>
      </c>
      <c r="K2752" s="334" t="s">
        <v>285</v>
      </c>
      <c r="L2752" s="412" t="s">
        <v>286</v>
      </c>
      <c r="M2752" s="334"/>
      <c r="N2752" s="334" t="s">
        <v>284</v>
      </c>
      <c r="O2752" s="382"/>
      <c r="P2752" s="382"/>
      <c r="Q2752" s="382"/>
    </row>
    <row r="2753" spans="1:17" s="15" customFormat="1" x14ac:dyDescent="0.2">
      <c r="A2753" s="334" t="s">
        <v>1664</v>
      </c>
      <c r="B2753" s="380"/>
      <c r="C2753" s="384"/>
      <c r="D2753" s="384" t="s">
        <v>3703</v>
      </c>
      <c r="E2753" s="384" t="s">
        <v>2933</v>
      </c>
      <c r="F2753" s="421" t="s">
        <v>2925</v>
      </c>
      <c r="G2753" s="334"/>
      <c r="H2753" s="384" t="s">
        <v>3706</v>
      </c>
      <c r="I2753" s="385"/>
      <c r="J2753" s="384" t="s">
        <v>3703</v>
      </c>
      <c r="K2753" s="384" t="s">
        <v>2933</v>
      </c>
      <c r="L2753" s="421" t="s">
        <v>2925</v>
      </c>
      <c r="M2753" s="334"/>
      <c r="N2753" s="384" t="s">
        <v>3706</v>
      </c>
      <c r="O2753" s="382"/>
      <c r="P2753" s="382"/>
      <c r="Q2753" s="382"/>
    </row>
    <row r="2754" spans="1:17" s="15" customFormat="1" x14ac:dyDescent="0.2">
      <c r="A2754" s="334" t="s">
        <v>342</v>
      </c>
      <c r="B2754" s="380"/>
      <c r="C2754" s="334" t="s">
        <v>342</v>
      </c>
      <c r="D2754" s="334" t="s">
        <v>1558</v>
      </c>
      <c r="E2754" s="334" t="s">
        <v>228</v>
      </c>
      <c r="F2754" s="389" t="s">
        <v>799</v>
      </c>
      <c r="G2754" s="334"/>
      <c r="H2754" s="334" t="s">
        <v>54</v>
      </c>
      <c r="I2754" s="385"/>
      <c r="J2754" s="334" t="s">
        <v>1558</v>
      </c>
      <c r="K2754" s="334" t="s">
        <v>228</v>
      </c>
      <c r="L2754" s="412" t="s">
        <v>799</v>
      </c>
      <c r="M2754" s="334"/>
      <c r="N2754" s="334" t="s">
        <v>54</v>
      </c>
      <c r="O2754" s="382"/>
      <c r="P2754" s="382"/>
      <c r="Q2754" s="382"/>
    </row>
    <row r="2755" spans="1:17" s="15" customFormat="1" x14ac:dyDescent="0.2">
      <c r="A2755" s="334" t="s">
        <v>1723</v>
      </c>
      <c r="B2755" s="380"/>
      <c r="C2755" s="334" t="s">
        <v>1880</v>
      </c>
      <c r="D2755" s="334" t="s">
        <v>181</v>
      </c>
      <c r="E2755" s="334" t="s">
        <v>181</v>
      </c>
      <c r="F2755" s="389" t="s">
        <v>181</v>
      </c>
      <c r="G2755" s="334"/>
      <c r="H2755" s="334" t="s">
        <v>181</v>
      </c>
      <c r="I2755" s="385"/>
      <c r="J2755" s="334" t="s">
        <v>181</v>
      </c>
      <c r="K2755" s="334" t="s">
        <v>181</v>
      </c>
      <c r="L2755" s="412" t="s">
        <v>181</v>
      </c>
      <c r="M2755" s="334"/>
      <c r="N2755" s="334" t="s">
        <v>181</v>
      </c>
      <c r="O2755" s="382"/>
      <c r="P2755" s="382"/>
      <c r="Q2755" s="382"/>
    </row>
    <row r="2756" spans="1:17" s="15" customFormat="1" x14ac:dyDescent="0.2">
      <c r="A2756" s="380"/>
      <c r="B2756" s="380"/>
      <c r="C2756" s="334" t="s">
        <v>342</v>
      </c>
      <c r="D2756" s="334" t="s">
        <v>342</v>
      </c>
      <c r="E2756" s="334" t="s">
        <v>342</v>
      </c>
      <c r="F2756" s="412" t="s">
        <v>342</v>
      </c>
      <c r="G2756" s="334"/>
      <c r="H2756" s="334" t="s">
        <v>342</v>
      </c>
      <c r="I2756" s="385"/>
      <c r="J2756" s="334" t="s">
        <v>342</v>
      </c>
      <c r="K2756" s="334" t="s">
        <v>342</v>
      </c>
      <c r="L2756" s="412" t="s">
        <v>342</v>
      </c>
      <c r="M2756" s="334"/>
      <c r="N2756" s="334" t="s">
        <v>342</v>
      </c>
      <c r="O2756" s="382"/>
      <c r="P2756" s="382"/>
      <c r="Q2756" s="382"/>
    </row>
    <row r="2757" spans="1:17" s="15" customFormat="1" x14ac:dyDescent="0.2">
      <c r="A2757" s="334" t="s">
        <v>1796</v>
      </c>
      <c r="B2757" s="380"/>
      <c r="C2757" s="334" t="s">
        <v>26</v>
      </c>
      <c r="D2757" s="377"/>
      <c r="E2757" s="377"/>
      <c r="F2757" s="378"/>
      <c r="G2757" s="377"/>
      <c r="H2757" s="377"/>
      <c r="I2757" s="399"/>
      <c r="J2757" s="377"/>
      <c r="K2757" s="377"/>
      <c r="L2757" s="378"/>
      <c r="M2757" s="377"/>
      <c r="N2757" s="377"/>
      <c r="O2757" s="382"/>
      <c r="P2757" s="382"/>
      <c r="Q2757" s="382"/>
    </row>
    <row r="2758" spans="1:17" s="15" customFormat="1" x14ac:dyDescent="0.2">
      <c r="A2758" s="334" t="s">
        <v>1733</v>
      </c>
      <c r="B2758" s="380"/>
      <c r="C2758" s="334" t="s">
        <v>27</v>
      </c>
      <c r="D2758" s="377"/>
      <c r="E2758" s="377"/>
      <c r="F2758" s="378"/>
      <c r="G2758" s="377"/>
      <c r="H2758" s="377"/>
      <c r="I2758" s="399"/>
      <c r="J2758" s="377"/>
      <c r="K2758" s="377"/>
      <c r="L2758" s="378"/>
      <c r="M2758" s="377"/>
      <c r="N2758" s="377"/>
      <c r="O2758" s="382"/>
      <c r="P2758" s="382"/>
      <c r="Q2758" s="382"/>
    </row>
    <row r="2759" spans="1:17" s="15" customFormat="1" x14ac:dyDescent="0.2">
      <c r="A2759" s="334" t="s">
        <v>1569</v>
      </c>
      <c r="B2759" s="380"/>
      <c r="C2759" s="334" t="s">
        <v>1888</v>
      </c>
      <c r="D2759" s="377"/>
      <c r="E2759" s="377"/>
      <c r="F2759" s="378"/>
      <c r="G2759" s="377"/>
      <c r="H2759" s="377"/>
      <c r="I2759" s="399"/>
      <c r="J2759" s="377"/>
      <c r="K2759" s="377"/>
      <c r="L2759" s="378"/>
      <c r="M2759" s="377"/>
      <c r="N2759" s="377"/>
      <c r="O2759" s="382"/>
      <c r="P2759" s="382"/>
      <c r="Q2759" s="382"/>
    </row>
    <row r="2760" spans="1:17" s="15" customFormat="1" x14ac:dyDescent="0.2">
      <c r="A2760" s="334" t="s">
        <v>1724</v>
      </c>
      <c r="B2760" s="380"/>
      <c r="C2760" s="334" t="s">
        <v>1881</v>
      </c>
      <c r="D2760" s="377">
        <v>3500</v>
      </c>
      <c r="E2760" s="377">
        <v>185</v>
      </c>
      <c r="F2760" s="378">
        <v>200</v>
      </c>
      <c r="G2760" s="377"/>
      <c r="H2760" s="377">
        <v>90</v>
      </c>
      <c r="I2760" s="399"/>
      <c r="J2760" s="377">
        <v>3200</v>
      </c>
      <c r="K2760" s="377">
        <v>185</v>
      </c>
      <c r="L2760" s="378">
        <v>200</v>
      </c>
      <c r="M2760" s="377"/>
      <c r="N2760" s="377">
        <v>90</v>
      </c>
      <c r="O2760" s="382"/>
      <c r="P2760" s="382"/>
      <c r="Q2760" s="382"/>
    </row>
    <row r="2761" spans="1:17" s="15" customFormat="1" x14ac:dyDescent="0.2">
      <c r="A2761" s="334" t="s">
        <v>1736</v>
      </c>
      <c r="B2761" s="380"/>
      <c r="C2761" s="334" t="s">
        <v>1747</v>
      </c>
      <c r="D2761" s="377">
        <v>600</v>
      </c>
      <c r="E2761" s="377"/>
      <c r="F2761" s="378"/>
      <c r="G2761" s="377"/>
      <c r="H2761" s="377"/>
      <c r="I2761" s="399"/>
      <c r="J2761" s="377">
        <v>800</v>
      </c>
      <c r="K2761" s="377"/>
      <c r="L2761" s="378">
        <v>100</v>
      </c>
      <c r="M2761" s="377"/>
      <c r="N2761" s="377"/>
      <c r="O2761" s="382"/>
      <c r="P2761" s="382"/>
      <c r="Q2761" s="382"/>
    </row>
    <row r="2762" spans="1:17" s="15" customFormat="1" x14ac:dyDescent="0.2">
      <c r="A2762" s="334" t="s">
        <v>1744</v>
      </c>
      <c r="B2762" s="380"/>
      <c r="C2762" s="334" t="s">
        <v>1254</v>
      </c>
      <c r="D2762" s="377">
        <v>1000</v>
      </c>
      <c r="E2762" s="377"/>
      <c r="F2762" s="378">
        <v>200</v>
      </c>
      <c r="G2762" s="377"/>
      <c r="H2762" s="377"/>
      <c r="I2762" s="399"/>
      <c r="J2762" s="377">
        <v>800</v>
      </c>
      <c r="K2762" s="377"/>
      <c r="L2762" s="378">
        <v>100</v>
      </c>
      <c r="M2762" s="377"/>
      <c r="N2762" s="377"/>
      <c r="O2762" s="382"/>
      <c r="P2762" s="382"/>
      <c r="Q2762" s="382"/>
    </row>
    <row r="2763" spans="1:17" s="15" customFormat="1" x14ac:dyDescent="0.2">
      <c r="A2763" s="334" t="s">
        <v>1582</v>
      </c>
      <c r="B2763" s="380"/>
      <c r="C2763" s="334" t="s">
        <v>3135</v>
      </c>
      <c r="D2763" s="377">
        <v>800</v>
      </c>
      <c r="E2763" s="377"/>
      <c r="F2763" s="378">
        <v>902</v>
      </c>
      <c r="G2763" s="377"/>
      <c r="H2763" s="377"/>
      <c r="I2763" s="399"/>
      <c r="J2763" s="377">
        <v>700</v>
      </c>
      <c r="K2763" s="377"/>
      <c r="L2763" s="378">
        <v>902</v>
      </c>
      <c r="M2763" s="377"/>
      <c r="N2763" s="377"/>
      <c r="O2763" s="382"/>
      <c r="P2763" s="382"/>
      <c r="Q2763" s="382"/>
    </row>
    <row r="2764" spans="1:17" s="15" customFormat="1" x14ac:dyDescent="0.2">
      <c r="A2764" s="334" t="s">
        <v>1575</v>
      </c>
      <c r="B2764" s="380"/>
      <c r="C2764" s="334" t="s">
        <v>1889</v>
      </c>
      <c r="D2764" s="377">
        <v>400</v>
      </c>
      <c r="E2764" s="377"/>
      <c r="F2764" s="378"/>
      <c r="G2764" s="377"/>
      <c r="H2764" s="377"/>
      <c r="I2764" s="399"/>
      <c r="J2764" s="377">
        <v>400</v>
      </c>
      <c r="K2764" s="377"/>
      <c r="L2764" s="378"/>
      <c r="M2764" s="377"/>
      <c r="N2764" s="377"/>
      <c r="O2764" s="382"/>
      <c r="P2764" s="382"/>
      <c r="Q2764" s="382"/>
    </row>
    <row r="2765" spans="1:17" s="15" customFormat="1" x14ac:dyDescent="0.2">
      <c r="A2765" s="334" t="s">
        <v>1725</v>
      </c>
      <c r="B2765" s="380"/>
      <c r="C2765" s="334" t="s">
        <v>1890</v>
      </c>
      <c r="D2765" s="377">
        <v>500</v>
      </c>
      <c r="E2765" s="377"/>
      <c r="F2765" s="378"/>
      <c r="G2765" s="377"/>
      <c r="H2765" s="377">
        <v>500</v>
      </c>
      <c r="I2765" s="399"/>
      <c r="J2765" s="377">
        <v>500</v>
      </c>
      <c r="K2765" s="377"/>
      <c r="L2765" s="378"/>
      <c r="M2765" s="377"/>
      <c r="N2765" s="377">
        <v>500</v>
      </c>
      <c r="O2765" s="382"/>
      <c r="P2765" s="382"/>
      <c r="Q2765" s="382"/>
    </row>
    <row r="2766" spans="1:17" s="15" customFormat="1" x14ac:dyDescent="0.2">
      <c r="A2766" s="334" t="s">
        <v>1565</v>
      </c>
      <c r="B2766" s="380"/>
      <c r="C2766" s="334" t="s">
        <v>1927</v>
      </c>
      <c r="D2766" s="377">
        <v>100</v>
      </c>
      <c r="E2766" s="377"/>
      <c r="F2766" s="378"/>
      <c r="G2766" s="377"/>
      <c r="H2766" s="377"/>
      <c r="I2766" s="399"/>
      <c r="J2766" s="377">
        <v>100</v>
      </c>
      <c r="K2766" s="377"/>
      <c r="L2766" s="378"/>
      <c r="M2766" s="377"/>
      <c r="N2766" s="377"/>
      <c r="O2766" s="382"/>
      <c r="P2766" s="382"/>
      <c r="Q2766" s="382"/>
    </row>
    <row r="2767" spans="1:17" s="15" customFormat="1" x14ac:dyDescent="0.2">
      <c r="A2767" s="334" t="s">
        <v>1737</v>
      </c>
      <c r="B2767" s="380"/>
      <c r="C2767" s="334" t="s">
        <v>1984</v>
      </c>
      <c r="D2767" s="377">
        <v>340</v>
      </c>
      <c r="E2767" s="377">
        <v>90</v>
      </c>
      <c r="F2767" s="378">
        <v>180</v>
      </c>
      <c r="G2767" s="377"/>
      <c r="H2767" s="377">
        <v>45</v>
      </c>
      <c r="I2767" s="399"/>
      <c r="J2767" s="377">
        <v>340</v>
      </c>
      <c r="K2767" s="377">
        <v>90</v>
      </c>
      <c r="L2767" s="378">
        <v>180</v>
      </c>
      <c r="M2767" s="377"/>
      <c r="N2767" s="377">
        <v>45</v>
      </c>
      <c r="O2767" s="382"/>
      <c r="P2767" s="382"/>
      <c r="Q2767" s="382"/>
    </row>
    <row r="2768" spans="1:17" s="15" customFormat="1" x14ac:dyDescent="0.2">
      <c r="A2768" s="334" t="s">
        <v>1726</v>
      </c>
      <c r="B2768" s="380"/>
      <c r="C2768" s="334" t="s">
        <v>1117</v>
      </c>
      <c r="D2768" s="377"/>
      <c r="E2768" s="377"/>
      <c r="F2768" s="378"/>
      <c r="G2768" s="377"/>
      <c r="H2768" s="377"/>
      <c r="I2768" s="399"/>
      <c r="J2768" s="377"/>
      <c r="K2768" s="377"/>
      <c r="L2768" s="378"/>
      <c r="M2768" s="377"/>
      <c r="N2768" s="377"/>
      <c r="O2768" s="382"/>
      <c r="P2768" s="382"/>
      <c r="Q2768" s="382"/>
    </row>
    <row r="2769" spans="1:17" s="15" customFormat="1" x14ac:dyDescent="0.2">
      <c r="A2769" s="334" t="s">
        <v>1661</v>
      </c>
      <c r="B2769" s="380"/>
      <c r="C2769" s="334" t="s">
        <v>3136</v>
      </c>
      <c r="D2769" s="377"/>
      <c r="E2769" s="377"/>
      <c r="F2769" s="378"/>
      <c r="G2769" s="377"/>
      <c r="H2769" s="377"/>
      <c r="I2769" s="399"/>
      <c r="J2769" s="377"/>
      <c r="K2769" s="377"/>
      <c r="L2769" s="378"/>
      <c r="M2769" s="377"/>
      <c r="N2769" s="377"/>
      <c r="O2769" s="382"/>
      <c r="P2769" s="382"/>
      <c r="Q2769" s="382"/>
    </row>
    <row r="2770" spans="1:17" s="15" customFormat="1" x14ac:dyDescent="0.2">
      <c r="A2770" s="334" t="s">
        <v>1577</v>
      </c>
      <c r="B2770" s="380"/>
      <c r="C2770" s="334" t="s">
        <v>1815</v>
      </c>
      <c r="D2770" s="377"/>
      <c r="E2770" s="377"/>
      <c r="F2770" s="378"/>
      <c r="G2770" s="377"/>
      <c r="H2770" s="377"/>
      <c r="I2770" s="399"/>
      <c r="J2770" s="377"/>
      <c r="K2770" s="377"/>
      <c r="L2770" s="378"/>
      <c r="M2770" s="377"/>
      <c r="N2770" s="377"/>
      <c r="O2770" s="382"/>
      <c r="P2770" s="382"/>
      <c r="Q2770" s="382"/>
    </row>
    <row r="2771" spans="1:17" s="15" customFormat="1" x14ac:dyDescent="0.2">
      <c r="A2771" s="334" t="s">
        <v>1734</v>
      </c>
      <c r="B2771" s="380"/>
      <c r="C2771" s="334" t="s">
        <v>1746</v>
      </c>
      <c r="D2771" s="377">
        <v>200</v>
      </c>
      <c r="E2771" s="377"/>
      <c r="F2771" s="378"/>
      <c r="G2771" s="377"/>
      <c r="H2771" s="377"/>
      <c r="I2771" s="399"/>
      <c r="J2771" s="377">
        <v>200</v>
      </c>
      <c r="K2771" s="377"/>
      <c r="L2771" s="378"/>
      <c r="M2771" s="377"/>
      <c r="N2771" s="377"/>
      <c r="O2771" s="382"/>
      <c r="P2771" s="382"/>
      <c r="Q2771" s="382"/>
    </row>
    <row r="2772" spans="1:17" s="15" customFormat="1" x14ac:dyDescent="0.2">
      <c r="A2772" s="334" t="s">
        <v>1571</v>
      </c>
      <c r="B2772" s="380"/>
      <c r="C2772" s="334" t="s">
        <v>3</v>
      </c>
      <c r="D2772" s="377">
        <v>200</v>
      </c>
      <c r="E2772" s="377"/>
      <c r="F2772" s="378"/>
      <c r="G2772" s="377"/>
      <c r="H2772" s="377"/>
      <c r="I2772" s="399"/>
      <c r="J2772" s="377">
        <v>200</v>
      </c>
      <c r="K2772" s="377"/>
      <c r="L2772" s="378"/>
      <c r="M2772" s="377"/>
      <c r="N2772" s="377"/>
      <c r="O2772" s="382"/>
      <c r="P2772" s="382"/>
      <c r="Q2772" s="382"/>
    </row>
    <row r="2773" spans="1:17" s="15" customFormat="1" x14ac:dyDescent="0.2">
      <c r="A2773" s="334" t="s">
        <v>1578</v>
      </c>
      <c r="B2773" s="380"/>
      <c r="C2773" s="334" t="s">
        <v>22</v>
      </c>
      <c r="D2773" s="377"/>
      <c r="E2773" s="377"/>
      <c r="F2773" s="378"/>
      <c r="G2773" s="377"/>
      <c r="H2773" s="377"/>
      <c r="I2773" s="399"/>
      <c r="J2773" s="377"/>
      <c r="K2773" s="377"/>
      <c r="L2773" s="378"/>
      <c r="M2773" s="377"/>
      <c r="N2773" s="377"/>
      <c r="O2773" s="382"/>
      <c r="P2773" s="382"/>
      <c r="Q2773" s="382"/>
    </row>
    <row r="2774" spans="1:17" s="15" customFormat="1" x14ac:dyDescent="0.2">
      <c r="A2774" s="334" t="s">
        <v>1738</v>
      </c>
      <c r="B2774" s="380"/>
      <c r="C2774" s="334" t="s">
        <v>1591</v>
      </c>
      <c r="D2774" s="377">
        <v>500</v>
      </c>
      <c r="E2774" s="377">
        <v>90</v>
      </c>
      <c r="F2774" s="378">
        <v>70</v>
      </c>
      <c r="G2774" s="377"/>
      <c r="H2774" s="377">
        <v>135</v>
      </c>
      <c r="I2774" s="399"/>
      <c r="J2774" s="377">
        <v>450</v>
      </c>
      <c r="K2774" s="377">
        <v>90</v>
      </c>
      <c r="L2774" s="378">
        <v>70</v>
      </c>
      <c r="M2774" s="377"/>
      <c r="N2774" s="377">
        <v>135</v>
      </c>
      <c r="O2774" s="382"/>
      <c r="P2774" s="382"/>
      <c r="Q2774" s="382"/>
    </row>
    <row r="2775" spans="1:17" s="15" customFormat="1" x14ac:dyDescent="0.2">
      <c r="A2775" s="334" t="s">
        <v>1727</v>
      </c>
      <c r="B2775" s="380"/>
      <c r="C2775" s="334" t="s">
        <v>307</v>
      </c>
      <c r="D2775" s="377">
        <v>300</v>
      </c>
      <c r="E2775" s="377">
        <v>45</v>
      </c>
      <c r="F2775" s="378">
        <v>50</v>
      </c>
      <c r="G2775" s="377"/>
      <c r="H2775" s="377">
        <v>180</v>
      </c>
      <c r="I2775" s="399"/>
      <c r="J2775" s="377">
        <v>300</v>
      </c>
      <c r="K2775" s="377">
        <v>45</v>
      </c>
      <c r="L2775" s="378">
        <v>50</v>
      </c>
      <c r="M2775" s="377"/>
      <c r="N2775" s="377">
        <v>180</v>
      </c>
      <c r="O2775" s="382"/>
      <c r="P2775" s="382"/>
      <c r="Q2775" s="382"/>
    </row>
    <row r="2776" spans="1:17" s="15" customFormat="1" x14ac:dyDescent="0.2">
      <c r="A2776" s="334" t="s">
        <v>1728</v>
      </c>
      <c r="B2776" s="380"/>
      <c r="C2776" s="334" t="s">
        <v>310</v>
      </c>
      <c r="D2776" s="377">
        <v>100</v>
      </c>
      <c r="E2776" s="377">
        <v>30</v>
      </c>
      <c r="F2776" s="378"/>
      <c r="G2776" s="377"/>
      <c r="H2776" s="377">
        <v>45</v>
      </c>
      <c r="I2776" s="399"/>
      <c r="J2776" s="377">
        <v>200</v>
      </c>
      <c r="K2776" s="377">
        <v>25</v>
      </c>
      <c r="L2776" s="378"/>
      <c r="M2776" s="377"/>
      <c r="N2776" s="377">
        <v>45</v>
      </c>
      <c r="O2776" s="382"/>
      <c r="P2776" s="382"/>
      <c r="Q2776" s="382"/>
    </row>
    <row r="2777" spans="1:17" s="15" customFormat="1" x14ac:dyDescent="0.2">
      <c r="A2777" s="334" t="s">
        <v>1729</v>
      </c>
      <c r="B2777" s="380"/>
      <c r="C2777" s="380" t="s">
        <v>1551</v>
      </c>
      <c r="D2777" s="377">
        <f>-2768-7000</f>
        <v>-9768</v>
      </c>
      <c r="E2777" s="377">
        <v>-378</v>
      </c>
      <c r="F2777" s="378">
        <v>-660.4</v>
      </c>
      <c r="G2777" s="377"/>
      <c r="H2777" s="377">
        <v>-999</v>
      </c>
      <c r="I2777" s="399"/>
      <c r="J2777" s="377">
        <v>100</v>
      </c>
      <c r="K2777" s="377">
        <v>40</v>
      </c>
      <c r="L2777" s="378">
        <v>25</v>
      </c>
      <c r="M2777" s="377"/>
      <c r="N2777" s="377">
        <v>45</v>
      </c>
      <c r="O2777" s="382"/>
      <c r="P2777" s="382"/>
      <c r="Q2777" s="382"/>
    </row>
    <row r="2778" spans="1:17" s="15" customFormat="1" x14ac:dyDescent="0.2">
      <c r="A2778" s="334" t="s">
        <v>1735</v>
      </c>
      <c r="B2778" s="380"/>
      <c r="C2778" s="380" t="s">
        <v>194</v>
      </c>
      <c r="D2778" s="377"/>
      <c r="E2778" s="377"/>
      <c r="F2778" s="378"/>
      <c r="G2778" s="377"/>
      <c r="H2778" s="377"/>
      <c r="I2778" s="399"/>
      <c r="J2778" s="377">
        <v>50</v>
      </c>
      <c r="K2778" s="377"/>
      <c r="L2778" s="378"/>
      <c r="M2778" s="377"/>
      <c r="N2778" s="377">
        <v>45</v>
      </c>
      <c r="O2778" s="382"/>
      <c r="P2778" s="382"/>
      <c r="Q2778" s="382"/>
    </row>
    <row r="2779" spans="1:17" s="15" customFormat="1" x14ac:dyDescent="0.2">
      <c r="A2779" s="334" t="s">
        <v>1741</v>
      </c>
      <c r="B2779" s="380"/>
      <c r="C2779" s="334" t="s">
        <v>1748</v>
      </c>
      <c r="D2779" s="377"/>
      <c r="E2779" s="377"/>
      <c r="F2779" s="378"/>
      <c r="G2779" s="377"/>
      <c r="H2779" s="377"/>
      <c r="I2779" s="399"/>
      <c r="J2779" s="377"/>
      <c r="K2779" s="377"/>
      <c r="L2779" s="378"/>
      <c r="M2779" s="377"/>
      <c r="N2779" s="377"/>
      <c r="O2779" s="382"/>
      <c r="P2779" s="382"/>
      <c r="Q2779" s="382"/>
    </row>
    <row r="2780" spans="1:17" s="15" customFormat="1" x14ac:dyDescent="0.2">
      <c r="A2780" s="334" t="s">
        <v>1742</v>
      </c>
      <c r="B2780" s="380"/>
      <c r="C2780" s="334" t="s">
        <v>1553</v>
      </c>
      <c r="D2780" s="377"/>
      <c r="E2780" s="377"/>
      <c r="F2780" s="378"/>
      <c r="G2780" s="377"/>
      <c r="H2780" s="377"/>
      <c r="I2780" s="399"/>
      <c r="J2780" s="377"/>
      <c r="K2780" s="377"/>
      <c r="L2780" s="378"/>
      <c r="M2780" s="377"/>
      <c r="N2780" s="377"/>
      <c r="O2780" s="382"/>
      <c r="P2780" s="382"/>
      <c r="Q2780" s="382"/>
    </row>
    <row r="2781" spans="1:17" s="15" customFormat="1" x14ac:dyDescent="0.2">
      <c r="A2781" s="334" t="s">
        <v>1584</v>
      </c>
      <c r="B2781" s="380"/>
      <c r="C2781" s="334" t="s">
        <v>0</v>
      </c>
      <c r="D2781" s="377"/>
      <c r="E2781" s="377"/>
      <c r="F2781" s="378"/>
      <c r="G2781" s="377"/>
      <c r="H2781" s="377"/>
      <c r="I2781" s="399"/>
      <c r="J2781" s="377"/>
      <c r="K2781" s="377"/>
      <c r="L2781" s="378"/>
      <c r="M2781" s="377"/>
      <c r="N2781" s="377"/>
      <c r="O2781" s="382"/>
      <c r="P2781" s="382"/>
      <c r="Q2781" s="382"/>
    </row>
    <row r="2782" spans="1:17" s="15" customFormat="1" x14ac:dyDescent="0.2">
      <c r="A2782" s="334" t="s">
        <v>1580</v>
      </c>
      <c r="B2782" s="380"/>
      <c r="C2782" s="334" t="s">
        <v>1935</v>
      </c>
      <c r="D2782" s="377"/>
      <c r="E2782" s="377"/>
      <c r="F2782" s="378"/>
      <c r="G2782" s="377"/>
      <c r="H2782" s="377"/>
      <c r="I2782" s="399"/>
      <c r="J2782" s="377"/>
      <c r="K2782" s="377"/>
      <c r="L2782" s="378"/>
      <c r="M2782" s="377"/>
      <c r="N2782" s="377"/>
      <c r="O2782" s="382"/>
      <c r="P2782" s="382"/>
      <c r="Q2782" s="382"/>
    </row>
    <row r="2783" spans="1:17" s="15" customFormat="1" x14ac:dyDescent="0.2">
      <c r="A2783" s="334" t="s">
        <v>1572</v>
      </c>
      <c r="B2783" s="380"/>
      <c r="C2783" s="334" t="s">
        <v>3134</v>
      </c>
      <c r="D2783" s="377"/>
      <c r="E2783" s="377"/>
      <c r="F2783" s="378"/>
      <c r="G2783" s="377"/>
      <c r="H2783" s="377"/>
      <c r="I2783" s="399"/>
      <c r="J2783" s="377"/>
      <c r="K2783" s="377"/>
      <c r="L2783" s="378"/>
      <c r="M2783" s="377"/>
      <c r="N2783" s="377"/>
      <c r="O2783" s="382"/>
      <c r="P2783" s="382"/>
      <c r="Q2783" s="382"/>
    </row>
    <row r="2784" spans="1:17" s="15" customFormat="1" x14ac:dyDescent="0.2">
      <c r="A2784" s="334" t="s">
        <v>1730</v>
      </c>
      <c r="B2784" s="380"/>
      <c r="C2784" s="334" t="s">
        <v>1985</v>
      </c>
      <c r="D2784" s="377">
        <v>600</v>
      </c>
      <c r="E2784" s="377">
        <v>360</v>
      </c>
      <c r="F2784" s="378">
        <v>800</v>
      </c>
      <c r="G2784" s="377"/>
      <c r="H2784" s="377">
        <v>4000</v>
      </c>
      <c r="I2784" s="399"/>
      <c r="J2784" s="377">
        <v>600</v>
      </c>
      <c r="K2784" s="377">
        <v>360</v>
      </c>
      <c r="L2784" s="378">
        <v>722</v>
      </c>
      <c r="M2784" s="377"/>
      <c r="N2784" s="377"/>
      <c r="O2784" s="382"/>
      <c r="P2784" s="382"/>
      <c r="Q2784" s="382"/>
    </row>
    <row r="2785" spans="1:17" s="15" customFormat="1" x14ac:dyDescent="0.2">
      <c r="A2785" s="334" t="s">
        <v>1566</v>
      </c>
      <c r="B2785" s="380"/>
      <c r="C2785" s="334" t="s">
        <v>366</v>
      </c>
      <c r="D2785" s="377">
        <v>400</v>
      </c>
      <c r="E2785" s="377">
        <v>545</v>
      </c>
      <c r="F2785" s="378">
        <v>900</v>
      </c>
      <c r="G2785" s="377"/>
      <c r="H2785" s="377"/>
      <c r="I2785" s="399"/>
      <c r="J2785" s="377">
        <v>400</v>
      </c>
      <c r="K2785" s="377">
        <v>545</v>
      </c>
      <c r="L2785" s="378">
        <v>870</v>
      </c>
      <c r="M2785" s="377"/>
      <c r="N2785" s="377"/>
      <c r="O2785" s="382"/>
      <c r="P2785" s="382"/>
      <c r="Q2785" s="382"/>
    </row>
    <row r="2786" spans="1:17" s="15" customFormat="1" x14ac:dyDescent="0.2">
      <c r="A2786" s="334" t="s">
        <v>1755</v>
      </c>
      <c r="B2786" s="380"/>
      <c r="C2786" s="380" t="s">
        <v>1986</v>
      </c>
      <c r="D2786" s="377">
        <v>800</v>
      </c>
      <c r="E2786" s="377">
        <v>545</v>
      </c>
      <c r="F2786" s="378"/>
      <c r="G2786" s="377"/>
      <c r="H2786" s="377"/>
      <c r="I2786" s="399"/>
      <c r="J2786" s="377">
        <v>600</v>
      </c>
      <c r="K2786" s="377"/>
      <c r="L2786" s="378"/>
      <c r="M2786" s="377"/>
      <c r="N2786" s="377"/>
      <c r="O2786" s="382"/>
      <c r="P2786" s="382"/>
      <c r="Q2786" s="382"/>
    </row>
    <row r="2787" spans="1:17" s="15" customFormat="1" x14ac:dyDescent="0.2">
      <c r="A2787" s="334" t="s">
        <v>1587</v>
      </c>
      <c r="B2787" s="380"/>
      <c r="C2787" s="334" t="s">
        <v>34</v>
      </c>
      <c r="D2787" s="377"/>
      <c r="E2787" s="377"/>
      <c r="F2787" s="378"/>
      <c r="G2787" s="377"/>
      <c r="H2787" s="377"/>
      <c r="I2787" s="399"/>
      <c r="J2787" s="377"/>
      <c r="K2787" s="377"/>
      <c r="L2787" s="378"/>
      <c r="M2787" s="377"/>
      <c r="N2787" s="377"/>
      <c r="O2787" s="382"/>
      <c r="P2787" s="382"/>
      <c r="Q2787" s="382"/>
    </row>
    <row r="2788" spans="1:17" x14ac:dyDescent="0.2">
      <c r="A2788" s="384" t="s">
        <v>1962</v>
      </c>
      <c r="B2788" s="380"/>
      <c r="C2788" s="380" t="s">
        <v>572</v>
      </c>
      <c r="D2788" s="377">
        <v>3500</v>
      </c>
      <c r="E2788" s="377"/>
      <c r="F2788" s="378"/>
      <c r="G2788" s="377"/>
      <c r="H2788" s="377"/>
      <c r="I2788" s="399"/>
      <c r="J2788" s="377">
        <v>3000</v>
      </c>
      <c r="K2788" s="377"/>
      <c r="L2788" s="378"/>
      <c r="M2788" s="377"/>
      <c r="N2788" s="377"/>
      <c r="O2788" s="380"/>
      <c r="P2788" s="380"/>
      <c r="Q2788" s="380"/>
    </row>
    <row r="2789" spans="1:17" x14ac:dyDescent="0.2">
      <c r="A2789" s="334" t="s">
        <v>342</v>
      </c>
      <c r="B2789" s="380"/>
      <c r="C2789" s="334" t="s">
        <v>342</v>
      </c>
      <c r="D2789" s="410" t="s">
        <v>342</v>
      </c>
      <c r="E2789" s="410" t="s">
        <v>342</v>
      </c>
      <c r="F2789" s="445" t="s">
        <v>342</v>
      </c>
      <c r="G2789" s="410"/>
      <c r="H2789" s="410" t="s">
        <v>342</v>
      </c>
      <c r="I2789" s="385"/>
      <c r="J2789" s="410" t="s">
        <v>342</v>
      </c>
      <c r="K2789" s="410" t="s">
        <v>342</v>
      </c>
      <c r="L2789" s="445" t="s">
        <v>342</v>
      </c>
      <c r="M2789" s="410"/>
      <c r="N2789" s="410" t="s">
        <v>342</v>
      </c>
      <c r="O2789" s="380"/>
      <c r="P2789" s="380"/>
      <c r="Q2789" s="380"/>
    </row>
    <row r="2790" spans="1:17" ht="15.75" thickBot="1" x14ac:dyDescent="0.25">
      <c r="A2790" s="334" t="s">
        <v>342</v>
      </c>
      <c r="B2790" s="380"/>
      <c r="C2790" s="334" t="s">
        <v>342</v>
      </c>
      <c r="D2790" s="411">
        <f>SUM(D2757:D2788)</f>
        <v>4072</v>
      </c>
      <c r="E2790" s="411">
        <f>SUM(E2757:E2788)</f>
        <v>1512</v>
      </c>
      <c r="F2790" s="414">
        <f>SUM(F2757:F2788)</f>
        <v>2641.6</v>
      </c>
      <c r="G2790" s="411"/>
      <c r="H2790" s="411">
        <f>SUM(H2757:H2788)</f>
        <v>3996</v>
      </c>
      <c r="I2790" s="385"/>
      <c r="J2790" s="411">
        <f>SUM(J2757:J2788)</f>
        <v>12940</v>
      </c>
      <c r="K2790" s="411">
        <f>SUM(K2757:K2788)</f>
        <v>1380</v>
      </c>
      <c r="L2790" s="414">
        <f>SUM(L2757:L2788)</f>
        <v>3219</v>
      </c>
      <c r="M2790" s="411"/>
      <c r="N2790" s="411">
        <f>SUM(N2757:N2788)</f>
        <v>1085</v>
      </c>
      <c r="O2790" s="380"/>
      <c r="P2790" s="380"/>
      <c r="Q2790" s="380"/>
    </row>
    <row r="2791" spans="1:17" x14ac:dyDescent="0.2">
      <c r="A2791" s="334"/>
      <c r="B2791" s="380"/>
      <c r="C2791" s="334"/>
      <c r="D2791" s="385"/>
      <c r="E2791" s="385"/>
      <c r="F2791" s="415"/>
      <c r="G2791" s="385"/>
      <c r="H2791" s="385"/>
      <c r="I2791" s="385"/>
      <c r="J2791" s="385"/>
      <c r="K2791" s="385"/>
      <c r="L2791" s="415"/>
      <c r="M2791" s="385"/>
      <c r="N2791" s="385"/>
      <c r="O2791" s="380"/>
      <c r="P2791" s="380"/>
      <c r="Q2791" s="380"/>
    </row>
    <row r="2792" spans="1:17" x14ac:dyDescent="0.2">
      <c r="A2792" s="334"/>
      <c r="B2792" s="380"/>
      <c r="C2792" s="334"/>
      <c r="D2792" s="385"/>
      <c r="E2792" s="385"/>
      <c r="F2792" s="415"/>
      <c r="G2792" s="385"/>
      <c r="H2792" s="385"/>
      <c r="I2792" s="385"/>
      <c r="J2792" s="385"/>
      <c r="K2792" s="385"/>
      <c r="L2792" s="415"/>
      <c r="M2792" s="385"/>
      <c r="N2792" s="385"/>
      <c r="O2792" s="380"/>
      <c r="P2792" s="380"/>
      <c r="Q2792" s="380"/>
    </row>
    <row r="2793" spans="1:17" x14ac:dyDescent="0.2">
      <c r="A2793" s="334" t="s">
        <v>1663</v>
      </c>
      <c r="B2793" s="380"/>
      <c r="C2793" s="380"/>
      <c r="D2793" s="334" t="s">
        <v>56</v>
      </c>
      <c r="E2793" s="334" t="s">
        <v>59</v>
      </c>
      <c r="F2793" s="412" t="s">
        <v>60</v>
      </c>
      <c r="G2793" s="334"/>
      <c r="H2793" s="334" t="s">
        <v>63</v>
      </c>
      <c r="I2793" s="385"/>
      <c r="J2793" s="334" t="s">
        <v>56</v>
      </c>
      <c r="K2793" s="334" t="s">
        <v>59</v>
      </c>
      <c r="L2793" s="412" t="s">
        <v>60</v>
      </c>
      <c r="M2793" s="334"/>
      <c r="N2793" s="334" t="s">
        <v>63</v>
      </c>
      <c r="O2793" s="380"/>
      <c r="P2793" s="380"/>
      <c r="Q2793" s="380"/>
    </row>
    <row r="2794" spans="1:17" x14ac:dyDescent="0.2">
      <c r="A2794" s="334" t="s">
        <v>1664</v>
      </c>
      <c r="B2794" s="380"/>
      <c r="C2794" s="384"/>
      <c r="D2794" s="384" t="s">
        <v>2851</v>
      </c>
      <c r="E2794" s="384" t="s">
        <v>2145</v>
      </c>
      <c r="F2794" s="421" t="s">
        <v>2929</v>
      </c>
      <c r="G2794" s="334"/>
      <c r="H2794" s="384" t="s">
        <v>3713</v>
      </c>
      <c r="I2794" s="385"/>
      <c r="J2794" s="384" t="s">
        <v>2851</v>
      </c>
      <c r="K2794" s="384" t="s">
        <v>2145</v>
      </c>
      <c r="L2794" s="421" t="s">
        <v>2929</v>
      </c>
      <c r="M2794" s="334"/>
      <c r="N2794" s="384" t="s">
        <v>3713</v>
      </c>
      <c r="O2794" s="380"/>
      <c r="P2794" s="380"/>
      <c r="Q2794" s="380"/>
    </row>
    <row r="2795" spans="1:17" x14ac:dyDescent="0.2">
      <c r="A2795" s="334" t="s">
        <v>342</v>
      </c>
      <c r="B2795" s="380"/>
      <c r="C2795" s="334" t="s">
        <v>342</v>
      </c>
      <c r="D2795" s="334" t="s">
        <v>737</v>
      </c>
      <c r="E2795" s="334" t="s">
        <v>957</v>
      </c>
      <c r="F2795" s="389" t="s">
        <v>959</v>
      </c>
      <c r="G2795" s="334"/>
      <c r="H2795" s="334" t="s">
        <v>64</v>
      </c>
      <c r="I2795" s="385"/>
      <c r="J2795" s="334" t="s">
        <v>737</v>
      </c>
      <c r="K2795" s="334" t="s">
        <v>957</v>
      </c>
      <c r="L2795" s="412" t="s">
        <v>959</v>
      </c>
      <c r="M2795" s="334"/>
      <c r="N2795" s="334" t="s">
        <v>64</v>
      </c>
      <c r="O2795" s="380"/>
      <c r="P2795" s="380"/>
      <c r="Q2795" s="380"/>
    </row>
    <row r="2796" spans="1:17" x14ac:dyDescent="0.2">
      <c r="A2796" s="334" t="s">
        <v>1723</v>
      </c>
      <c r="B2796" s="380"/>
      <c r="C2796" s="334" t="s">
        <v>1880</v>
      </c>
      <c r="D2796" s="334" t="s">
        <v>181</v>
      </c>
      <c r="E2796" s="334" t="s">
        <v>181</v>
      </c>
      <c r="F2796" s="389" t="s">
        <v>181</v>
      </c>
      <c r="G2796" s="334"/>
      <c r="H2796" s="334" t="s">
        <v>181</v>
      </c>
      <c r="I2796" s="385"/>
      <c r="J2796" s="334" t="s">
        <v>181</v>
      </c>
      <c r="K2796" s="334" t="s">
        <v>181</v>
      </c>
      <c r="L2796" s="412" t="s">
        <v>181</v>
      </c>
      <c r="M2796" s="334"/>
      <c r="N2796" s="334" t="s">
        <v>181</v>
      </c>
      <c r="O2796" s="380"/>
      <c r="P2796" s="380"/>
      <c r="Q2796" s="380"/>
    </row>
    <row r="2797" spans="1:17" x14ac:dyDescent="0.2">
      <c r="A2797" s="380"/>
      <c r="B2797" s="380"/>
      <c r="C2797" s="334" t="s">
        <v>342</v>
      </c>
      <c r="D2797" s="334" t="s">
        <v>342</v>
      </c>
      <c r="E2797" s="334" t="s">
        <v>342</v>
      </c>
      <c r="F2797" s="412" t="s">
        <v>342</v>
      </c>
      <c r="G2797" s="334"/>
      <c r="H2797" s="334" t="s">
        <v>342</v>
      </c>
      <c r="I2797" s="385"/>
      <c r="J2797" s="334" t="s">
        <v>342</v>
      </c>
      <c r="K2797" s="334" t="s">
        <v>342</v>
      </c>
      <c r="L2797" s="412" t="s">
        <v>342</v>
      </c>
      <c r="M2797" s="334"/>
      <c r="N2797" s="334" t="s">
        <v>342</v>
      </c>
      <c r="O2797" s="380"/>
      <c r="P2797" s="380"/>
      <c r="Q2797" s="380"/>
    </row>
    <row r="2798" spans="1:17" x14ac:dyDescent="0.2">
      <c r="A2798" s="334" t="s">
        <v>1796</v>
      </c>
      <c r="B2798" s="380"/>
      <c r="C2798" s="334" t="s">
        <v>26</v>
      </c>
      <c r="D2798" s="377"/>
      <c r="E2798" s="377"/>
      <c r="F2798" s="378"/>
      <c r="G2798" s="377"/>
      <c r="H2798" s="377"/>
      <c r="I2798" s="399"/>
      <c r="J2798" s="377"/>
      <c r="K2798" s="377"/>
      <c r="L2798" s="378"/>
      <c r="M2798" s="377"/>
      <c r="N2798" s="377"/>
      <c r="O2798" s="380"/>
      <c r="P2798" s="380"/>
      <c r="Q2798" s="380"/>
    </row>
    <row r="2799" spans="1:17" x14ac:dyDescent="0.2">
      <c r="A2799" s="334" t="s">
        <v>1733</v>
      </c>
      <c r="B2799" s="380"/>
      <c r="C2799" s="334" t="s">
        <v>27</v>
      </c>
      <c r="D2799" s="377"/>
      <c r="E2799" s="377"/>
      <c r="F2799" s="378"/>
      <c r="G2799" s="377"/>
      <c r="H2799" s="377"/>
      <c r="I2799" s="399"/>
      <c r="J2799" s="377"/>
      <c r="K2799" s="377"/>
      <c r="L2799" s="378"/>
      <c r="M2799" s="377"/>
      <c r="N2799" s="377"/>
      <c r="O2799" s="380"/>
      <c r="P2799" s="380"/>
      <c r="Q2799" s="380"/>
    </row>
    <row r="2800" spans="1:17" x14ac:dyDescent="0.2">
      <c r="A2800" s="334" t="s">
        <v>1569</v>
      </c>
      <c r="B2800" s="380"/>
      <c r="C2800" s="334" t="s">
        <v>1888</v>
      </c>
      <c r="D2800" s="377"/>
      <c r="E2800" s="377"/>
      <c r="F2800" s="378"/>
      <c r="G2800" s="377"/>
      <c r="H2800" s="377"/>
      <c r="I2800" s="399"/>
      <c r="J2800" s="377"/>
      <c r="K2800" s="377"/>
      <c r="L2800" s="378"/>
      <c r="M2800" s="377"/>
      <c r="N2800" s="377"/>
      <c r="O2800" s="380"/>
      <c r="P2800" s="380"/>
      <c r="Q2800" s="380"/>
    </row>
    <row r="2801" spans="1:17" x14ac:dyDescent="0.2">
      <c r="A2801" s="334" t="s">
        <v>1724</v>
      </c>
      <c r="B2801" s="380"/>
      <c r="C2801" s="334" t="s">
        <v>1881</v>
      </c>
      <c r="D2801" s="377">
        <v>50</v>
      </c>
      <c r="E2801" s="377">
        <v>45</v>
      </c>
      <c r="F2801" s="378">
        <v>45</v>
      </c>
      <c r="G2801" s="377"/>
      <c r="H2801" s="377">
        <v>80</v>
      </c>
      <c r="I2801" s="399"/>
      <c r="J2801" s="377">
        <v>50</v>
      </c>
      <c r="K2801" s="377">
        <v>45</v>
      </c>
      <c r="L2801" s="378">
        <v>45</v>
      </c>
      <c r="M2801" s="377"/>
      <c r="N2801" s="377">
        <v>50</v>
      </c>
      <c r="O2801" s="380"/>
      <c r="P2801" s="380"/>
      <c r="Q2801" s="380"/>
    </row>
    <row r="2802" spans="1:17" x14ac:dyDescent="0.2">
      <c r="A2802" s="334" t="s">
        <v>1736</v>
      </c>
      <c r="B2802" s="380"/>
      <c r="C2802" s="334" t="s">
        <v>1747</v>
      </c>
      <c r="D2802" s="377"/>
      <c r="E2802" s="377"/>
      <c r="F2802" s="378"/>
      <c r="G2802" s="377"/>
      <c r="H2802" s="377"/>
      <c r="I2802" s="399"/>
      <c r="J2802" s="377"/>
      <c r="K2802" s="377"/>
      <c r="L2802" s="378"/>
      <c r="M2802" s="377"/>
      <c r="N2802" s="377"/>
      <c r="O2802" s="380"/>
      <c r="P2802" s="380"/>
      <c r="Q2802" s="380"/>
    </row>
    <row r="2803" spans="1:17" x14ac:dyDescent="0.2">
      <c r="A2803" s="334" t="s">
        <v>1744</v>
      </c>
      <c r="B2803" s="380"/>
      <c r="C2803" s="334" t="s">
        <v>1254</v>
      </c>
      <c r="D2803" s="377"/>
      <c r="E2803" s="377"/>
      <c r="F2803" s="378"/>
      <c r="G2803" s="377"/>
      <c r="H2803" s="377"/>
      <c r="I2803" s="399"/>
      <c r="J2803" s="377"/>
      <c r="K2803" s="377"/>
      <c r="L2803" s="378"/>
      <c r="M2803" s="377"/>
      <c r="N2803" s="377"/>
      <c r="O2803" s="380"/>
      <c r="P2803" s="380"/>
      <c r="Q2803" s="380"/>
    </row>
    <row r="2804" spans="1:17" x14ac:dyDescent="0.2">
      <c r="A2804" s="334" t="s">
        <v>1582</v>
      </c>
      <c r="B2804" s="380"/>
      <c r="C2804" s="334" t="s">
        <v>3135</v>
      </c>
      <c r="D2804" s="377"/>
      <c r="E2804" s="377"/>
      <c r="F2804" s="378"/>
      <c r="G2804" s="377"/>
      <c r="H2804" s="377"/>
      <c r="I2804" s="399"/>
      <c r="J2804" s="377"/>
      <c r="K2804" s="377"/>
      <c r="L2804" s="378"/>
      <c r="M2804" s="377"/>
      <c r="N2804" s="377"/>
      <c r="O2804" s="380"/>
      <c r="P2804" s="380"/>
      <c r="Q2804" s="380"/>
    </row>
    <row r="2805" spans="1:17" x14ac:dyDescent="0.2">
      <c r="A2805" s="334" t="s">
        <v>1575</v>
      </c>
      <c r="B2805" s="380"/>
      <c r="C2805" s="334" t="s">
        <v>1889</v>
      </c>
      <c r="D2805" s="377"/>
      <c r="E2805" s="377"/>
      <c r="F2805" s="378"/>
      <c r="G2805" s="377"/>
      <c r="H2805" s="377"/>
      <c r="I2805" s="399"/>
      <c r="J2805" s="377"/>
      <c r="K2805" s="377"/>
      <c r="L2805" s="378"/>
      <c r="M2805" s="377"/>
      <c r="N2805" s="377"/>
      <c r="O2805" s="380"/>
      <c r="P2805" s="380"/>
      <c r="Q2805" s="380"/>
    </row>
    <row r="2806" spans="1:17" x14ac:dyDescent="0.2">
      <c r="A2806" s="334" t="s">
        <v>1725</v>
      </c>
      <c r="B2806" s="380"/>
      <c r="C2806" s="334" t="s">
        <v>1890</v>
      </c>
      <c r="D2806" s="377"/>
      <c r="E2806" s="377"/>
      <c r="F2806" s="378"/>
      <c r="G2806" s="377"/>
      <c r="H2806" s="377"/>
      <c r="I2806" s="399"/>
      <c r="J2806" s="377"/>
      <c r="K2806" s="377"/>
      <c r="L2806" s="378"/>
      <c r="M2806" s="377"/>
      <c r="N2806" s="377"/>
      <c r="O2806" s="380"/>
      <c r="P2806" s="380"/>
      <c r="Q2806" s="380"/>
    </row>
    <row r="2807" spans="1:17" x14ac:dyDescent="0.2">
      <c r="A2807" s="334" t="s">
        <v>1565</v>
      </c>
      <c r="B2807" s="380"/>
      <c r="C2807" s="334" t="s">
        <v>1927</v>
      </c>
      <c r="D2807" s="377"/>
      <c r="E2807" s="377"/>
      <c r="F2807" s="378"/>
      <c r="G2807" s="377"/>
      <c r="H2807" s="377"/>
      <c r="I2807" s="399"/>
      <c r="J2807" s="377"/>
      <c r="K2807" s="377"/>
      <c r="L2807" s="378"/>
      <c r="M2807" s="377"/>
      <c r="N2807" s="377"/>
      <c r="O2807" s="380"/>
      <c r="P2807" s="380"/>
      <c r="Q2807" s="380"/>
    </row>
    <row r="2808" spans="1:17" x14ac:dyDescent="0.2">
      <c r="A2808" s="334" t="s">
        <v>1737</v>
      </c>
      <c r="B2808" s="380"/>
      <c r="C2808" s="334" t="s">
        <v>1984</v>
      </c>
      <c r="D2808" s="377"/>
      <c r="E2808" s="377"/>
      <c r="F2808" s="378"/>
      <c r="G2808" s="377"/>
      <c r="H2808" s="377"/>
      <c r="I2808" s="399"/>
      <c r="J2808" s="377"/>
      <c r="K2808" s="377"/>
      <c r="L2808" s="378"/>
      <c r="M2808" s="377"/>
      <c r="N2808" s="377"/>
      <c r="O2808" s="380"/>
      <c r="P2808" s="380"/>
      <c r="Q2808" s="380"/>
    </row>
    <row r="2809" spans="1:17" x14ac:dyDescent="0.2">
      <c r="A2809" s="334" t="s">
        <v>1726</v>
      </c>
      <c r="B2809" s="380"/>
      <c r="C2809" s="334" t="s">
        <v>1117</v>
      </c>
      <c r="D2809" s="377"/>
      <c r="E2809" s="377"/>
      <c r="F2809" s="378"/>
      <c r="G2809" s="377"/>
      <c r="H2809" s="377"/>
      <c r="I2809" s="399"/>
      <c r="J2809" s="377"/>
      <c r="K2809" s="377"/>
      <c r="L2809" s="378"/>
      <c r="M2809" s="377"/>
      <c r="N2809" s="377"/>
      <c r="O2809" s="380"/>
      <c r="P2809" s="380"/>
      <c r="Q2809" s="380"/>
    </row>
    <row r="2810" spans="1:17" x14ac:dyDescent="0.2">
      <c r="A2810" s="334" t="s">
        <v>1661</v>
      </c>
      <c r="B2810" s="380"/>
      <c r="C2810" s="334" t="s">
        <v>3136</v>
      </c>
      <c r="D2810" s="377"/>
      <c r="E2810" s="377"/>
      <c r="F2810" s="378"/>
      <c r="G2810" s="377"/>
      <c r="H2810" s="377"/>
      <c r="I2810" s="399"/>
      <c r="J2810" s="377"/>
      <c r="K2810" s="377"/>
      <c r="L2810" s="378"/>
      <c r="M2810" s="377"/>
      <c r="N2810" s="377"/>
      <c r="O2810" s="380"/>
      <c r="P2810" s="380"/>
      <c r="Q2810" s="380"/>
    </row>
    <row r="2811" spans="1:17" x14ac:dyDescent="0.2">
      <c r="A2811" s="334" t="s">
        <v>1577</v>
      </c>
      <c r="B2811" s="380"/>
      <c r="C2811" s="334" t="s">
        <v>1815</v>
      </c>
      <c r="D2811" s="377"/>
      <c r="E2811" s="377"/>
      <c r="F2811" s="378"/>
      <c r="G2811" s="377"/>
      <c r="H2811" s="377"/>
      <c r="I2811" s="399"/>
      <c r="J2811" s="377"/>
      <c r="K2811" s="377"/>
      <c r="L2811" s="378"/>
      <c r="M2811" s="377"/>
      <c r="N2811" s="377"/>
      <c r="O2811" s="380"/>
      <c r="P2811" s="380"/>
      <c r="Q2811" s="380"/>
    </row>
    <row r="2812" spans="1:17" x14ac:dyDescent="0.2">
      <c r="A2812" s="334" t="s">
        <v>1734</v>
      </c>
      <c r="B2812" s="380"/>
      <c r="C2812" s="334" t="s">
        <v>1746</v>
      </c>
      <c r="D2812" s="377"/>
      <c r="E2812" s="377"/>
      <c r="F2812" s="378"/>
      <c r="G2812" s="377"/>
      <c r="H2812" s="377"/>
      <c r="I2812" s="399"/>
      <c r="J2812" s="377"/>
      <c r="K2812" s="377"/>
      <c r="L2812" s="378"/>
      <c r="M2812" s="377"/>
      <c r="N2812" s="377"/>
      <c r="O2812" s="380"/>
      <c r="P2812" s="380"/>
      <c r="Q2812" s="380"/>
    </row>
    <row r="2813" spans="1:17" x14ac:dyDescent="0.2">
      <c r="A2813" s="334" t="s">
        <v>1571</v>
      </c>
      <c r="B2813" s="380"/>
      <c r="C2813" s="334" t="s">
        <v>3</v>
      </c>
      <c r="D2813" s="377"/>
      <c r="E2813" s="377"/>
      <c r="F2813" s="378"/>
      <c r="G2813" s="377"/>
      <c r="H2813" s="377"/>
      <c r="I2813" s="399"/>
      <c r="J2813" s="377"/>
      <c r="K2813" s="377"/>
      <c r="L2813" s="378"/>
      <c r="M2813" s="377"/>
      <c r="N2813" s="377"/>
      <c r="O2813" s="380"/>
      <c r="P2813" s="380"/>
      <c r="Q2813" s="380"/>
    </row>
    <row r="2814" spans="1:17" x14ac:dyDescent="0.2">
      <c r="A2814" s="334" t="s">
        <v>1578</v>
      </c>
      <c r="B2814" s="380"/>
      <c r="C2814" s="334" t="s">
        <v>22</v>
      </c>
      <c r="D2814" s="377"/>
      <c r="E2814" s="377"/>
      <c r="F2814" s="378"/>
      <c r="G2814" s="377"/>
      <c r="H2814" s="377"/>
      <c r="I2814" s="399"/>
      <c r="J2814" s="377"/>
      <c r="K2814" s="377"/>
      <c r="L2814" s="378"/>
      <c r="M2814" s="377"/>
      <c r="N2814" s="377"/>
      <c r="O2814" s="380"/>
      <c r="P2814" s="380"/>
      <c r="Q2814" s="380"/>
    </row>
    <row r="2815" spans="1:17" x14ac:dyDescent="0.2">
      <c r="A2815" s="334" t="s">
        <v>1738</v>
      </c>
      <c r="B2815" s="380"/>
      <c r="C2815" s="334" t="s">
        <v>1591</v>
      </c>
      <c r="D2815" s="377">
        <v>90</v>
      </c>
      <c r="E2815" s="377">
        <v>90</v>
      </c>
      <c r="F2815" s="378">
        <v>90</v>
      </c>
      <c r="G2815" s="377"/>
      <c r="H2815" s="377">
        <v>100</v>
      </c>
      <c r="I2815" s="399"/>
      <c r="J2815" s="377">
        <v>90</v>
      </c>
      <c r="K2815" s="377">
        <v>90</v>
      </c>
      <c r="L2815" s="378">
        <v>90</v>
      </c>
      <c r="M2815" s="377"/>
      <c r="N2815" s="377">
        <v>90</v>
      </c>
      <c r="O2815" s="380"/>
      <c r="P2815" s="380"/>
      <c r="Q2815" s="380"/>
    </row>
    <row r="2816" spans="1:17" x14ac:dyDescent="0.2">
      <c r="A2816" s="334" t="s">
        <v>1727</v>
      </c>
      <c r="B2816" s="380"/>
      <c r="C2816" s="334" t="s">
        <v>307</v>
      </c>
      <c r="D2816" s="377"/>
      <c r="E2816" s="377"/>
      <c r="F2816" s="378"/>
      <c r="G2816" s="377"/>
      <c r="H2816" s="377"/>
      <c r="I2816" s="399"/>
      <c r="J2816" s="377"/>
      <c r="K2816" s="377"/>
      <c r="L2816" s="378"/>
      <c r="M2816" s="377"/>
      <c r="N2816" s="377"/>
      <c r="O2816" s="380"/>
      <c r="P2816" s="380"/>
      <c r="Q2816" s="380"/>
    </row>
    <row r="2817" spans="1:17" x14ac:dyDescent="0.2">
      <c r="A2817" s="334" t="s">
        <v>1728</v>
      </c>
      <c r="B2817" s="380"/>
      <c r="C2817" s="334" t="s">
        <v>310</v>
      </c>
      <c r="D2817" s="377">
        <v>90</v>
      </c>
      <c r="E2817" s="377">
        <v>365</v>
      </c>
      <c r="F2817" s="378">
        <v>90</v>
      </c>
      <c r="G2817" s="377"/>
      <c r="H2817" s="377">
        <v>100</v>
      </c>
      <c r="I2817" s="399"/>
      <c r="J2817" s="377">
        <v>90</v>
      </c>
      <c r="K2817" s="377">
        <v>365</v>
      </c>
      <c r="L2817" s="378">
        <v>90</v>
      </c>
      <c r="M2817" s="377"/>
      <c r="N2817" s="377">
        <v>90</v>
      </c>
      <c r="O2817" s="380"/>
      <c r="P2817" s="380"/>
      <c r="Q2817" s="380"/>
    </row>
    <row r="2818" spans="1:17" x14ac:dyDescent="0.2">
      <c r="A2818" s="334" t="s">
        <v>1729</v>
      </c>
      <c r="B2818" s="380"/>
      <c r="C2818" s="380" t="s">
        <v>1551</v>
      </c>
      <c r="D2818" s="377"/>
      <c r="E2818" s="377"/>
      <c r="F2818" s="378">
        <v>-55</v>
      </c>
      <c r="G2818" s="377"/>
      <c r="H2818" s="377">
        <v>-20.59</v>
      </c>
      <c r="I2818" s="399"/>
      <c r="J2818" s="377">
        <v>50</v>
      </c>
      <c r="K2818" s="377"/>
      <c r="L2818" s="378"/>
      <c r="M2818" s="377"/>
      <c r="N2818" s="377">
        <v>45</v>
      </c>
      <c r="O2818" s="380"/>
      <c r="P2818" s="380"/>
      <c r="Q2818" s="380"/>
    </row>
    <row r="2819" spans="1:17" x14ac:dyDescent="0.2">
      <c r="A2819" s="334" t="s">
        <v>1735</v>
      </c>
      <c r="B2819" s="380"/>
      <c r="C2819" s="380" t="s">
        <v>194</v>
      </c>
      <c r="D2819" s="377"/>
      <c r="E2819" s="377"/>
      <c r="F2819" s="378"/>
      <c r="G2819" s="377"/>
      <c r="H2819" s="377"/>
      <c r="I2819" s="399"/>
      <c r="J2819" s="377"/>
      <c r="K2819" s="377"/>
      <c r="L2819" s="378"/>
      <c r="M2819" s="377"/>
      <c r="N2819" s="377"/>
      <c r="O2819" s="380"/>
      <c r="P2819" s="380"/>
      <c r="Q2819" s="380"/>
    </row>
    <row r="2820" spans="1:17" x14ac:dyDescent="0.2">
      <c r="A2820" s="334" t="s">
        <v>1741</v>
      </c>
      <c r="B2820" s="380"/>
      <c r="C2820" s="334" t="s">
        <v>1748</v>
      </c>
      <c r="D2820" s="377"/>
      <c r="E2820" s="377"/>
      <c r="F2820" s="378"/>
      <c r="G2820" s="377"/>
      <c r="H2820" s="377"/>
      <c r="I2820" s="399"/>
      <c r="J2820" s="377"/>
      <c r="K2820" s="377"/>
      <c r="L2820" s="378"/>
      <c r="M2820" s="377"/>
      <c r="N2820" s="377"/>
      <c r="O2820" s="380"/>
      <c r="P2820" s="380"/>
      <c r="Q2820" s="380"/>
    </row>
    <row r="2821" spans="1:17" x14ac:dyDescent="0.2">
      <c r="A2821" s="334" t="s">
        <v>1742</v>
      </c>
      <c r="B2821" s="380"/>
      <c r="C2821" s="334" t="s">
        <v>1553</v>
      </c>
      <c r="D2821" s="377"/>
      <c r="E2821" s="377"/>
      <c r="F2821" s="378"/>
      <c r="G2821" s="377"/>
      <c r="H2821" s="377"/>
      <c r="I2821" s="399"/>
      <c r="J2821" s="377"/>
      <c r="K2821" s="377"/>
      <c r="L2821" s="378"/>
      <c r="M2821" s="377"/>
      <c r="N2821" s="377"/>
      <c r="O2821" s="380"/>
      <c r="P2821" s="380"/>
      <c r="Q2821" s="380"/>
    </row>
    <row r="2822" spans="1:17" x14ac:dyDescent="0.2">
      <c r="A2822" s="334" t="s">
        <v>1584</v>
      </c>
      <c r="B2822" s="380"/>
      <c r="C2822" s="334" t="s">
        <v>0</v>
      </c>
      <c r="D2822" s="377"/>
      <c r="E2822" s="377"/>
      <c r="F2822" s="378"/>
      <c r="G2822" s="377"/>
      <c r="H2822" s="377"/>
      <c r="I2822" s="399"/>
      <c r="J2822" s="377"/>
      <c r="K2822" s="377"/>
      <c r="L2822" s="378"/>
      <c r="M2822" s="377"/>
      <c r="N2822" s="377"/>
      <c r="O2822" s="380"/>
      <c r="P2822" s="380"/>
      <c r="Q2822" s="380"/>
    </row>
    <row r="2823" spans="1:17" x14ac:dyDescent="0.2">
      <c r="A2823" s="334" t="s">
        <v>1580</v>
      </c>
      <c r="B2823" s="380"/>
      <c r="C2823" s="334" t="s">
        <v>1935</v>
      </c>
      <c r="D2823" s="377"/>
      <c r="E2823" s="377"/>
      <c r="F2823" s="378"/>
      <c r="G2823" s="377"/>
      <c r="H2823" s="377"/>
      <c r="I2823" s="399"/>
      <c r="J2823" s="377"/>
      <c r="K2823" s="377"/>
      <c r="L2823" s="378"/>
      <c r="M2823" s="377"/>
      <c r="N2823" s="377"/>
      <c r="O2823" s="380"/>
      <c r="P2823" s="380"/>
      <c r="Q2823" s="380"/>
    </row>
    <row r="2824" spans="1:17" x14ac:dyDescent="0.2">
      <c r="A2824" s="334" t="s">
        <v>1572</v>
      </c>
      <c r="B2824" s="380"/>
      <c r="C2824" s="334" t="s">
        <v>3134</v>
      </c>
      <c r="D2824" s="377"/>
      <c r="E2824" s="377"/>
      <c r="F2824" s="378"/>
      <c r="G2824" s="377"/>
      <c r="H2824" s="377"/>
      <c r="I2824" s="399"/>
      <c r="J2824" s="377"/>
      <c r="K2824" s="377"/>
      <c r="L2824" s="378"/>
      <c r="M2824" s="377"/>
      <c r="N2824" s="377"/>
      <c r="O2824" s="380"/>
      <c r="P2824" s="380"/>
      <c r="Q2824" s="380"/>
    </row>
    <row r="2825" spans="1:17" x14ac:dyDescent="0.2">
      <c r="A2825" s="334" t="s">
        <v>1730</v>
      </c>
      <c r="B2825" s="380"/>
      <c r="C2825" s="334" t="s">
        <v>1985</v>
      </c>
      <c r="D2825" s="377">
        <v>3500</v>
      </c>
      <c r="E2825" s="377"/>
      <c r="F2825" s="378"/>
      <c r="G2825" s="377"/>
      <c r="H2825" s="377"/>
      <c r="I2825" s="399"/>
      <c r="J2825" s="377">
        <v>360</v>
      </c>
      <c r="K2825" s="377"/>
      <c r="L2825" s="378"/>
      <c r="M2825" s="377"/>
      <c r="N2825" s="377"/>
      <c r="O2825" s="380"/>
      <c r="P2825" s="380"/>
      <c r="Q2825" s="380"/>
    </row>
    <row r="2826" spans="1:17" x14ac:dyDescent="0.2">
      <c r="A2826" s="334" t="s">
        <v>1566</v>
      </c>
      <c r="B2826" s="380"/>
      <c r="C2826" s="334" t="s">
        <v>366</v>
      </c>
      <c r="D2826" s="377"/>
      <c r="E2826" s="377"/>
      <c r="F2826" s="378"/>
      <c r="G2826" s="377"/>
      <c r="H2826" s="377"/>
      <c r="I2826" s="399"/>
      <c r="J2826" s="377"/>
      <c r="K2826" s="377"/>
      <c r="L2826" s="378"/>
      <c r="M2826" s="377"/>
      <c r="N2826" s="377"/>
      <c r="O2826" s="380"/>
      <c r="P2826" s="380"/>
      <c r="Q2826" s="380"/>
    </row>
    <row r="2827" spans="1:17" x14ac:dyDescent="0.2">
      <c r="A2827" s="334" t="s">
        <v>1755</v>
      </c>
      <c r="B2827" s="380"/>
      <c r="C2827" s="380" t="s">
        <v>1986</v>
      </c>
      <c r="D2827" s="377"/>
      <c r="E2827" s="377"/>
      <c r="F2827" s="378"/>
      <c r="G2827" s="377"/>
      <c r="H2827" s="377"/>
      <c r="I2827" s="399"/>
      <c r="J2827" s="377"/>
      <c r="K2827" s="377"/>
      <c r="L2827" s="378"/>
      <c r="M2827" s="377"/>
      <c r="N2827" s="377"/>
      <c r="O2827" s="380"/>
      <c r="P2827" s="380"/>
      <c r="Q2827" s="380"/>
    </row>
    <row r="2828" spans="1:17" x14ac:dyDescent="0.2">
      <c r="A2828" s="334" t="s">
        <v>1587</v>
      </c>
      <c r="B2828" s="380"/>
      <c r="C2828" s="334" t="s">
        <v>34</v>
      </c>
      <c r="D2828" s="377"/>
      <c r="E2828" s="377"/>
      <c r="F2828" s="378"/>
      <c r="G2828" s="377"/>
      <c r="H2828" s="377"/>
      <c r="I2828" s="399"/>
      <c r="J2828" s="377"/>
      <c r="K2828" s="377"/>
      <c r="L2828" s="378"/>
      <c r="M2828" s="377"/>
      <c r="N2828" s="377"/>
      <c r="O2828" s="380"/>
      <c r="P2828" s="380"/>
      <c r="Q2828" s="380"/>
    </row>
    <row r="2829" spans="1:17" x14ac:dyDescent="0.2">
      <c r="A2829" s="384" t="s">
        <v>1962</v>
      </c>
      <c r="B2829" s="380"/>
      <c r="C2829" s="380" t="s">
        <v>572</v>
      </c>
      <c r="D2829" s="377"/>
      <c r="E2829" s="377"/>
      <c r="F2829" s="378"/>
      <c r="G2829" s="377"/>
      <c r="H2829" s="377"/>
      <c r="I2829" s="399"/>
      <c r="J2829" s="377"/>
      <c r="K2829" s="377"/>
      <c r="L2829" s="378"/>
      <c r="M2829" s="377"/>
      <c r="N2829" s="377"/>
      <c r="O2829" s="380"/>
      <c r="P2829" s="380"/>
      <c r="Q2829" s="380"/>
    </row>
    <row r="2830" spans="1:17" x14ac:dyDescent="0.2">
      <c r="A2830" s="334" t="s">
        <v>342</v>
      </c>
      <c r="B2830" s="380"/>
      <c r="C2830" s="334" t="s">
        <v>342</v>
      </c>
      <c r="D2830" s="410" t="s">
        <v>342</v>
      </c>
      <c r="E2830" s="410" t="s">
        <v>342</v>
      </c>
      <c r="F2830" s="445" t="s">
        <v>342</v>
      </c>
      <c r="G2830" s="410"/>
      <c r="H2830" s="410" t="s">
        <v>342</v>
      </c>
      <c r="I2830" s="385"/>
      <c r="J2830" s="410" t="s">
        <v>342</v>
      </c>
      <c r="K2830" s="410" t="s">
        <v>342</v>
      </c>
      <c r="L2830" s="445" t="s">
        <v>342</v>
      </c>
      <c r="M2830" s="410"/>
      <c r="N2830" s="410" t="s">
        <v>342</v>
      </c>
      <c r="O2830" s="380"/>
      <c r="P2830" s="380"/>
      <c r="Q2830" s="380"/>
    </row>
    <row r="2831" spans="1:17" ht="15.75" thickBot="1" x14ac:dyDescent="0.25">
      <c r="A2831" s="334" t="s">
        <v>342</v>
      </c>
      <c r="B2831" s="380"/>
      <c r="C2831" s="334" t="s">
        <v>342</v>
      </c>
      <c r="D2831" s="411">
        <f>SUM(D2798:D2829)</f>
        <v>3730</v>
      </c>
      <c r="E2831" s="411">
        <f>SUM(E2798:E2829)</f>
        <v>500</v>
      </c>
      <c r="F2831" s="414">
        <f>SUM(F2798:F2829)</f>
        <v>170</v>
      </c>
      <c r="G2831" s="411"/>
      <c r="H2831" s="411">
        <f>SUM(H2798:H2829)</f>
        <v>259.41000000000003</v>
      </c>
      <c r="I2831" s="385"/>
      <c r="J2831" s="411">
        <f>SUM(J2798:J2829)</f>
        <v>640</v>
      </c>
      <c r="K2831" s="411">
        <f>SUM(K2798:K2829)</f>
        <v>500</v>
      </c>
      <c r="L2831" s="414">
        <f>SUM(L2798:L2829)</f>
        <v>225</v>
      </c>
      <c r="M2831" s="411"/>
      <c r="N2831" s="411">
        <f>SUM(N2798:N2829)</f>
        <v>275</v>
      </c>
      <c r="O2831" s="380"/>
      <c r="P2831" s="380"/>
      <c r="Q2831" s="380"/>
    </row>
    <row r="2832" spans="1:17" x14ac:dyDescent="0.2">
      <c r="A2832" s="334"/>
      <c r="B2832" s="380"/>
      <c r="C2832" s="334"/>
      <c r="D2832" s="385"/>
      <c r="E2832" s="385"/>
      <c r="F2832" s="415"/>
      <c r="G2832" s="385"/>
      <c r="H2832" s="385"/>
      <c r="I2832" s="385"/>
      <c r="J2832" s="385"/>
      <c r="K2832" s="385"/>
      <c r="L2832" s="415"/>
      <c r="M2832" s="385"/>
      <c r="N2832" s="385"/>
      <c r="O2832" s="380"/>
      <c r="P2832" s="380"/>
      <c r="Q2832" s="380"/>
    </row>
    <row r="2833" spans="1:17" x14ac:dyDescent="0.2">
      <c r="A2833" s="334"/>
      <c r="B2833" s="380"/>
      <c r="C2833" s="334"/>
      <c r="D2833" s="385"/>
      <c r="E2833" s="385"/>
      <c r="F2833" s="415"/>
      <c r="G2833" s="385"/>
      <c r="H2833" s="385"/>
      <c r="I2833" s="385"/>
      <c r="J2833" s="385"/>
      <c r="K2833" s="385"/>
      <c r="L2833" s="415"/>
      <c r="M2833" s="385"/>
      <c r="N2833" s="385"/>
      <c r="O2833" s="380"/>
      <c r="P2833" s="380"/>
      <c r="Q2833" s="380"/>
    </row>
    <row r="2834" spans="1:17" x14ac:dyDescent="0.2">
      <c r="A2834" s="334" t="s">
        <v>1663</v>
      </c>
      <c r="B2834" s="380"/>
      <c r="C2834" s="380"/>
      <c r="D2834" s="334" t="s">
        <v>67</v>
      </c>
      <c r="E2834" s="334" t="s">
        <v>128</v>
      </c>
      <c r="F2834" s="412" t="s">
        <v>279</v>
      </c>
      <c r="G2834" s="334"/>
      <c r="H2834" s="334" t="s">
        <v>129</v>
      </c>
      <c r="I2834" s="385"/>
      <c r="J2834" s="334" t="s">
        <v>67</v>
      </c>
      <c r="K2834" s="334" t="s">
        <v>128</v>
      </c>
      <c r="L2834" s="412" t="s">
        <v>279</v>
      </c>
      <c r="M2834" s="334"/>
      <c r="N2834" s="334" t="s">
        <v>129</v>
      </c>
      <c r="O2834" s="380"/>
      <c r="P2834" s="380"/>
      <c r="Q2834" s="380"/>
    </row>
    <row r="2835" spans="1:17" x14ac:dyDescent="0.2">
      <c r="A2835" s="334" t="s">
        <v>1664</v>
      </c>
      <c r="B2835" s="380"/>
      <c r="C2835" s="384"/>
      <c r="D2835" s="384" t="s">
        <v>3699</v>
      </c>
      <c r="E2835" s="384" t="s">
        <v>3698</v>
      </c>
      <c r="F2835" s="421" t="s">
        <v>2926</v>
      </c>
      <c r="G2835" s="334"/>
      <c r="H2835" s="384" t="s">
        <v>2928</v>
      </c>
      <c r="I2835" s="385"/>
      <c r="J2835" s="384" t="s">
        <v>3699</v>
      </c>
      <c r="K2835" s="384" t="s">
        <v>3698</v>
      </c>
      <c r="L2835" s="421" t="s">
        <v>2926</v>
      </c>
      <c r="M2835" s="334"/>
      <c r="N2835" s="384" t="s">
        <v>2928</v>
      </c>
      <c r="O2835" s="380"/>
      <c r="P2835" s="380"/>
      <c r="Q2835" s="380"/>
    </row>
    <row r="2836" spans="1:17" x14ac:dyDescent="0.2">
      <c r="A2836" s="334" t="s">
        <v>342</v>
      </c>
      <c r="B2836" s="380"/>
      <c r="C2836" s="334" t="s">
        <v>342</v>
      </c>
      <c r="D2836" s="334" t="s">
        <v>794</v>
      </c>
      <c r="E2836" s="334" t="s">
        <v>70</v>
      </c>
      <c r="F2836" s="389" t="s">
        <v>151</v>
      </c>
      <c r="G2836" s="334"/>
      <c r="H2836" s="334" t="s">
        <v>670</v>
      </c>
      <c r="I2836" s="385"/>
      <c r="J2836" s="334" t="s">
        <v>794</v>
      </c>
      <c r="K2836" s="334" t="s">
        <v>70</v>
      </c>
      <c r="L2836" s="412" t="s">
        <v>151</v>
      </c>
      <c r="M2836" s="334"/>
      <c r="N2836" s="334" t="s">
        <v>670</v>
      </c>
      <c r="O2836" s="380"/>
      <c r="P2836" s="380"/>
      <c r="Q2836" s="380"/>
    </row>
    <row r="2837" spans="1:17" x14ac:dyDescent="0.2">
      <c r="A2837" s="334" t="s">
        <v>1723</v>
      </c>
      <c r="B2837" s="380"/>
      <c r="C2837" s="334" t="s">
        <v>1880</v>
      </c>
      <c r="D2837" s="334" t="s">
        <v>181</v>
      </c>
      <c r="E2837" s="334" t="s">
        <v>181</v>
      </c>
      <c r="F2837" s="389" t="s">
        <v>181</v>
      </c>
      <c r="G2837" s="334"/>
      <c r="H2837" s="334" t="s">
        <v>181</v>
      </c>
      <c r="I2837" s="385"/>
      <c r="J2837" s="334" t="s">
        <v>181</v>
      </c>
      <c r="K2837" s="334" t="s">
        <v>181</v>
      </c>
      <c r="L2837" s="412" t="s">
        <v>181</v>
      </c>
      <c r="M2837" s="334"/>
      <c r="N2837" s="334" t="s">
        <v>181</v>
      </c>
      <c r="O2837" s="380"/>
      <c r="P2837" s="380"/>
      <c r="Q2837" s="380"/>
    </row>
    <row r="2838" spans="1:17" x14ac:dyDescent="0.2">
      <c r="A2838" s="380"/>
      <c r="B2838" s="380"/>
      <c r="C2838" s="334" t="s">
        <v>342</v>
      </c>
      <c r="D2838" s="334" t="s">
        <v>342</v>
      </c>
      <c r="E2838" s="334" t="s">
        <v>342</v>
      </c>
      <c r="F2838" s="412" t="s">
        <v>342</v>
      </c>
      <c r="G2838" s="334"/>
      <c r="H2838" s="334" t="s">
        <v>342</v>
      </c>
      <c r="I2838" s="385"/>
      <c r="J2838" s="334" t="s">
        <v>342</v>
      </c>
      <c r="K2838" s="334" t="s">
        <v>342</v>
      </c>
      <c r="L2838" s="412" t="s">
        <v>342</v>
      </c>
      <c r="M2838" s="334"/>
      <c r="N2838" s="334" t="s">
        <v>342</v>
      </c>
      <c r="O2838" s="380"/>
      <c r="P2838" s="380"/>
      <c r="Q2838" s="380"/>
    </row>
    <row r="2839" spans="1:17" x14ac:dyDescent="0.2">
      <c r="A2839" s="334" t="s">
        <v>1796</v>
      </c>
      <c r="B2839" s="380"/>
      <c r="C2839" s="334" t="s">
        <v>26</v>
      </c>
      <c r="D2839" s="377"/>
      <c r="E2839" s="377"/>
      <c r="F2839" s="378"/>
      <c r="G2839" s="377"/>
      <c r="H2839" s="377"/>
      <c r="I2839" s="399"/>
      <c r="J2839" s="377"/>
      <c r="K2839" s="377"/>
      <c r="L2839" s="378"/>
      <c r="M2839" s="377"/>
      <c r="N2839" s="377"/>
      <c r="O2839" s="380"/>
      <c r="P2839" s="380"/>
      <c r="Q2839" s="380"/>
    </row>
    <row r="2840" spans="1:17" x14ac:dyDescent="0.2">
      <c r="A2840" s="334" t="s">
        <v>1733</v>
      </c>
      <c r="B2840" s="380"/>
      <c r="C2840" s="334" t="s">
        <v>27</v>
      </c>
      <c r="D2840" s="377"/>
      <c r="E2840" s="377"/>
      <c r="F2840" s="378"/>
      <c r="G2840" s="377"/>
      <c r="H2840" s="377"/>
      <c r="I2840" s="399"/>
      <c r="J2840" s="377"/>
      <c r="K2840" s="377"/>
      <c r="L2840" s="378"/>
      <c r="M2840" s="377"/>
      <c r="N2840" s="377"/>
      <c r="O2840" s="380"/>
      <c r="P2840" s="380"/>
      <c r="Q2840" s="380"/>
    </row>
    <row r="2841" spans="1:17" x14ac:dyDescent="0.2">
      <c r="A2841" s="334" t="s">
        <v>1569</v>
      </c>
      <c r="B2841" s="380"/>
      <c r="C2841" s="334" t="s">
        <v>1888</v>
      </c>
      <c r="D2841" s="377"/>
      <c r="E2841" s="377"/>
      <c r="F2841" s="378"/>
      <c r="G2841" s="377"/>
      <c r="H2841" s="377"/>
      <c r="I2841" s="399"/>
      <c r="J2841" s="377"/>
      <c r="K2841" s="377"/>
      <c r="L2841" s="378"/>
      <c r="M2841" s="377"/>
      <c r="N2841" s="377"/>
      <c r="O2841" s="380"/>
      <c r="P2841" s="380"/>
      <c r="Q2841" s="380"/>
    </row>
    <row r="2842" spans="1:17" x14ac:dyDescent="0.2">
      <c r="A2842" s="334" t="s">
        <v>1743</v>
      </c>
      <c r="B2842" s="380"/>
      <c r="C2842" s="334" t="s">
        <v>1886</v>
      </c>
      <c r="D2842" s="377"/>
      <c r="E2842" s="377"/>
      <c r="F2842" s="378"/>
      <c r="G2842" s="377"/>
      <c r="H2842" s="377"/>
      <c r="I2842" s="399"/>
      <c r="J2842" s="377"/>
      <c r="K2842" s="377"/>
      <c r="L2842" s="378"/>
      <c r="M2842" s="377"/>
      <c r="N2842" s="377">
        <v>980</v>
      </c>
      <c r="O2842" s="380"/>
      <c r="P2842" s="380"/>
      <c r="Q2842" s="380"/>
    </row>
    <row r="2843" spans="1:17" x14ac:dyDescent="0.2">
      <c r="A2843" s="334" t="s">
        <v>1724</v>
      </c>
      <c r="B2843" s="380"/>
      <c r="C2843" s="334" t="s">
        <v>1881</v>
      </c>
      <c r="D2843" s="377">
        <v>300</v>
      </c>
      <c r="E2843" s="377">
        <v>1350</v>
      </c>
      <c r="F2843" s="378">
        <v>200</v>
      </c>
      <c r="G2843" s="377"/>
      <c r="H2843" s="377">
        <v>50</v>
      </c>
      <c r="I2843" s="399"/>
      <c r="J2843" s="377">
        <v>300</v>
      </c>
      <c r="K2843" s="377">
        <v>1350</v>
      </c>
      <c r="L2843" s="378">
        <v>180</v>
      </c>
      <c r="M2843" s="377"/>
      <c r="N2843" s="377">
        <v>45</v>
      </c>
      <c r="O2843" s="380"/>
      <c r="P2843" s="380"/>
      <c r="Q2843" s="380"/>
    </row>
    <row r="2844" spans="1:17" x14ac:dyDescent="0.2">
      <c r="A2844" s="334" t="s">
        <v>1736</v>
      </c>
      <c r="B2844" s="380"/>
      <c r="C2844" s="334" t="s">
        <v>1747</v>
      </c>
      <c r="D2844" s="377"/>
      <c r="E2844" s="377"/>
      <c r="F2844" s="378"/>
      <c r="G2844" s="377"/>
      <c r="H2844" s="377"/>
      <c r="I2844" s="399"/>
      <c r="J2844" s="377"/>
      <c r="K2844" s="377"/>
      <c r="L2844" s="378"/>
      <c r="M2844" s="377"/>
      <c r="N2844" s="377"/>
      <c r="O2844" s="380"/>
      <c r="P2844" s="380"/>
      <c r="Q2844" s="380"/>
    </row>
    <row r="2845" spans="1:17" x14ac:dyDescent="0.2">
      <c r="A2845" s="334" t="s">
        <v>1744</v>
      </c>
      <c r="B2845" s="380"/>
      <c r="C2845" s="334" t="s">
        <v>1254</v>
      </c>
      <c r="D2845" s="377">
        <v>500</v>
      </c>
      <c r="E2845" s="377">
        <v>400</v>
      </c>
      <c r="F2845" s="378"/>
      <c r="G2845" s="377"/>
      <c r="H2845" s="377"/>
      <c r="I2845" s="399"/>
      <c r="J2845" s="377">
        <v>500</v>
      </c>
      <c r="K2845" s="377">
        <v>400</v>
      </c>
      <c r="L2845" s="378"/>
      <c r="M2845" s="377"/>
      <c r="N2845" s="377"/>
      <c r="O2845" s="380"/>
      <c r="P2845" s="380"/>
      <c r="Q2845" s="380"/>
    </row>
    <row r="2846" spans="1:17" x14ac:dyDescent="0.2">
      <c r="A2846" s="334" t="s">
        <v>1582</v>
      </c>
      <c r="B2846" s="380"/>
      <c r="C2846" s="334" t="s">
        <v>3135</v>
      </c>
      <c r="D2846" s="377"/>
      <c r="E2846" s="377"/>
      <c r="F2846" s="378"/>
      <c r="G2846" s="377"/>
      <c r="H2846" s="377"/>
      <c r="I2846" s="399"/>
      <c r="J2846" s="377"/>
      <c r="K2846" s="377"/>
      <c r="L2846" s="378"/>
      <c r="M2846" s="377"/>
      <c r="N2846" s="377"/>
      <c r="O2846" s="380"/>
      <c r="P2846" s="380"/>
      <c r="Q2846" s="380"/>
    </row>
    <row r="2847" spans="1:17" x14ac:dyDescent="0.2">
      <c r="A2847" s="334" t="s">
        <v>1575</v>
      </c>
      <c r="B2847" s="380"/>
      <c r="C2847" s="334" t="s">
        <v>1889</v>
      </c>
      <c r="D2847" s="377"/>
      <c r="E2847" s="377"/>
      <c r="F2847" s="378"/>
      <c r="G2847" s="377"/>
      <c r="H2847" s="377"/>
      <c r="I2847" s="399"/>
      <c r="J2847" s="377"/>
      <c r="K2847" s="377"/>
      <c r="L2847" s="378"/>
      <c r="M2847" s="377"/>
      <c r="N2847" s="377"/>
      <c r="O2847" s="380"/>
      <c r="P2847" s="380"/>
      <c r="Q2847" s="380"/>
    </row>
    <row r="2848" spans="1:17" x14ac:dyDescent="0.2">
      <c r="A2848" s="334" t="s">
        <v>1725</v>
      </c>
      <c r="B2848" s="380"/>
      <c r="C2848" s="334" t="s">
        <v>1890</v>
      </c>
      <c r="D2848" s="377">
        <v>150</v>
      </c>
      <c r="E2848" s="377"/>
      <c r="F2848" s="378">
        <v>100</v>
      </c>
      <c r="G2848" s="377"/>
      <c r="H2848" s="377"/>
      <c r="I2848" s="399"/>
      <c r="J2848" s="377">
        <v>150</v>
      </c>
      <c r="K2848" s="377"/>
      <c r="L2848" s="378">
        <v>90</v>
      </c>
      <c r="M2848" s="377"/>
      <c r="N2848" s="377"/>
      <c r="O2848" s="380"/>
      <c r="P2848" s="380"/>
      <c r="Q2848" s="380"/>
    </row>
    <row r="2849" spans="1:17" x14ac:dyDescent="0.2">
      <c r="A2849" s="384" t="s">
        <v>1745</v>
      </c>
      <c r="B2849" s="380"/>
      <c r="C2849" s="334" t="s">
        <v>1887</v>
      </c>
      <c r="D2849" s="377"/>
      <c r="E2849" s="377"/>
      <c r="F2849" s="378"/>
      <c r="G2849" s="377"/>
      <c r="H2849" s="377"/>
      <c r="I2849" s="399"/>
      <c r="J2849" s="377"/>
      <c r="K2849" s="377"/>
      <c r="L2849" s="378"/>
      <c r="M2849" s="377"/>
      <c r="N2849" s="377"/>
      <c r="O2849" s="380"/>
      <c r="P2849" s="380"/>
      <c r="Q2849" s="380"/>
    </row>
    <row r="2850" spans="1:17" x14ac:dyDescent="0.2">
      <c r="A2850" s="334" t="s">
        <v>1565</v>
      </c>
      <c r="B2850" s="380"/>
      <c r="C2850" s="334" t="s">
        <v>1927</v>
      </c>
      <c r="D2850" s="377"/>
      <c r="E2850" s="377"/>
      <c r="F2850" s="378"/>
      <c r="G2850" s="377"/>
      <c r="H2850" s="377"/>
      <c r="I2850" s="399"/>
      <c r="J2850" s="377"/>
      <c r="K2850" s="377"/>
      <c r="L2850" s="378"/>
      <c r="M2850" s="377"/>
      <c r="N2850" s="377">
        <v>27</v>
      </c>
      <c r="O2850" s="380"/>
      <c r="P2850" s="380"/>
      <c r="Q2850" s="380"/>
    </row>
    <row r="2851" spans="1:17" x14ac:dyDescent="0.2">
      <c r="A2851" s="334" t="s">
        <v>1737</v>
      </c>
      <c r="B2851" s="380"/>
      <c r="C2851" s="334" t="s">
        <v>1984</v>
      </c>
      <c r="D2851" s="377">
        <v>150</v>
      </c>
      <c r="E2851" s="377">
        <v>360</v>
      </c>
      <c r="F2851" s="378"/>
      <c r="G2851" s="377"/>
      <c r="H2851" s="377">
        <v>50</v>
      </c>
      <c r="I2851" s="399"/>
      <c r="J2851" s="377">
        <v>150</v>
      </c>
      <c r="K2851" s="377">
        <v>360</v>
      </c>
      <c r="L2851" s="378"/>
      <c r="M2851" s="377"/>
      <c r="N2851" s="377"/>
      <c r="O2851" s="380"/>
      <c r="P2851" s="380"/>
      <c r="Q2851" s="380"/>
    </row>
    <row r="2852" spans="1:17" x14ac:dyDescent="0.2">
      <c r="A2852" s="334" t="s">
        <v>1726</v>
      </c>
      <c r="B2852" s="380"/>
      <c r="C2852" s="334" t="s">
        <v>1117</v>
      </c>
      <c r="D2852" s="377"/>
      <c r="E2852" s="377"/>
      <c r="F2852" s="378"/>
      <c r="G2852" s="377"/>
      <c r="H2852" s="377"/>
      <c r="I2852" s="399"/>
      <c r="J2852" s="377"/>
      <c r="K2852" s="377"/>
      <c r="L2852" s="378"/>
      <c r="M2852" s="377"/>
      <c r="N2852" s="377"/>
      <c r="O2852" s="380"/>
      <c r="P2852" s="380"/>
      <c r="Q2852" s="380"/>
    </row>
    <row r="2853" spans="1:17" x14ac:dyDescent="0.2">
      <c r="A2853" s="384" t="s">
        <v>1828</v>
      </c>
      <c r="B2853" s="380"/>
      <c r="C2853" s="334" t="s">
        <v>2712</v>
      </c>
      <c r="D2853" s="377"/>
      <c r="E2853" s="377"/>
      <c r="F2853" s="378"/>
      <c r="G2853" s="377"/>
      <c r="H2853" s="377">
        <v>5000</v>
      </c>
      <c r="I2853" s="399"/>
      <c r="J2853" s="377"/>
      <c r="K2853" s="377"/>
      <c r="L2853" s="378"/>
      <c r="M2853" s="377"/>
      <c r="N2853" s="377"/>
      <c r="O2853" s="380"/>
      <c r="P2853" s="380"/>
      <c r="Q2853" s="380"/>
    </row>
    <row r="2854" spans="1:17" x14ac:dyDescent="0.2">
      <c r="A2854" s="334" t="s">
        <v>1661</v>
      </c>
      <c r="B2854" s="380"/>
      <c r="C2854" s="334" t="s">
        <v>3136</v>
      </c>
      <c r="D2854" s="377"/>
      <c r="E2854" s="377"/>
      <c r="F2854" s="378"/>
      <c r="G2854" s="377"/>
      <c r="H2854" s="377"/>
      <c r="I2854" s="399"/>
      <c r="J2854" s="377"/>
      <c r="K2854" s="377"/>
      <c r="L2854" s="378"/>
      <c r="M2854" s="377"/>
      <c r="N2854" s="377"/>
      <c r="O2854" s="380"/>
      <c r="P2854" s="380"/>
      <c r="Q2854" s="380"/>
    </row>
    <row r="2855" spans="1:17" x14ac:dyDescent="0.2">
      <c r="A2855" s="384" t="s">
        <v>1751</v>
      </c>
      <c r="B2855" s="380"/>
      <c r="C2855" s="334" t="s">
        <v>3138</v>
      </c>
      <c r="D2855" s="377"/>
      <c r="E2855" s="377"/>
      <c r="F2855" s="378"/>
      <c r="G2855" s="377"/>
      <c r="H2855" s="377"/>
      <c r="I2855" s="399"/>
      <c r="J2855" s="377"/>
      <c r="K2855" s="377"/>
      <c r="L2855" s="378"/>
      <c r="M2855" s="377"/>
      <c r="N2855" s="377"/>
      <c r="O2855" s="380"/>
      <c r="P2855" s="380"/>
      <c r="Q2855" s="380"/>
    </row>
    <row r="2856" spans="1:17" x14ac:dyDescent="0.2">
      <c r="A2856" s="334" t="s">
        <v>1577</v>
      </c>
      <c r="B2856" s="380"/>
      <c r="C2856" s="334" t="s">
        <v>1815</v>
      </c>
      <c r="D2856" s="377"/>
      <c r="E2856" s="377"/>
      <c r="F2856" s="378"/>
      <c r="G2856" s="377"/>
      <c r="H2856" s="377"/>
      <c r="I2856" s="399"/>
      <c r="J2856" s="377"/>
      <c r="K2856" s="377"/>
      <c r="L2856" s="378"/>
      <c r="M2856" s="377"/>
      <c r="N2856" s="377"/>
      <c r="O2856" s="380"/>
      <c r="P2856" s="380"/>
      <c r="Q2856" s="380"/>
    </row>
    <row r="2857" spans="1:17" x14ac:dyDescent="0.2">
      <c r="A2857" s="334" t="s">
        <v>1734</v>
      </c>
      <c r="B2857" s="380"/>
      <c r="C2857" s="334" t="s">
        <v>1746</v>
      </c>
      <c r="D2857" s="377"/>
      <c r="E2857" s="377"/>
      <c r="F2857" s="378"/>
      <c r="G2857" s="377"/>
      <c r="H2857" s="377">
        <v>100</v>
      </c>
      <c r="I2857" s="399"/>
      <c r="J2857" s="377"/>
      <c r="K2857" s="377"/>
      <c r="L2857" s="378"/>
      <c r="M2857" s="377"/>
      <c r="N2857" s="377">
        <v>100</v>
      </c>
      <c r="O2857" s="380"/>
      <c r="P2857" s="380"/>
      <c r="Q2857" s="380"/>
    </row>
    <row r="2858" spans="1:17" x14ac:dyDescent="0.2">
      <c r="A2858" s="334" t="s">
        <v>1571</v>
      </c>
      <c r="B2858" s="380"/>
      <c r="C2858" s="334" t="s">
        <v>3</v>
      </c>
      <c r="D2858" s="377"/>
      <c r="E2858" s="377"/>
      <c r="F2858" s="378"/>
      <c r="G2858" s="377"/>
      <c r="H2858" s="377"/>
      <c r="I2858" s="399"/>
      <c r="J2858" s="377"/>
      <c r="K2858" s="377"/>
      <c r="L2858" s="378"/>
      <c r="M2858" s="377"/>
      <c r="N2858" s="377"/>
      <c r="O2858" s="380"/>
      <c r="P2858" s="380"/>
      <c r="Q2858" s="380"/>
    </row>
    <row r="2859" spans="1:17" x14ac:dyDescent="0.2">
      <c r="A2859" s="334" t="s">
        <v>1578</v>
      </c>
      <c r="B2859" s="380"/>
      <c r="C2859" s="334" t="s">
        <v>22</v>
      </c>
      <c r="D2859" s="377"/>
      <c r="E2859" s="377"/>
      <c r="F2859" s="378"/>
      <c r="G2859" s="377"/>
      <c r="H2859" s="377"/>
      <c r="I2859" s="399"/>
      <c r="J2859" s="377"/>
      <c r="K2859" s="377"/>
      <c r="L2859" s="378"/>
      <c r="M2859" s="377"/>
      <c r="N2859" s="377"/>
      <c r="O2859" s="380"/>
      <c r="P2859" s="380"/>
      <c r="Q2859" s="380"/>
    </row>
    <row r="2860" spans="1:17" x14ac:dyDescent="0.2">
      <c r="A2860" s="334" t="s">
        <v>1738</v>
      </c>
      <c r="B2860" s="380"/>
      <c r="C2860" s="334" t="s">
        <v>1591</v>
      </c>
      <c r="D2860" s="377">
        <v>100</v>
      </c>
      <c r="E2860" s="377">
        <v>700</v>
      </c>
      <c r="F2860" s="378">
        <v>100</v>
      </c>
      <c r="G2860" s="377"/>
      <c r="H2860" s="377">
        <v>300</v>
      </c>
      <c r="I2860" s="399"/>
      <c r="J2860" s="377">
        <v>90</v>
      </c>
      <c r="K2860" s="377">
        <v>675</v>
      </c>
      <c r="L2860" s="378">
        <v>90</v>
      </c>
      <c r="M2860" s="377"/>
      <c r="N2860" s="377">
        <v>226</v>
      </c>
      <c r="O2860" s="380"/>
      <c r="P2860" s="380"/>
      <c r="Q2860" s="380"/>
    </row>
    <row r="2861" spans="1:17" x14ac:dyDescent="0.2">
      <c r="A2861" s="334" t="s">
        <v>1727</v>
      </c>
      <c r="B2861" s="380"/>
      <c r="C2861" s="334" t="s">
        <v>307</v>
      </c>
      <c r="D2861" s="377">
        <v>100</v>
      </c>
      <c r="E2861" s="377">
        <v>450</v>
      </c>
      <c r="F2861" s="378">
        <v>100</v>
      </c>
      <c r="G2861" s="377"/>
      <c r="H2861" s="377"/>
      <c r="I2861" s="399"/>
      <c r="J2861" s="377">
        <v>100</v>
      </c>
      <c r="K2861" s="377">
        <v>450</v>
      </c>
      <c r="L2861" s="378">
        <v>90</v>
      </c>
      <c r="M2861" s="377"/>
      <c r="N2861" s="377"/>
      <c r="O2861" s="380"/>
      <c r="P2861" s="380"/>
      <c r="Q2861" s="380"/>
    </row>
    <row r="2862" spans="1:17" x14ac:dyDescent="0.2">
      <c r="A2862" s="334" t="s">
        <v>1728</v>
      </c>
      <c r="B2862" s="380"/>
      <c r="C2862" s="334" t="s">
        <v>310</v>
      </c>
      <c r="D2862" s="377">
        <v>500</v>
      </c>
      <c r="E2862" s="377">
        <v>450</v>
      </c>
      <c r="F2862" s="378">
        <v>100</v>
      </c>
      <c r="G2862" s="377"/>
      <c r="H2862" s="377"/>
      <c r="I2862" s="399"/>
      <c r="J2862" s="377">
        <v>500</v>
      </c>
      <c r="K2862" s="377">
        <v>450</v>
      </c>
      <c r="L2862" s="378">
        <v>90</v>
      </c>
      <c r="M2862" s="377"/>
      <c r="N2862" s="377"/>
      <c r="O2862" s="380"/>
      <c r="P2862" s="380"/>
      <c r="Q2862" s="380"/>
    </row>
    <row r="2863" spans="1:17" x14ac:dyDescent="0.2">
      <c r="A2863" s="334" t="s">
        <v>1729</v>
      </c>
      <c r="B2863" s="380"/>
      <c r="C2863" s="380" t="s">
        <v>1551</v>
      </c>
      <c r="D2863" s="377">
        <f>-660-1500</f>
        <v>-2160</v>
      </c>
      <c r="E2863" s="377">
        <v>-892</v>
      </c>
      <c r="F2863" s="378">
        <v>-120</v>
      </c>
      <c r="G2863" s="377"/>
      <c r="H2863" s="377">
        <f>-1380-5000</f>
        <v>-6380</v>
      </c>
      <c r="I2863" s="399"/>
      <c r="J2863" s="377">
        <v>25</v>
      </c>
      <c r="K2863" s="377">
        <v>100</v>
      </c>
      <c r="L2863" s="378">
        <v>25</v>
      </c>
      <c r="M2863" s="377"/>
      <c r="N2863" s="377"/>
      <c r="O2863" s="380"/>
      <c r="P2863" s="380"/>
      <c r="Q2863" s="380"/>
    </row>
    <row r="2864" spans="1:17" x14ac:dyDescent="0.2">
      <c r="A2864" s="334" t="s">
        <v>1735</v>
      </c>
      <c r="B2864" s="380"/>
      <c r="C2864" s="380" t="s">
        <v>194</v>
      </c>
      <c r="D2864" s="377"/>
      <c r="E2864" s="377"/>
      <c r="F2864" s="378"/>
      <c r="G2864" s="377"/>
      <c r="H2864" s="377"/>
      <c r="I2864" s="399"/>
      <c r="J2864" s="377"/>
      <c r="K2864" s="377">
        <v>50</v>
      </c>
      <c r="L2864" s="378">
        <v>45</v>
      </c>
      <c r="M2864" s="377"/>
      <c r="N2864" s="377">
        <v>20</v>
      </c>
      <c r="O2864" s="380"/>
      <c r="P2864" s="380"/>
      <c r="Q2864" s="380"/>
    </row>
    <row r="2865" spans="1:17" x14ac:dyDescent="0.2">
      <c r="A2865" s="334" t="s">
        <v>1741</v>
      </c>
      <c r="B2865" s="380"/>
      <c r="C2865" s="334" t="s">
        <v>1748</v>
      </c>
      <c r="D2865" s="377"/>
      <c r="E2865" s="377">
        <v>250</v>
      </c>
      <c r="F2865" s="378"/>
      <c r="G2865" s="377"/>
      <c r="H2865" s="377"/>
      <c r="I2865" s="399"/>
      <c r="J2865" s="377"/>
      <c r="K2865" s="377">
        <v>230</v>
      </c>
      <c r="L2865" s="378"/>
      <c r="M2865" s="377"/>
      <c r="N2865" s="377"/>
      <c r="O2865" s="380"/>
      <c r="P2865" s="380"/>
      <c r="Q2865" s="380"/>
    </row>
    <row r="2866" spans="1:17" x14ac:dyDescent="0.2">
      <c r="A2866" s="334" t="s">
        <v>1742</v>
      </c>
      <c r="B2866" s="380"/>
      <c r="C2866" s="334" t="s">
        <v>1553</v>
      </c>
      <c r="D2866" s="377"/>
      <c r="E2866" s="377"/>
      <c r="F2866" s="378"/>
      <c r="G2866" s="377"/>
      <c r="H2866" s="377"/>
      <c r="I2866" s="399"/>
      <c r="J2866" s="377"/>
      <c r="K2866" s="377"/>
      <c r="L2866" s="378"/>
      <c r="M2866" s="377"/>
      <c r="N2866" s="377"/>
      <c r="O2866" s="380"/>
      <c r="P2866" s="380"/>
      <c r="Q2866" s="380"/>
    </row>
    <row r="2867" spans="1:17" x14ac:dyDescent="0.2">
      <c r="A2867" s="334" t="s">
        <v>1584</v>
      </c>
      <c r="B2867" s="380"/>
      <c r="C2867" s="334" t="s">
        <v>0</v>
      </c>
      <c r="D2867" s="377"/>
      <c r="E2867" s="377"/>
      <c r="F2867" s="378"/>
      <c r="G2867" s="377"/>
      <c r="H2867" s="377"/>
      <c r="I2867" s="399"/>
      <c r="J2867" s="377"/>
      <c r="K2867" s="377"/>
      <c r="L2867" s="378"/>
      <c r="M2867" s="377"/>
      <c r="N2867" s="377"/>
      <c r="O2867" s="380"/>
      <c r="P2867" s="380"/>
      <c r="Q2867" s="380"/>
    </row>
    <row r="2868" spans="1:17" x14ac:dyDescent="0.2">
      <c r="A2868" s="334" t="s">
        <v>1580</v>
      </c>
      <c r="B2868" s="380"/>
      <c r="C2868" s="334" t="s">
        <v>1935</v>
      </c>
      <c r="D2868" s="377"/>
      <c r="E2868" s="377"/>
      <c r="F2868" s="378"/>
      <c r="G2868" s="377"/>
      <c r="H2868" s="377"/>
      <c r="I2868" s="399"/>
      <c r="J2868" s="377"/>
      <c r="K2868" s="377"/>
      <c r="L2868" s="378"/>
      <c r="M2868" s="377"/>
      <c r="N2868" s="377"/>
      <c r="O2868" s="380"/>
      <c r="P2868" s="380"/>
      <c r="Q2868" s="380"/>
    </row>
    <row r="2869" spans="1:17" x14ac:dyDescent="0.2">
      <c r="A2869" s="334" t="s">
        <v>1572</v>
      </c>
      <c r="B2869" s="380"/>
      <c r="C2869" s="334" t="s">
        <v>3134</v>
      </c>
      <c r="D2869" s="377">
        <v>100</v>
      </c>
      <c r="E2869" s="377"/>
      <c r="F2869" s="378"/>
      <c r="G2869" s="377"/>
      <c r="H2869" s="377"/>
      <c r="I2869" s="399"/>
      <c r="J2869" s="377">
        <v>100</v>
      </c>
      <c r="K2869" s="377"/>
      <c r="L2869" s="378"/>
      <c r="M2869" s="377"/>
      <c r="N2869" s="377"/>
      <c r="O2869" s="380"/>
      <c r="P2869" s="380"/>
      <c r="Q2869" s="380"/>
    </row>
    <row r="2870" spans="1:17" x14ac:dyDescent="0.2">
      <c r="A2870" s="334" t="s">
        <v>1730</v>
      </c>
      <c r="B2870" s="380"/>
      <c r="C2870" s="334" t="s">
        <v>1985</v>
      </c>
      <c r="D2870" s="377">
        <v>1000</v>
      </c>
      <c r="E2870" s="377"/>
      <c r="F2870" s="378"/>
      <c r="G2870" s="377"/>
      <c r="H2870" s="377">
        <v>900</v>
      </c>
      <c r="I2870" s="399"/>
      <c r="J2870" s="377">
        <v>1000</v>
      </c>
      <c r="K2870" s="377"/>
      <c r="L2870" s="378"/>
      <c r="M2870" s="377"/>
      <c r="N2870" s="377">
        <v>902</v>
      </c>
      <c r="O2870" s="380"/>
      <c r="P2870" s="380"/>
      <c r="Q2870" s="380"/>
    </row>
    <row r="2871" spans="1:17" x14ac:dyDescent="0.2">
      <c r="A2871" s="334" t="s">
        <v>1566</v>
      </c>
      <c r="B2871" s="380"/>
      <c r="C2871" s="334" t="s">
        <v>366</v>
      </c>
      <c r="D2871" s="377">
        <v>400</v>
      </c>
      <c r="E2871" s="377">
        <v>500</v>
      </c>
      <c r="F2871" s="378"/>
      <c r="G2871" s="377"/>
      <c r="H2871" s="377">
        <v>500</v>
      </c>
      <c r="I2871" s="399"/>
      <c r="J2871" s="377">
        <v>400</v>
      </c>
      <c r="K2871" s="377">
        <v>450</v>
      </c>
      <c r="L2871" s="378"/>
      <c r="M2871" s="377"/>
      <c r="N2871" s="377">
        <v>361</v>
      </c>
      <c r="O2871" s="380"/>
      <c r="P2871" s="380"/>
      <c r="Q2871" s="380"/>
    </row>
    <row r="2872" spans="1:17" x14ac:dyDescent="0.2">
      <c r="A2872" s="334" t="s">
        <v>1755</v>
      </c>
      <c r="B2872" s="380"/>
      <c r="C2872" s="380" t="s">
        <v>1986</v>
      </c>
      <c r="D2872" s="377"/>
      <c r="E2872" s="377"/>
      <c r="F2872" s="378"/>
      <c r="G2872" s="377"/>
      <c r="H2872" s="377"/>
      <c r="I2872" s="399"/>
      <c r="J2872" s="377"/>
      <c r="K2872" s="377"/>
      <c r="L2872" s="378"/>
      <c r="M2872" s="377"/>
      <c r="N2872" s="377"/>
      <c r="O2872" s="380"/>
      <c r="P2872" s="380"/>
      <c r="Q2872" s="380"/>
    </row>
    <row r="2873" spans="1:17" x14ac:dyDescent="0.2">
      <c r="A2873" s="334" t="s">
        <v>1587</v>
      </c>
      <c r="B2873" s="380"/>
      <c r="C2873" s="334" t="s">
        <v>34</v>
      </c>
      <c r="D2873" s="377"/>
      <c r="E2873" s="377"/>
      <c r="F2873" s="378"/>
      <c r="G2873" s="377"/>
      <c r="H2873" s="377"/>
      <c r="I2873" s="399"/>
      <c r="J2873" s="377"/>
      <c r="K2873" s="377"/>
      <c r="L2873" s="378"/>
      <c r="M2873" s="377"/>
      <c r="N2873" s="377"/>
      <c r="O2873" s="380"/>
      <c r="P2873" s="380"/>
      <c r="Q2873" s="380"/>
    </row>
    <row r="2874" spans="1:17" x14ac:dyDescent="0.2">
      <c r="A2874" s="384" t="s">
        <v>1588</v>
      </c>
      <c r="B2874" s="380"/>
      <c r="C2874" s="334" t="s">
        <v>191</v>
      </c>
      <c r="D2874" s="377"/>
      <c r="E2874" s="377"/>
      <c r="F2874" s="378"/>
      <c r="G2874" s="377"/>
      <c r="H2874" s="377"/>
      <c r="I2874" s="399"/>
      <c r="J2874" s="377"/>
      <c r="K2874" s="377"/>
      <c r="L2874" s="378"/>
      <c r="M2874" s="377"/>
      <c r="N2874" s="377"/>
      <c r="O2874" s="380"/>
      <c r="P2874" s="380"/>
      <c r="Q2874" s="380"/>
    </row>
    <row r="2875" spans="1:17" x14ac:dyDescent="0.2">
      <c r="A2875" s="384" t="s">
        <v>1903</v>
      </c>
      <c r="B2875" s="380"/>
      <c r="C2875" s="334" t="s">
        <v>35</v>
      </c>
      <c r="D2875" s="377"/>
      <c r="E2875" s="377"/>
      <c r="F2875" s="378"/>
      <c r="G2875" s="377"/>
      <c r="H2875" s="377"/>
      <c r="I2875" s="399"/>
      <c r="J2875" s="377"/>
      <c r="K2875" s="377"/>
      <c r="L2875" s="378"/>
      <c r="M2875" s="377"/>
      <c r="N2875" s="377"/>
      <c r="O2875" s="380"/>
      <c r="P2875" s="380"/>
      <c r="Q2875" s="380"/>
    </row>
    <row r="2876" spans="1:17" x14ac:dyDescent="0.2">
      <c r="A2876" s="384" t="s">
        <v>1962</v>
      </c>
      <c r="B2876" s="380"/>
      <c r="C2876" s="380" t="s">
        <v>572</v>
      </c>
      <c r="D2876" s="377"/>
      <c r="E2876" s="377"/>
      <c r="F2876" s="378"/>
      <c r="G2876" s="377"/>
      <c r="H2876" s="377"/>
      <c r="I2876" s="399"/>
      <c r="J2876" s="377"/>
      <c r="K2876" s="377"/>
      <c r="L2876" s="378"/>
      <c r="M2876" s="377"/>
      <c r="N2876" s="377"/>
      <c r="O2876" s="380"/>
      <c r="P2876" s="380"/>
      <c r="Q2876" s="380"/>
    </row>
    <row r="2877" spans="1:17" x14ac:dyDescent="0.2">
      <c r="A2877" s="391" t="s">
        <v>1567</v>
      </c>
      <c r="B2877" s="380"/>
      <c r="C2877" s="334" t="s">
        <v>3142</v>
      </c>
      <c r="D2877" s="377"/>
      <c r="E2877" s="377"/>
      <c r="F2877" s="378"/>
      <c r="G2877" s="377"/>
      <c r="H2877" s="377"/>
      <c r="I2877" s="399"/>
      <c r="J2877" s="377"/>
      <c r="K2877" s="377"/>
      <c r="L2877" s="378"/>
      <c r="M2877" s="377"/>
      <c r="N2877" s="377"/>
      <c r="O2877" s="380"/>
      <c r="P2877" s="380"/>
      <c r="Q2877" s="380"/>
    </row>
    <row r="2878" spans="1:17" x14ac:dyDescent="0.2">
      <c r="A2878" s="334" t="s">
        <v>342</v>
      </c>
      <c r="B2878" s="380"/>
      <c r="C2878" s="334" t="s">
        <v>342</v>
      </c>
      <c r="D2878" s="410" t="s">
        <v>342</v>
      </c>
      <c r="E2878" s="410" t="s">
        <v>342</v>
      </c>
      <c r="F2878" s="445" t="s">
        <v>342</v>
      </c>
      <c r="G2878" s="410"/>
      <c r="H2878" s="410" t="s">
        <v>342</v>
      </c>
      <c r="I2878" s="385"/>
      <c r="J2878" s="410" t="s">
        <v>342</v>
      </c>
      <c r="K2878" s="410" t="s">
        <v>342</v>
      </c>
      <c r="L2878" s="445" t="s">
        <v>342</v>
      </c>
      <c r="M2878" s="410"/>
      <c r="N2878" s="410" t="s">
        <v>342</v>
      </c>
      <c r="O2878" s="380"/>
      <c r="P2878" s="380"/>
      <c r="Q2878" s="380"/>
    </row>
    <row r="2879" spans="1:17" ht="15.75" thickBot="1" x14ac:dyDescent="0.25">
      <c r="A2879" s="334" t="s">
        <v>342</v>
      </c>
      <c r="B2879" s="380"/>
      <c r="C2879" s="334" t="s">
        <v>342</v>
      </c>
      <c r="D2879" s="411">
        <f>SUM(D2839:D2877)</f>
        <v>1140</v>
      </c>
      <c r="E2879" s="411">
        <f>SUM(E2839:E2877)</f>
        <v>3568</v>
      </c>
      <c r="F2879" s="414">
        <f>SUM(F2839:F2877)</f>
        <v>480</v>
      </c>
      <c r="G2879" s="411"/>
      <c r="H2879" s="411">
        <f>SUM(H2839:H2877)</f>
        <v>520</v>
      </c>
      <c r="I2879" s="385"/>
      <c r="J2879" s="411">
        <f>SUM(J2839:J2877)</f>
        <v>3315</v>
      </c>
      <c r="K2879" s="411">
        <f>SUM(K2839:K2877)</f>
        <v>4515</v>
      </c>
      <c r="L2879" s="414">
        <f>SUM(L2839:L2877)</f>
        <v>610</v>
      </c>
      <c r="M2879" s="411"/>
      <c r="N2879" s="411">
        <f>SUM(N2839:N2877)</f>
        <v>2661</v>
      </c>
      <c r="O2879" s="380"/>
      <c r="P2879" s="380"/>
      <c r="Q2879" s="380"/>
    </row>
    <row r="2880" spans="1:17" x14ac:dyDescent="0.2">
      <c r="A2880" s="334"/>
      <c r="B2880" s="380"/>
      <c r="C2880" s="334"/>
      <c r="D2880" s="385"/>
      <c r="E2880" s="385"/>
      <c r="F2880" s="415"/>
      <c r="G2880" s="385"/>
      <c r="H2880" s="385"/>
      <c r="I2880" s="385"/>
      <c r="J2880" s="385"/>
      <c r="K2880" s="385"/>
      <c r="L2880" s="415"/>
      <c r="M2880" s="385"/>
      <c r="N2880" s="385"/>
      <c r="O2880" s="380"/>
      <c r="P2880" s="380"/>
      <c r="Q2880" s="380"/>
    </row>
    <row r="2881" spans="1:17" x14ac:dyDescent="0.2">
      <c r="A2881" s="334"/>
      <c r="B2881" s="380"/>
      <c r="C2881" s="334"/>
      <c r="D2881" s="385"/>
      <c r="E2881" s="385"/>
      <c r="F2881" s="415"/>
      <c r="G2881" s="385"/>
      <c r="H2881" s="385"/>
      <c r="I2881" s="385"/>
      <c r="J2881" s="385"/>
      <c r="K2881" s="385"/>
      <c r="L2881" s="415"/>
      <c r="M2881" s="385"/>
      <c r="N2881" s="385"/>
      <c r="O2881" s="380"/>
      <c r="P2881" s="380"/>
      <c r="Q2881" s="380"/>
    </row>
    <row r="2882" spans="1:17" x14ac:dyDescent="0.2">
      <c r="A2882" s="334" t="s">
        <v>1663</v>
      </c>
      <c r="B2882" s="380"/>
      <c r="C2882" s="380"/>
      <c r="D2882" s="334" t="s">
        <v>130</v>
      </c>
      <c r="E2882" s="334" t="s">
        <v>131</v>
      </c>
      <c r="F2882" s="412" t="s">
        <v>1416</v>
      </c>
      <c r="G2882" s="334"/>
      <c r="H2882" s="334" t="s">
        <v>283</v>
      </c>
      <c r="I2882" s="385"/>
      <c r="J2882" s="334" t="s">
        <v>130</v>
      </c>
      <c r="K2882" s="334" t="s">
        <v>131</v>
      </c>
      <c r="L2882" s="412" t="s">
        <v>1416</v>
      </c>
      <c r="M2882" s="334"/>
      <c r="N2882" s="334" t="s">
        <v>283</v>
      </c>
      <c r="O2882" s="380"/>
      <c r="P2882" s="380"/>
      <c r="Q2882" s="380"/>
    </row>
    <row r="2883" spans="1:17" x14ac:dyDescent="0.2">
      <c r="A2883" s="334" t="s">
        <v>1664</v>
      </c>
      <c r="B2883" s="380"/>
      <c r="C2883" s="384"/>
      <c r="D2883" s="384" t="s">
        <v>3707</v>
      </c>
      <c r="E2883" s="384" t="s">
        <v>3708</v>
      </c>
      <c r="F2883" s="421" t="s">
        <v>2175</v>
      </c>
      <c r="G2883" s="334"/>
      <c r="H2883" s="384" t="s">
        <v>3710</v>
      </c>
      <c r="I2883" s="385"/>
      <c r="J2883" s="384" t="s">
        <v>3707</v>
      </c>
      <c r="K2883" s="384" t="s">
        <v>3708</v>
      </c>
      <c r="L2883" s="421" t="s">
        <v>2175</v>
      </c>
      <c r="M2883" s="334"/>
      <c r="N2883" s="384" t="s">
        <v>3710</v>
      </c>
      <c r="O2883" s="380"/>
      <c r="P2883" s="380"/>
      <c r="Q2883" s="380"/>
    </row>
    <row r="2884" spans="1:17" x14ac:dyDescent="0.2">
      <c r="A2884" s="334" t="s">
        <v>342</v>
      </c>
      <c r="B2884" s="380"/>
      <c r="C2884" s="334" t="s">
        <v>342</v>
      </c>
      <c r="D2884" s="334" t="s">
        <v>156</v>
      </c>
      <c r="E2884" s="334" t="s">
        <v>1684</v>
      </c>
      <c r="F2884" s="398" t="s">
        <v>161</v>
      </c>
      <c r="G2884" s="380"/>
      <c r="H2884" s="380" t="s">
        <v>1149</v>
      </c>
      <c r="I2884" s="385"/>
      <c r="J2884" s="334" t="s">
        <v>156</v>
      </c>
      <c r="K2884" s="334" t="s">
        <v>1684</v>
      </c>
      <c r="L2884" s="378" t="s">
        <v>161</v>
      </c>
      <c r="M2884" s="380"/>
      <c r="N2884" s="380" t="s">
        <v>1149</v>
      </c>
      <c r="O2884" s="380"/>
      <c r="P2884" s="380"/>
      <c r="Q2884" s="380"/>
    </row>
    <row r="2885" spans="1:17" x14ac:dyDescent="0.2">
      <c r="A2885" s="334" t="s">
        <v>1723</v>
      </c>
      <c r="B2885" s="380"/>
      <c r="C2885" s="334" t="s">
        <v>1880</v>
      </c>
      <c r="D2885" s="334" t="s">
        <v>181</v>
      </c>
      <c r="E2885" s="334" t="s">
        <v>181</v>
      </c>
      <c r="F2885" s="398" t="s">
        <v>181</v>
      </c>
      <c r="G2885" s="380"/>
      <c r="H2885" s="380" t="s">
        <v>181</v>
      </c>
      <c r="I2885" s="385"/>
      <c r="J2885" s="334" t="s">
        <v>181</v>
      </c>
      <c r="K2885" s="334" t="s">
        <v>181</v>
      </c>
      <c r="L2885" s="378" t="s">
        <v>181</v>
      </c>
      <c r="M2885" s="380"/>
      <c r="N2885" s="380" t="s">
        <v>181</v>
      </c>
      <c r="O2885" s="380"/>
      <c r="P2885" s="380"/>
      <c r="Q2885" s="380"/>
    </row>
    <row r="2886" spans="1:17" x14ac:dyDescent="0.2">
      <c r="A2886" s="380"/>
      <c r="B2886" s="380"/>
      <c r="C2886" s="334" t="s">
        <v>342</v>
      </c>
      <c r="D2886" s="334" t="s">
        <v>342</v>
      </c>
      <c r="E2886" s="334" t="s">
        <v>342</v>
      </c>
      <c r="F2886" s="378"/>
      <c r="G2886" s="380"/>
      <c r="H2886" s="380"/>
      <c r="I2886" s="385"/>
      <c r="J2886" s="334" t="s">
        <v>342</v>
      </c>
      <c r="K2886" s="334" t="s">
        <v>342</v>
      </c>
      <c r="L2886" s="378"/>
      <c r="M2886" s="380"/>
      <c r="N2886" s="380"/>
      <c r="O2886" s="380"/>
      <c r="P2886" s="380"/>
      <c r="Q2886" s="380"/>
    </row>
    <row r="2887" spans="1:17" x14ac:dyDescent="0.2">
      <c r="A2887" s="334" t="s">
        <v>1796</v>
      </c>
      <c r="B2887" s="380"/>
      <c r="C2887" s="334" t="s">
        <v>26</v>
      </c>
      <c r="D2887" s="377"/>
      <c r="E2887" s="377"/>
      <c r="F2887" s="378"/>
      <c r="G2887" s="377"/>
      <c r="H2887" s="377"/>
      <c r="I2887" s="399"/>
      <c r="J2887" s="377"/>
      <c r="K2887" s="377"/>
      <c r="L2887" s="378"/>
      <c r="M2887" s="377"/>
      <c r="N2887" s="377"/>
      <c r="O2887" s="380"/>
      <c r="P2887" s="380"/>
      <c r="Q2887" s="380"/>
    </row>
    <row r="2888" spans="1:17" x14ac:dyDescent="0.2">
      <c r="A2888" s="334" t="s">
        <v>1733</v>
      </c>
      <c r="B2888" s="380"/>
      <c r="C2888" s="334" t="s">
        <v>27</v>
      </c>
      <c r="D2888" s="377"/>
      <c r="E2888" s="377"/>
      <c r="F2888" s="378"/>
      <c r="G2888" s="377"/>
      <c r="H2888" s="377"/>
      <c r="I2888" s="399"/>
      <c r="J2888" s="377"/>
      <c r="K2888" s="377"/>
      <c r="L2888" s="378"/>
      <c r="M2888" s="377"/>
      <c r="N2888" s="377"/>
      <c r="O2888" s="380"/>
      <c r="P2888" s="380"/>
      <c r="Q2888" s="380"/>
    </row>
    <row r="2889" spans="1:17" x14ac:dyDescent="0.2">
      <c r="A2889" s="334" t="s">
        <v>1569</v>
      </c>
      <c r="B2889" s="380"/>
      <c r="C2889" s="334" t="s">
        <v>1888</v>
      </c>
      <c r="D2889" s="377"/>
      <c r="E2889" s="377"/>
      <c r="F2889" s="378"/>
      <c r="G2889" s="377"/>
      <c r="H2889" s="377"/>
      <c r="I2889" s="399"/>
      <c r="J2889" s="377"/>
      <c r="K2889" s="377"/>
      <c r="L2889" s="378"/>
      <c r="M2889" s="377"/>
      <c r="N2889" s="377"/>
      <c r="O2889" s="380"/>
      <c r="P2889" s="380"/>
      <c r="Q2889" s="380"/>
    </row>
    <row r="2890" spans="1:17" x14ac:dyDescent="0.2">
      <c r="A2890" s="334" t="s">
        <v>1724</v>
      </c>
      <c r="B2890" s="380"/>
      <c r="C2890" s="334" t="s">
        <v>1881</v>
      </c>
      <c r="D2890" s="377">
        <v>200</v>
      </c>
      <c r="E2890" s="377">
        <v>380</v>
      </c>
      <c r="F2890" s="378">
        <v>3000</v>
      </c>
      <c r="G2890" s="377"/>
      <c r="H2890" s="377">
        <v>50</v>
      </c>
      <c r="I2890" s="399"/>
      <c r="J2890" s="377">
        <v>185</v>
      </c>
      <c r="K2890" s="377">
        <v>380</v>
      </c>
      <c r="L2890" s="378">
        <v>3000</v>
      </c>
      <c r="M2890" s="377"/>
      <c r="N2890" s="377">
        <v>150</v>
      </c>
      <c r="O2890" s="380"/>
      <c r="P2890" s="380"/>
      <c r="Q2890" s="380"/>
    </row>
    <row r="2891" spans="1:17" x14ac:dyDescent="0.2">
      <c r="A2891" s="334" t="s">
        <v>1736</v>
      </c>
      <c r="B2891" s="380"/>
      <c r="C2891" s="334" t="s">
        <v>1747</v>
      </c>
      <c r="D2891" s="377"/>
      <c r="E2891" s="377"/>
      <c r="F2891" s="378"/>
      <c r="G2891" s="377"/>
      <c r="H2891" s="377"/>
      <c r="I2891" s="399"/>
      <c r="J2891" s="377"/>
      <c r="K2891" s="377"/>
      <c r="L2891" s="378"/>
      <c r="M2891" s="377"/>
      <c r="N2891" s="377"/>
      <c r="O2891" s="380"/>
      <c r="P2891" s="380"/>
      <c r="Q2891" s="380"/>
    </row>
    <row r="2892" spans="1:17" x14ac:dyDescent="0.2">
      <c r="A2892" s="334" t="s">
        <v>1744</v>
      </c>
      <c r="B2892" s="380"/>
      <c r="C2892" s="334" t="s">
        <v>1254</v>
      </c>
      <c r="D2892" s="377"/>
      <c r="E2892" s="377"/>
      <c r="F2892" s="378"/>
      <c r="G2892" s="377"/>
      <c r="H2892" s="377"/>
      <c r="I2892" s="399"/>
      <c r="J2892" s="377"/>
      <c r="K2892" s="377"/>
      <c r="L2892" s="378"/>
      <c r="M2892" s="377"/>
      <c r="N2892" s="377"/>
      <c r="O2892" s="380"/>
      <c r="P2892" s="380"/>
      <c r="Q2892" s="380"/>
    </row>
    <row r="2893" spans="1:17" x14ac:dyDescent="0.2">
      <c r="A2893" s="334" t="s">
        <v>1582</v>
      </c>
      <c r="B2893" s="380"/>
      <c r="C2893" s="334" t="s">
        <v>3135</v>
      </c>
      <c r="D2893" s="377"/>
      <c r="E2893" s="377"/>
      <c r="F2893" s="378"/>
      <c r="G2893" s="377"/>
      <c r="H2893" s="377"/>
      <c r="I2893" s="399"/>
      <c r="J2893" s="377"/>
      <c r="K2893" s="377"/>
      <c r="L2893" s="378"/>
      <c r="M2893" s="377"/>
      <c r="N2893" s="377"/>
      <c r="O2893" s="380"/>
      <c r="P2893" s="380"/>
      <c r="Q2893" s="380"/>
    </row>
    <row r="2894" spans="1:17" x14ac:dyDescent="0.2">
      <c r="A2894" s="334" t="s">
        <v>1575</v>
      </c>
      <c r="B2894" s="380"/>
      <c r="C2894" s="334" t="s">
        <v>1889</v>
      </c>
      <c r="D2894" s="377"/>
      <c r="E2894" s="377"/>
      <c r="F2894" s="378"/>
      <c r="G2894" s="377"/>
      <c r="H2894" s="377"/>
      <c r="I2894" s="399"/>
      <c r="J2894" s="377"/>
      <c r="K2894" s="377"/>
      <c r="L2894" s="378"/>
      <c r="M2894" s="377"/>
      <c r="N2894" s="377"/>
      <c r="O2894" s="380"/>
      <c r="P2894" s="380"/>
      <c r="Q2894" s="380"/>
    </row>
    <row r="2895" spans="1:17" x14ac:dyDescent="0.2">
      <c r="A2895" s="334" t="s">
        <v>1725</v>
      </c>
      <c r="B2895" s="380"/>
      <c r="C2895" s="334" t="s">
        <v>1890</v>
      </c>
      <c r="D2895" s="377"/>
      <c r="E2895" s="377">
        <v>120</v>
      </c>
      <c r="F2895" s="378">
        <v>25770</v>
      </c>
      <c r="G2895" s="377"/>
      <c r="H2895" s="377"/>
      <c r="I2895" s="399"/>
      <c r="J2895" s="377"/>
      <c r="K2895" s="377">
        <v>120</v>
      </c>
      <c r="L2895" s="378">
        <v>21120</v>
      </c>
      <c r="M2895" s="377"/>
      <c r="N2895" s="377"/>
      <c r="O2895" s="380"/>
      <c r="P2895" s="380"/>
      <c r="Q2895" s="380"/>
    </row>
    <row r="2896" spans="1:17" x14ac:dyDescent="0.2">
      <c r="A2896" s="334" t="s">
        <v>1565</v>
      </c>
      <c r="B2896" s="380"/>
      <c r="C2896" s="334" t="s">
        <v>1927</v>
      </c>
      <c r="D2896" s="377"/>
      <c r="E2896" s="377"/>
      <c r="F2896" s="378"/>
      <c r="G2896" s="377"/>
      <c r="H2896" s="377"/>
      <c r="I2896" s="399"/>
      <c r="J2896" s="377"/>
      <c r="K2896" s="377"/>
      <c r="L2896" s="378"/>
      <c r="M2896" s="377"/>
      <c r="N2896" s="377"/>
      <c r="O2896" s="380"/>
      <c r="P2896" s="380"/>
      <c r="Q2896" s="380"/>
    </row>
    <row r="2897" spans="1:17" x14ac:dyDescent="0.2">
      <c r="A2897" s="334" t="s">
        <v>1737</v>
      </c>
      <c r="B2897" s="380"/>
      <c r="C2897" s="334" t="s">
        <v>1984</v>
      </c>
      <c r="D2897" s="377"/>
      <c r="E2897" s="377"/>
      <c r="F2897" s="378">
        <v>825</v>
      </c>
      <c r="G2897" s="377"/>
      <c r="H2897" s="377">
        <v>45</v>
      </c>
      <c r="I2897" s="399"/>
      <c r="J2897" s="377"/>
      <c r="K2897" s="377"/>
      <c r="L2897" s="378">
        <v>825</v>
      </c>
      <c r="M2897" s="377"/>
      <c r="N2897" s="377">
        <v>45</v>
      </c>
      <c r="O2897" s="380"/>
      <c r="P2897" s="380"/>
      <c r="Q2897" s="380"/>
    </row>
    <row r="2898" spans="1:17" x14ac:dyDescent="0.2">
      <c r="A2898" s="334" t="s">
        <v>1726</v>
      </c>
      <c r="B2898" s="380"/>
      <c r="C2898" s="334" t="s">
        <v>1117</v>
      </c>
      <c r="D2898" s="377"/>
      <c r="E2898" s="377"/>
      <c r="F2898" s="378"/>
      <c r="G2898" s="377"/>
      <c r="H2898" s="377"/>
      <c r="I2898" s="399"/>
      <c r="J2898" s="377"/>
      <c r="K2898" s="377"/>
      <c r="L2898" s="378"/>
      <c r="M2898" s="377"/>
      <c r="N2898" s="377"/>
      <c r="O2898" s="380"/>
      <c r="P2898" s="380"/>
      <c r="Q2898" s="380"/>
    </row>
    <row r="2899" spans="1:17" x14ac:dyDescent="0.2">
      <c r="A2899" s="334" t="s">
        <v>1661</v>
      </c>
      <c r="B2899" s="380"/>
      <c r="C2899" s="334" t="s">
        <v>3136</v>
      </c>
      <c r="D2899" s="377"/>
      <c r="E2899" s="377"/>
      <c r="F2899" s="378"/>
      <c r="G2899" s="377"/>
      <c r="H2899" s="377"/>
      <c r="I2899" s="399"/>
      <c r="J2899" s="377"/>
      <c r="K2899" s="377"/>
      <c r="L2899" s="378"/>
      <c r="M2899" s="377"/>
      <c r="N2899" s="377"/>
      <c r="O2899" s="380"/>
      <c r="P2899" s="380"/>
      <c r="Q2899" s="380"/>
    </row>
    <row r="2900" spans="1:17" x14ac:dyDescent="0.2">
      <c r="A2900" s="334" t="s">
        <v>1577</v>
      </c>
      <c r="B2900" s="380"/>
      <c r="C2900" s="334" t="s">
        <v>1815</v>
      </c>
      <c r="D2900" s="377"/>
      <c r="E2900" s="377"/>
      <c r="F2900" s="378"/>
      <c r="G2900" s="377"/>
      <c r="H2900" s="377"/>
      <c r="I2900" s="399"/>
      <c r="J2900" s="377"/>
      <c r="K2900" s="377"/>
      <c r="L2900" s="378"/>
      <c r="M2900" s="377"/>
      <c r="N2900" s="377"/>
      <c r="O2900" s="380"/>
      <c r="P2900" s="380"/>
      <c r="Q2900" s="380"/>
    </row>
    <row r="2901" spans="1:17" x14ac:dyDescent="0.2">
      <c r="A2901" s="334" t="s">
        <v>1734</v>
      </c>
      <c r="B2901" s="380"/>
      <c r="C2901" s="334" t="s">
        <v>1746</v>
      </c>
      <c r="D2901" s="377"/>
      <c r="E2901" s="377"/>
      <c r="F2901" s="378"/>
      <c r="G2901" s="377"/>
      <c r="H2901" s="377">
        <v>200</v>
      </c>
      <c r="I2901" s="399"/>
      <c r="J2901" s="377"/>
      <c r="K2901" s="377"/>
      <c r="L2901" s="378"/>
      <c r="M2901" s="377"/>
      <c r="N2901" s="377">
        <v>200</v>
      </c>
      <c r="O2901" s="380"/>
      <c r="P2901" s="380"/>
      <c r="Q2901" s="380"/>
    </row>
    <row r="2902" spans="1:17" x14ac:dyDescent="0.2">
      <c r="A2902" s="334" t="s">
        <v>1571</v>
      </c>
      <c r="B2902" s="380"/>
      <c r="C2902" s="334" t="s">
        <v>3</v>
      </c>
      <c r="D2902" s="377"/>
      <c r="E2902" s="377"/>
      <c r="F2902" s="378"/>
      <c r="G2902" s="377"/>
      <c r="H2902" s="377"/>
      <c r="I2902" s="399"/>
      <c r="J2902" s="377"/>
      <c r="K2902" s="377"/>
      <c r="L2902" s="378"/>
      <c r="M2902" s="377"/>
      <c r="N2902" s="377"/>
      <c r="O2902" s="380"/>
      <c r="P2902" s="380"/>
      <c r="Q2902" s="380"/>
    </row>
    <row r="2903" spans="1:17" x14ac:dyDescent="0.2">
      <c r="A2903" s="334" t="s">
        <v>1578</v>
      </c>
      <c r="B2903" s="380"/>
      <c r="C2903" s="334" t="s">
        <v>22</v>
      </c>
      <c r="D2903" s="377"/>
      <c r="E2903" s="377"/>
      <c r="F2903" s="378"/>
      <c r="G2903" s="377"/>
      <c r="H2903" s="377"/>
      <c r="I2903" s="399"/>
      <c r="J2903" s="377"/>
      <c r="K2903" s="377"/>
      <c r="L2903" s="378"/>
      <c r="M2903" s="377"/>
      <c r="N2903" s="377"/>
      <c r="O2903" s="380"/>
      <c r="P2903" s="380"/>
      <c r="Q2903" s="380"/>
    </row>
    <row r="2904" spans="1:17" x14ac:dyDescent="0.2">
      <c r="A2904" s="334" t="s">
        <v>1738</v>
      </c>
      <c r="B2904" s="380"/>
      <c r="C2904" s="334" t="s">
        <v>1591</v>
      </c>
      <c r="D2904" s="377">
        <v>100</v>
      </c>
      <c r="E2904" s="377">
        <v>50</v>
      </c>
      <c r="F2904" s="378">
        <v>400</v>
      </c>
      <c r="G2904" s="377"/>
      <c r="H2904" s="377">
        <v>50</v>
      </c>
      <c r="I2904" s="399"/>
      <c r="J2904" s="377">
        <v>90</v>
      </c>
      <c r="K2904" s="377">
        <v>50</v>
      </c>
      <c r="L2904" s="378">
        <v>400</v>
      </c>
      <c r="M2904" s="377"/>
      <c r="N2904" s="377">
        <v>50</v>
      </c>
      <c r="O2904" s="380"/>
      <c r="P2904" s="380"/>
      <c r="Q2904" s="380"/>
    </row>
    <row r="2905" spans="1:17" x14ac:dyDescent="0.2">
      <c r="A2905" s="334" t="s">
        <v>1727</v>
      </c>
      <c r="B2905" s="380"/>
      <c r="C2905" s="334" t="s">
        <v>307</v>
      </c>
      <c r="D2905" s="377"/>
      <c r="E2905" s="377">
        <v>50</v>
      </c>
      <c r="F2905" s="378">
        <v>900</v>
      </c>
      <c r="G2905" s="377"/>
      <c r="H2905" s="377">
        <v>100</v>
      </c>
      <c r="I2905" s="399"/>
      <c r="J2905" s="377"/>
      <c r="K2905" s="377">
        <v>50</v>
      </c>
      <c r="L2905" s="378">
        <v>900</v>
      </c>
      <c r="M2905" s="377"/>
      <c r="N2905" s="377">
        <v>100</v>
      </c>
      <c r="O2905" s="380"/>
      <c r="P2905" s="380"/>
      <c r="Q2905" s="380"/>
    </row>
    <row r="2906" spans="1:17" x14ac:dyDescent="0.2">
      <c r="A2906" s="334" t="s">
        <v>1728</v>
      </c>
      <c r="B2906" s="380"/>
      <c r="C2906" s="334" t="s">
        <v>310</v>
      </c>
      <c r="D2906" s="377">
        <v>100</v>
      </c>
      <c r="E2906" s="377">
        <v>50</v>
      </c>
      <c r="F2906" s="378">
        <v>600</v>
      </c>
      <c r="G2906" s="377"/>
      <c r="H2906" s="377">
        <v>500</v>
      </c>
      <c r="I2906" s="399"/>
      <c r="J2906" s="377">
        <v>90</v>
      </c>
      <c r="K2906" s="377">
        <v>50</v>
      </c>
      <c r="L2906" s="378">
        <v>600</v>
      </c>
      <c r="M2906" s="377"/>
      <c r="N2906" s="377">
        <v>500</v>
      </c>
      <c r="O2906" s="380"/>
      <c r="P2906" s="380"/>
      <c r="Q2906" s="380"/>
    </row>
    <row r="2907" spans="1:17" x14ac:dyDescent="0.2">
      <c r="A2907" s="334" t="s">
        <v>1729</v>
      </c>
      <c r="B2907" s="380"/>
      <c r="C2907" s="380" t="s">
        <v>1551</v>
      </c>
      <c r="D2907" s="377">
        <v>-80</v>
      </c>
      <c r="E2907" s="377">
        <v>-206</v>
      </c>
      <c r="F2907" s="378">
        <v>-3999.5</v>
      </c>
      <c r="G2907" s="377"/>
      <c r="H2907" s="377">
        <v>-3169</v>
      </c>
      <c r="I2907" s="399"/>
      <c r="J2907" s="377"/>
      <c r="K2907" s="377"/>
      <c r="L2907" s="378">
        <v>200</v>
      </c>
      <c r="M2907" s="377"/>
      <c r="N2907" s="377">
        <v>50</v>
      </c>
      <c r="O2907" s="380"/>
      <c r="P2907" s="380"/>
      <c r="Q2907" s="380"/>
    </row>
    <row r="2908" spans="1:17" x14ac:dyDescent="0.2">
      <c r="A2908" s="334" t="s">
        <v>1735</v>
      </c>
      <c r="B2908" s="380"/>
      <c r="C2908" s="380" t="s">
        <v>194</v>
      </c>
      <c r="D2908" s="377"/>
      <c r="E2908" s="377"/>
      <c r="F2908" s="378"/>
      <c r="G2908" s="377"/>
      <c r="H2908" s="377"/>
      <c r="I2908" s="399"/>
      <c r="J2908" s="377">
        <v>45</v>
      </c>
      <c r="K2908" s="377">
        <v>25</v>
      </c>
      <c r="L2908" s="378">
        <v>100</v>
      </c>
      <c r="M2908" s="377"/>
      <c r="N2908" s="377">
        <v>25</v>
      </c>
      <c r="O2908" s="380"/>
      <c r="P2908" s="380"/>
      <c r="Q2908" s="380"/>
    </row>
    <row r="2909" spans="1:17" x14ac:dyDescent="0.2">
      <c r="A2909" s="334" t="s">
        <v>1741</v>
      </c>
      <c r="B2909" s="380"/>
      <c r="C2909" s="334" t="s">
        <v>1748</v>
      </c>
      <c r="D2909" s="377"/>
      <c r="E2909" s="377"/>
      <c r="F2909" s="378"/>
      <c r="G2909" s="377"/>
      <c r="H2909" s="377"/>
      <c r="I2909" s="399"/>
      <c r="J2909" s="377"/>
      <c r="K2909" s="377"/>
      <c r="L2909" s="378"/>
      <c r="M2909" s="377"/>
      <c r="N2909" s="377"/>
      <c r="O2909" s="380"/>
      <c r="P2909" s="380"/>
      <c r="Q2909" s="380"/>
    </row>
    <row r="2910" spans="1:17" x14ac:dyDescent="0.2">
      <c r="A2910" s="334" t="s">
        <v>1742</v>
      </c>
      <c r="B2910" s="380"/>
      <c r="C2910" s="334" t="s">
        <v>1553</v>
      </c>
      <c r="D2910" s="377"/>
      <c r="E2910" s="377"/>
      <c r="F2910" s="378"/>
      <c r="G2910" s="377"/>
      <c r="H2910" s="377"/>
      <c r="I2910" s="399"/>
      <c r="J2910" s="377"/>
      <c r="K2910" s="377"/>
      <c r="L2910" s="378"/>
      <c r="M2910" s="377"/>
      <c r="N2910" s="377"/>
      <c r="O2910" s="380"/>
      <c r="P2910" s="380"/>
      <c r="Q2910" s="380"/>
    </row>
    <row r="2911" spans="1:17" x14ac:dyDescent="0.2">
      <c r="A2911" s="334" t="s">
        <v>1584</v>
      </c>
      <c r="B2911" s="380"/>
      <c r="C2911" s="334" t="s">
        <v>0</v>
      </c>
      <c r="D2911" s="377"/>
      <c r="E2911" s="377"/>
      <c r="F2911" s="378"/>
      <c r="G2911" s="377"/>
      <c r="H2911" s="377"/>
      <c r="I2911" s="399"/>
      <c r="J2911" s="377"/>
      <c r="K2911" s="377"/>
      <c r="L2911" s="378"/>
      <c r="M2911" s="377"/>
      <c r="N2911" s="377"/>
      <c r="O2911" s="380"/>
      <c r="P2911" s="380"/>
      <c r="Q2911" s="380"/>
    </row>
    <row r="2912" spans="1:17" x14ac:dyDescent="0.2">
      <c r="A2912" s="334" t="s">
        <v>1580</v>
      </c>
      <c r="B2912" s="380"/>
      <c r="C2912" s="334" t="s">
        <v>1935</v>
      </c>
      <c r="D2912" s="377"/>
      <c r="E2912" s="377"/>
      <c r="F2912" s="378"/>
      <c r="G2912" s="377"/>
      <c r="H2912" s="377"/>
      <c r="I2912" s="399"/>
      <c r="J2912" s="377"/>
      <c r="K2912" s="377"/>
      <c r="L2912" s="378"/>
      <c r="M2912" s="377"/>
      <c r="N2912" s="377"/>
      <c r="O2912" s="380"/>
      <c r="P2912" s="380"/>
      <c r="Q2912" s="380"/>
    </row>
    <row r="2913" spans="1:17" x14ac:dyDescent="0.2">
      <c r="A2913" s="334" t="s">
        <v>1572</v>
      </c>
      <c r="B2913" s="380"/>
      <c r="C2913" s="334" t="s">
        <v>3134</v>
      </c>
      <c r="D2913" s="377"/>
      <c r="E2913" s="377"/>
      <c r="F2913" s="378">
        <v>100</v>
      </c>
      <c r="G2913" s="377"/>
      <c r="H2913" s="377"/>
      <c r="I2913" s="399"/>
      <c r="J2913" s="377"/>
      <c r="K2913" s="377"/>
      <c r="L2913" s="378">
        <v>100</v>
      </c>
      <c r="M2913" s="377"/>
      <c r="N2913" s="377"/>
      <c r="O2913" s="380"/>
      <c r="P2913" s="380"/>
      <c r="Q2913" s="380"/>
    </row>
    <row r="2914" spans="1:17" x14ac:dyDescent="0.2">
      <c r="A2914" s="334" t="s">
        <v>1730</v>
      </c>
      <c r="B2914" s="380"/>
      <c r="C2914" s="334" t="s">
        <v>1985</v>
      </c>
      <c r="D2914" s="377"/>
      <c r="E2914" s="377"/>
      <c r="F2914" s="378">
        <v>3300</v>
      </c>
      <c r="G2914" s="377"/>
      <c r="H2914" s="377">
        <v>2000</v>
      </c>
      <c r="I2914" s="399"/>
      <c r="J2914" s="377"/>
      <c r="K2914" s="377"/>
      <c r="L2914" s="378">
        <v>3800</v>
      </c>
      <c r="M2914" s="377"/>
      <c r="N2914" s="377">
        <v>2100</v>
      </c>
      <c r="O2914" s="380"/>
      <c r="P2914" s="380"/>
      <c r="Q2914" s="380"/>
    </row>
    <row r="2915" spans="1:17" x14ac:dyDescent="0.2">
      <c r="A2915" s="334" t="s">
        <v>1566</v>
      </c>
      <c r="B2915" s="380"/>
      <c r="C2915" s="334" t="s">
        <v>366</v>
      </c>
      <c r="D2915" s="377"/>
      <c r="E2915" s="377">
        <v>380</v>
      </c>
      <c r="F2915" s="378">
        <v>1500</v>
      </c>
      <c r="G2915" s="377"/>
      <c r="H2915" s="377">
        <v>400</v>
      </c>
      <c r="I2915" s="399"/>
      <c r="J2915" s="377"/>
      <c r="K2915" s="377">
        <v>380</v>
      </c>
      <c r="L2915" s="378">
        <v>1650</v>
      </c>
      <c r="M2915" s="377"/>
      <c r="N2915" s="377">
        <v>400</v>
      </c>
      <c r="O2915" s="380"/>
      <c r="P2915" s="380"/>
      <c r="Q2915" s="380"/>
    </row>
    <row r="2916" spans="1:17" x14ac:dyDescent="0.2">
      <c r="A2916" s="334" t="s">
        <v>1755</v>
      </c>
      <c r="B2916" s="380"/>
      <c r="C2916" s="380" t="s">
        <v>1986</v>
      </c>
      <c r="D2916" s="377"/>
      <c r="E2916" s="377"/>
      <c r="F2916" s="378">
        <v>600</v>
      </c>
      <c r="G2916" s="377"/>
      <c r="H2916" s="377"/>
      <c r="I2916" s="399"/>
      <c r="J2916" s="377"/>
      <c r="K2916" s="377"/>
      <c r="L2916" s="378">
        <v>600</v>
      </c>
      <c r="M2916" s="377"/>
      <c r="N2916" s="377"/>
      <c r="O2916" s="380"/>
      <c r="P2916" s="380"/>
      <c r="Q2916" s="380"/>
    </row>
    <row r="2917" spans="1:17" x14ac:dyDescent="0.2">
      <c r="A2917" s="334" t="s">
        <v>1587</v>
      </c>
      <c r="B2917" s="380"/>
      <c r="C2917" s="334" t="s">
        <v>34</v>
      </c>
      <c r="D2917" s="377"/>
      <c r="E2917" s="377"/>
      <c r="F2917" s="378"/>
      <c r="G2917" s="377"/>
      <c r="H2917" s="377"/>
      <c r="I2917" s="399"/>
      <c r="J2917" s="377"/>
      <c r="K2917" s="377"/>
      <c r="L2917" s="378"/>
      <c r="M2917" s="377"/>
      <c r="N2917" s="377"/>
      <c r="O2917" s="380"/>
      <c r="P2917" s="380"/>
      <c r="Q2917" s="380"/>
    </row>
    <row r="2918" spans="1:17" x14ac:dyDescent="0.2">
      <c r="A2918" s="384" t="s">
        <v>1962</v>
      </c>
      <c r="B2918" s="380"/>
      <c r="C2918" s="380" t="s">
        <v>572</v>
      </c>
      <c r="D2918" s="377"/>
      <c r="E2918" s="377"/>
      <c r="F2918" s="378">
        <v>3000</v>
      </c>
      <c r="G2918" s="377"/>
      <c r="H2918" s="377"/>
      <c r="I2918" s="399"/>
      <c r="J2918" s="377"/>
      <c r="K2918" s="377"/>
      <c r="L2918" s="378"/>
      <c r="M2918" s="377"/>
      <c r="N2918" s="377">
        <v>1500</v>
      </c>
      <c r="O2918" s="380"/>
      <c r="P2918" s="380"/>
      <c r="Q2918" s="380"/>
    </row>
    <row r="2919" spans="1:17" x14ac:dyDescent="0.2">
      <c r="A2919" s="384" t="s">
        <v>1567</v>
      </c>
      <c r="B2919" s="380"/>
      <c r="C2919" s="334" t="s">
        <v>3142</v>
      </c>
      <c r="D2919" s="377"/>
      <c r="E2919" s="377"/>
      <c r="F2919" s="378"/>
      <c r="G2919" s="377"/>
      <c r="H2919" s="377">
        <v>12500</v>
      </c>
      <c r="I2919" s="399"/>
      <c r="J2919" s="377"/>
      <c r="K2919" s="377"/>
      <c r="L2919" s="378"/>
      <c r="M2919" s="377"/>
      <c r="N2919" s="377"/>
      <c r="O2919" s="380"/>
      <c r="P2919" s="380"/>
      <c r="Q2919" s="380"/>
    </row>
    <row r="2920" spans="1:17" x14ac:dyDescent="0.2">
      <c r="A2920" s="334" t="s">
        <v>342</v>
      </c>
      <c r="B2920" s="380"/>
      <c r="C2920" s="334" t="s">
        <v>342</v>
      </c>
      <c r="D2920" s="410" t="s">
        <v>342</v>
      </c>
      <c r="E2920" s="410" t="s">
        <v>342</v>
      </c>
      <c r="F2920" s="445" t="s">
        <v>342</v>
      </c>
      <c r="G2920" s="410"/>
      <c r="H2920" s="394"/>
      <c r="I2920" s="385"/>
      <c r="J2920" s="410" t="s">
        <v>342</v>
      </c>
      <c r="K2920" s="410" t="s">
        <v>342</v>
      </c>
      <c r="L2920" s="445" t="s">
        <v>342</v>
      </c>
      <c r="M2920" s="410"/>
      <c r="N2920" s="394"/>
      <c r="O2920" s="380"/>
      <c r="P2920" s="380"/>
      <c r="Q2920" s="380"/>
    </row>
    <row r="2921" spans="1:17" ht="15.75" thickBot="1" x14ac:dyDescent="0.25">
      <c r="A2921" s="334" t="s">
        <v>342</v>
      </c>
      <c r="B2921" s="380"/>
      <c r="C2921" s="334" t="s">
        <v>342</v>
      </c>
      <c r="D2921" s="411">
        <f>SUM(D2887:D2919)</f>
        <v>320</v>
      </c>
      <c r="E2921" s="411">
        <f>SUM(E2887:E2919)</f>
        <v>824</v>
      </c>
      <c r="F2921" s="414">
        <f>SUM(F2887:F2919)</f>
        <v>35995.5</v>
      </c>
      <c r="G2921" s="411"/>
      <c r="H2921" s="411">
        <f>SUM(H2887:H2919)</f>
        <v>12676</v>
      </c>
      <c r="I2921" s="385"/>
      <c r="J2921" s="411">
        <f>SUM(J2887:J2919)</f>
        <v>410</v>
      </c>
      <c r="K2921" s="411">
        <f>SUM(K2887:K2919)</f>
        <v>1055</v>
      </c>
      <c r="L2921" s="414">
        <f>SUM(L2887:L2919)</f>
        <v>33295</v>
      </c>
      <c r="M2921" s="411"/>
      <c r="N2921" s="411">
        <f>SUM(N2887:N2919)</f>
        <v>5120</v>
      </c>
      <c r="O2921" s="380"/>
      <c r="P2921" s="380"/>
      <c r="Q2921" s="380"/>
    </row>
    <row r="2922" spans="1:17" ht="17.25" customHeight="1" thickTop="1" x14ac:dyDescent="0.2">
      <c r="A2922" s="334"/>
      <c r="B2922" s="380"/>
      <c r="C2922" s="334"/>
      <c r="D2922" s="385"/>
      <c r="E2922" s="385"/>
      <c r="F2922" s="415"/>
      <c r="G2922" s="385"/>
      <c r="H2922" s="385"/>
      <c r="I2922" s="385"/>
      <c r="J2922" s="385"/>
      <c r="K2922" s="385"/>
      <c r="L2922" s="415"/>
      <c r="M2922" s="385"/>
      <c r="N2922" s="385"/>
      <c r="O2922" s="380"/>
      <c r="P2922" s="380"/>
      <c r="Q2922" s="380"/>
    </row>
    <row r="2923" spans="1:17" x14ac:dyDescent="0.2">
      <c r="A2923" s="334" t="s">
        <v>342</v>
      </c>
      <c r="B2923" s="380"/>
      <c r="C2923" s="334" t="s">
        <v>342</v>
      </c>
      <c r="D2923" s="334" t="s">
        <v>342</v>
      </c>
      <c r="E2923" s="334" t="s">
        <v>342</v>
      </c>
      <c r="F2923" s="412" t="s">
        <v>342</v>
      </c>
      <c r="G2923" s="334"/>
      <c r="H2923" s="377"/>
      <c r="I2923" s="385"/>
      <c r="J2923" s="334" t="s">
        <v>342</v>
      </c>
      <c r="K2923" s="334" t="s">
        <v>342</v>
      </c>
      <c r="L2923" s="412" t="s">
        <v>342</v>
      </c>
      <c r="M2923" s="334"/>
      <c r="N2923" s="377"/>
      <c r="O2923" s="380"/>
      <c r="P2923" s="380"/>
      <c r="Q2923" s="380"/>
    </row>
    <row r="2924" spans="1:17" x14ac:dyDescent="0.2">
      <c r="A2924" s="334" t="s">
        <v>1685</v>
      </c>
      <c r="B2924" s="377"/>
      <c r="C2924" s="377"/>
      <c r="D2924" s="377"/>
      <c r="E2924" s="377"/>
      <c r="F2924" s="378"/>
      <c r="G2924" s="377"/>
      <c r="H2924" s="377"/>
      <c r="I2924" s="399"/>
      <c r="J2924" s="377"/>
      <c r="K2924" s="377"/>
      <c r="L2924" s="378"/>
      <c r="M2924" s="377"/>
      <c r="N2924" s="377"/>
      <c r="O2924" s="380"/>
      <c r="P2924" s="380"/>
      <c r="Q2924" s="380"/>
    </row>
    <row r="2925" spans="1:17" x14ac:dyDescent="0.2">
      <c r="A2925" s="334"/>
      <c r="B2925" s="380"/>
      <c r="C2925" s="334"/>
      <c r="D2925" s="442" t="s">
        <v>1686</v>
      </c>
      <c r="E2925" s="442" t="s">
        <v>1687</v>
      </c>
      <c r="F2925" s="421" t="s">
        <v>2930</v>
      </c>
      <c r="G2925" s="398"/>
      <c r="H2925" s="398">
        <v>100602</v>
      </c>
      <c r="I2925" s="443"/>
      <c r="J2925" s="442" t="s">
        <v>1686</v>
      </c>
      <c r="K2925" s="442" t="s">
        <v>1687</v>
      </c>
      <c r="L2925" s="421" t="s">
        <v>2930</v>
      </c>
      <c r="M2925" s="398"/>
      <c r="N2925" s="398">
        <v>100602</v>
      </c>
      <c r="O2925" s="380"/>
      <c r="P2925" s="380"/>
      <c r="Q2925" s="380"/>
    </row>
    <row r="2926" spans="1:17" x14ac:dyDescent="0.2">
      <c r="A2926" s="334" t="s">
        <v>342</v>
      </c>
      <c r="B2926" s="380"/>
      <c r="C2926" s="334" t="s">
        <v>342</v>
      </c>
      <c r="D2926" s="334" t="s">
        <v>736</v>
      </c>
      <c r="E2926" s="334" t="s">
        <v>46</v>
      </c>
      <c r="F2926" s="389" t="s">
        <v>2722</v>
      </c>
      <c r="G2926" s="388"/>
      <c r="H2926" s="388" t="s">
        <v>2718</v>
      </c>
      <c r="I2926" s="385"/>
      <c r="J2926" s="334" t="s">
        <v>736</v>
      </c>
      <c r="K2926" s="334" t="s">
        <v>46</v>
      </c>
      <c r="L2926" s="412" t="s">
        <v>2722</v>
      </c>
      <c r="M2926" s="388"/>
      <c r="N2926" s="388" t="s">
        <v>2718</v>
      </c>
      <c r="O2926" s="380"/>
      <c r="P2926" s="380"/>
      <c r="Q2926" s="380"/>
    </row>
    <row r="2927" spans="1:17" x14ac:dyDescent="0.2">
      <c r="A2927" s="334" t="s">
        <v>1723</v>
      </c>
      <c r="B2927" s="380"/>
      <c r="C2927" s="334" t="s">
        <v>1880</v>
      </c>
      <c r="D2927" s="334" t="s">
        <v>181</v>
      </c>
      <c r="E2927" s="334" t="s">
        <v>181</v>
      </c>
      <c r="F2927" s="334" t="s">
        <v>181</v>
      </c>
      <c r="G2927" s="388"/>
      <c r="H2927" s="334" t="s">
        <v>181</v>
      </c>
      <c r="I2927" s="385"/>
      <c r="J2927" s="334" t="s">
        <v>181</v>
      </c>
      <c r="K2927" s="334" t="s">
        <v>181</v>
      </c>
      <c r="L2927" s="412" t="s">
        <v>2719</v>
      </c>
      <c r="M2927" s="388"/>
      <c r="N2927" s="334" t="s">
        <v>2719</v>
      </c>
      <c r="O2927" s="380"/>
      <c r="P2927" s="380"/>
      <c r="Q2927" s="380"/>
    </row>
    <row r="2928" spans="1:17" x14ac:dyDescent="0.2">
      <c r="A2928" s="334" t="s">
        <v>342</v>
      </c>
      <c r="B2928" s="380"/>
      <c r="C2928" s="334" t="s">
        <v>342</v>
      </c>
      <c r="D2928" s="334" t="s">
        <v>342</v>
      </c>
      <c r="E2928" s="334" t="s">
        <v>342</v>
      </c>
      <c r="F2928" s="378"/>
      <c r="G2928" s="380"/>
      <c r="H2928" s="380"/>
      <c r="I2928" s="385"/>
      <c r="J2928" s="334" t="s">
        <v>342</v>
      </c>
      <c r="K2928" s="334" t="s">
        <v>342</v>
      </c>
      <c r="L2928" s="378"/>
      <c r="M2928" s="380"/>
      <c r="N2928" s="380"/>
      <c r="O2928" s="380"/>
      <c r="P2928" s="380"/>
      <c r="Q2928" s="380"/>
    </row>
    <row r="2929" spans="1:17" x14ac:dyDescent="0.2">
      <c r="A2929" s="334" t="s">
        <v>1569</v>
      </c>
      <c r="B2929" s="380"/>
      <c r="C2929" s="334" t="s">
        <v>1888</v>
      </c>
      <c r="D2929" s="377"/>
      <c r="E2929" s="377"/>
      <c r="F2929" s="378"/>
      <c r="G2929" s="380"/>
      <c r="H2929" s="380"/>
      <c r="I2929" s="399"/>
      <c r="J2929" s="377"/>
      <c r="K2929" s="377"/>
      <c r="L2929" s="378">
        <v>1500</v>
      </c>
      <c r="M2929" s="380"/>
      <c r="N2929" s="378"/>
      <c r="O2929" s="380"/>
      <c r="P2929" s="380"/>
      <c r="Q2929" s="380"/>
    </row>
    <row r="2930" spans="1:17" x14ac:dyDescent="0.2">
      <c r="A2930" s="334" t="s">
        <v>1743</v>
      </c>
      <c r="B2930" s="380"/>
      <c r="C2930" s="334" t="s">
        <v>1886</v>
      </c>
      <c r="D2930" s="377"/>
      <c r="E2930" s="377"/>
      <c r="F2930" s="378"/>
      <c r="G2930" s="378"/>
      <c r="H2930" s="378">
        <v>20000</v>
      </c>
      <c r="I2930" s="399"/>
      <c r="J2930" s="377"/>
      <c r="K2930" s="377"/>
      <c r="L2930" s="378"/>
      <c r="M2930" s="380"/>
      <c r="N2930" s="378">
        <v>20000</v>
      </c>
      <c r="O2930" s="380"/>
      <c r="P2930" s="380"/>
      <c r="Q2930" s="380"/>
    </row>
    <row r="2931" spans="1:17" x14ac:dyDescent="0.2">
      <c r="A2931" s="334" t="s">
        <v>1724</v>
      </c>
      <c r="B2931" s="380"/>
      <c r="C2931" s="334" t="s">
        <v>1881</v>
      </c>
      <c r="D2931" s="377">
        <v>250</v>
      </c>
      <c r="E2931" s="377">
        <v>100</v>
      </c>
      <c r="F2931" s="378">
        <v>50</v>
      </c>
      <c r="G2931" s="378"/>
      <c r="H2931" s="378">
        <v>450</v>
      </c>
      <c r="I2931" s="399"/>
      <c r="J2931" s="377">
        <v>451</v>
      </c>
      <c r="K2931" s="377">
        <v>90</v>
      </c>
      <c r="L2931" s="378">
        <v>50</v>
      </c>
      <c r="M2931" s="380"/>
      <c r="N2931" s="378">
        <v>450</v>
      </c>
      <c r="O2931" s="380"/>
      <c r="P2931" s="380"/>
      <c r="Q2931" s="380"/>
    </row>
    <row r="2932" spans="1:17" x14ac:dyDescent="0.2">
      <c r="A2932" s="334" t="s">
        <v>1736</v>
      </c>
      <c r="B2932" s="380"/>
      <c r="C2932" s="334" t="s">
        <v>1747</v>
      </c>
      <c r="D2932" s="377">
        <v>50</v>
      </c>
      <c r="E2932" s="377"/>
      <c r="F2932" s="378"/>
      <c r="G2932" s="378"/>
      <c r="H2932" s="378"/>
      <c r="I2932" s="399"/>
      <c r="J2932" s="377">
        <v>271</v>
      </c>
      <c r="K2932" s="377"/>
      <c r="L2932" s="378"/>
      <c r="M2932" s="380"/>
      <c r="N2932" s="378"/>
      <c r="O2932" s="380"/>
      <c r="P2932" s="380"/>
      <c r="Q2932" s="380"/>
    </row>
    <row r="2933" spans="1:17" x14ac:dyDescent="0.2">
      <c r="A2933" s="334" t="s">
        <v>1744</v>
      </c>
      <c r="B2933" s="380"/>
      <c r="C2933" s="334" t="s">
        <v>1254</v>
      </c>
      <c r="D2933" s="377">
        <v>750</v>
      </c>
      <c r="E2933" s="377"/>
      <c r="F2933" s="378"/>
      <c r="G2933" s="378"/>
      <c r="H2933" s="378"/>
      <c r="I2933" s="399"/>
      <c r="J2933" s="377">
        <v>271</v>
      </c>
      <c r="K2933" s="377"/>
      <c r="L2933" s="378"/>
      <c r="M2933" s="380"/>
      <c r="N2933" s="378"/>
      <c r="O2933" s="380"/>
      <c r="P2933" s="380"/>
      <c r="Q2933" s="380"/>
    </row>
    <row r="2934" spans="1:17" x14ac:dyDescent="0.2">
      <c r="A2934" s="334" t="s">
        <v>1582</v>
      </c>
      <c r="B2934" s="380"/>
      <c r="C2934" s="334" t="s">
        <v>3135</v>
      </c>
      <c r="D2934" s="377">
        <v>750</v>
      </c>
      <c r="E2934" s="377"/>
      <c r="F2934" s="378"/>
      <c r="G2934" s="378"/>
      <c r="H2934" s="378"/>
      <c r="I2934" s="399"/>
      <c r="J2934" s="377">
        <v>316</v>
      </c>
      <c r="K2934" s="377"/>
      <c r="L2934" s="378"/>
      <c r="M2934" s="380"/>
      <c r="N2934" s="378"/>
      <c r="O2934" s="380"/>
      <c r="P2934" s="380"/>
      <c r="Q2934" s="380"/>
    </row>
    <row r="2935" spans="1:17" x14ac:dyDescent="0.2">
      <c r="A2935" s="334" t="s">
        <v>1575</v>
      </c>
      <c r="B2935" s="380"/>
      <c r="C2935" s="334" t="s">
        <v>1889</v>
      </c>
      <c r="D2935" s="377"/>
      <c r="E2935" s="377"/>
      <c r="F2935" s="378"/>
      <c r="G2935" s="378"/>
      <c r="H2935" s="378"/>
      <c r="I2935" s="399"/>
      <c r="J2935" s="377"/>
      <c r="K2935" s="377"/>
      <c r="L2935" s="378"/>
      <c r="M2935" s="380"/>
      <c r="N2935" s="378"/>
      <c r="O2935" s="380"/>
      <c r="P2935" s="380"/>
      <c r="Q2935" s="380"/>
    </row>
    <row r="2936" spans="1:17" x14ac:dyDescent="0.2">
      <c r="A2936" s="334" t="s">
        <v>1725</v>
      </c>
      <c r="B2936" s="380"/>
      <c r="C2936" s="334" t="s">
        <v>1890</v>
      </c>
      <c r="D2936" s="377">
        <v>300</v>
      </c>
      <c r="E2936" s="377">
        <v>100</v>
      </c>
      <c r="F2936" s="378"/>
      <c r="G2936" s="378"/>
      <c r="H2936" s="378"/>
      <c r="I2936" s="399"/>
      <c r="J2936" s="377">
        <v>361</v>
      </c>
      <c r="K2936" s="377">
        <v>90</v>
      </c>
      <c r="L2936" s="378"/>
      <c r="M2936" s="380"/>
      <c r="N2936" s="378"/>
      <c r="O2936" s="380"/>
      <c r="P2936" s="380"/>
      <c r="Q2936" s="380"/>
    </row>
    <row r="2937" spans="1:17" x14ac:dyDescent="0.2">
      <c r="A2937" s="334" t="s">
        <v>1565</v>
      </c>
      <c r="B2937" s="380"/>
      <c r="C2937" s="334" t="s">
        <v>1927</v>
      </c>
      <c r="D2937" s="377"/>
      <c r="E2937" s="377"/>
      <c r="F2937" s="378"/>
      <c r="G2937" s="378"/>
      <c r="H2937" s="378"/>
      <c r="I2937" s="399"/>
      <c r="J2937" s="377"/>
      <c r="K2937" s="377"/>
      <c r="L2937" s="378"/>
      <c r="M2937" s="380"/>
      <c r="N2937" s="378"/>
      <c r="O2937" s="380"/>
      <c r="P2937" s="380"/>
      <c r="Q2937" s="380"/>
    </row>
    <row r="2938" spans="1:17" x14ac:dyDescent="0.2">
      <c r="A2938" s="334" t="s">
        <v>1737</v>
      </c>
      <c r="B2938" s="380"/>
      <c r="C2938" s="334" t="s">
        <v>1984</v>
      </c>
      <c r="D2938" s="377">
        <v>90</v>
      </c>
      <c r="E2938" s="377"/>
      <c r="F2938" s="378"/>
      <c r="G2938" s="378"/>
      <c r="H2938" s="378"/>
      <c r="I2938" s="399"/>
      <c r="J2938" s="377">
        <v>90</v>
      </c>
      <c r="K2938" s="377"/>
      <c r="L2938" s="378"/>
      <c r="M2938" s="380"/>
      <c r="N2938" s="378"/>
      <c r="O2938" s="380"/>
      <c r="P2938" s="380"/>
      <c r="Q2938" s="380"/>
    </row>
    <row r="2939" spans="1:17" x14ac:dyDescent="0.2">
      <c r="A2939" s="334" t="s">
        <v>1726</v>
      </c>
      <c r="B2939" s="380"/>
      <c r="C2939" s="334" t="s">
        <v>1117</v>
      </c>
      <c r="D2939" s="377"/>
      <c r="E2939" s="377"/>
      <c r="F2939" s="378"/>
      <c r="G2939" s="378"/>
      <c r="H2939" s="378"/>
      <c r="I2939" s="399"/>
      <c r="J2939" s="377"/>
      <c r="K2939" s="377"/>
      <c r="L2939" s="378"/>
      <c r="M2939" s="380"/>
      <c r="N2939" s="378"/>
      <c r="O2939" s="380"/>
      <c r="P2939" s="380"/>
      <c r="Q2939" s="380"/>
    </row>
    <row r="2940" spans="1:17" x14ac:dyDescent="0.2">
      <c r="A2940" s="384" t="s">
        <v>1751</v>
      </c>
      <c r="B2940" s="380"/>
      <c r="C2940" s="334" t="s">
        <v>3138</v>
      </c>
      <c r="D2940" s="377"/>
      <c r="E2940" s="377"/>
      <c r="F2940" s="378">
        <v>100</v>
      </c>
      <c r="G2940" s="378"/>
      <c r="H2940" s="378"/>
      <c r="I2940" s="399"/>
      <c r="J2940" s="377"/>
      <c r="K2940" s="377"/>
      <c r="L2940" s="378"/>
      <c r="M2940" s="380"/>
      <c r="N2940" s="378"/>
      <c r="O2940" s="380"/>
      <c r="P2940" s="380"/>
      <c r="Q2940" s="380"/>
    </row>
    <row r="2941" spans="1:17" x14ac:dyDescent="0.2">
      <c r="A2941" s="334" t="s">
        <v>1577</v>
      </c>
      <c r="B2941" s="380"/>
      <c r="C2941" s="334" t="s">
        <v>1815</v>
      </c>
      <c r="D2941" s="377"/>
      <c r="E2941" s="377"/>
      <c r="F2941" s="378"/>
      <c r="G2941" s="378"/>
      <c r="H2941" s="378"/>
      <c r="I2941" s="399"/>
      <c r="J2941" s="377"/>
      <c r="K2941" s="377"/>
      <c r="L2941" s="378"/>
      <c r="M2941" s="380"/>
      <c r="N2941" s="378"/>
      <c r="O2941" s="380"/>
      <c r="P2941" s="380"/>
      <c r="Q2941" s="380"/>
    </row>
    <row r="2942" spans="1:17" x14ac:dyDescent="0.2">
      <c r="A2942" s="334" t="s">
        <v>1734</v>
      </c>
      <c r="B2942" s="380"/>
      <c r="C2942" s="334" t="s">
        <v>1746</v>
      </c>
      <c r="D2942" s="377"/>
      <c r="E2942" s="377"/>
      <c r="F2942" s="378">
        <v>240</v>
      </c>
      <c r="G2942" s="378"/>
      <c r="H2942" s="378"/>
      <c r="I2942" s="399"/>
      <c r="J2942" s="377"/>
      <c r="K2942" s="377"/>
      <c r="L2942" s="378"/>
      <c r="M2942" s="380"/>
      <c r="N2942" s="378"/>
      <c r="O2942" s="380"/>
      <c r="P2942" s="380"/>
      <c r="Q2942" s="380"/>
    </row>
    <row r="2943" spans="1:17" x14ac:dyDescent="0.2">
      <c r="A2943" s="334" t="s">
        <v>1571</v>
      </c>
      <c r="B2943" s="380"/>
      <c r="C2943" s="334" t="s">
        <v>3</v>
      </c>
      <c r="D2943" s="377"/>
      <c r="E2943" s="377"/>
      <c r="F2943" s="378"/>
      <c r="G2943" s="378"/>
      <c r="H2943" s="378"/>
      <c r="I2943" s="399"/>
      <c r="J2943" s="377"/>
      <c r="K2943" s="377"/>
      <c r="L2943" s="378"/>
      <c r="M2943" s="380"/>
      <c r="N2943" s="378"/>
      <c r="O2943" s="380"/>
      <c r="P2943" s="380"/>
      <c r="Q2943" s="380"/>
    </row>
    <row r="2944" spans="1:17" x14ac:dyDescent="0.2">
      <c r="A2944" s="334" t="s">
        <v>1578</v>
      </c>
      <c r="B2944" s="380"/>
      <c r="C2944" s="334" t="s">
        <v>22</v>
      </c>
      <c r="D2944" s="377"/>
      <c r="E2944" s="377"/>
      <c r="F2944" s="378"/>
      <c r="G2944" s="378"/>
      <c r="H2944" s="378"/>
      <c r="I2944" s="399"/>
      <c r="J2944" s="377"/>
      <c r="K2944" s="377"/>
      <c r="L2944" s="378"/>
      <c r="M2944" s="380"/>
      <c r="N2944" s="378"/>
      <c r="O2944" s="380"/>
      <c r="P2944" s="380"/>
      <c r="Q2944" s="380"/>
    </row>
    <row r="2945" spans="1:17" x14ac:dyDescent="0.2">
      <c r="A2945" s="334" t="s">
        <v>1738</v>
      </c>
      <c r="B2945" s="380"/>
      <c r="C2945" s="334" t="s">
        <v>1591</v>
      </c>
      <c r="D2945" s="377">
        <v>100</v>
      </c>
      <c r="E2945" s="377">
        <v>50</v>
      </c>
      <c r="F2945" s="378">
        <v>35</v>
      </c>
      <c r="G2945" s="378"/>
      <c r="H2945" s="378"/>
      <c r="I2945" s="399"/>
      <c r="J2945" s="377">
        <v>90</v>
      </c>
      <c r="K2945" s="377">
        <v>45</v>
      </c>
      <c r="L2945" s="378">
        <v>100</v>
      </c>
      <c r="M2945" s="380"/>
      <c r="N2945" s="378"/>
      <c r="O2945" s="380"/>
      <c r="P2945" s="380"/>
      <c r="Q2945" s="380"/>
    </row>
    <row r="2946" spans="1:17" x14ac:dyDescent="0.2">
      <c r="A2946" s="334" t="s">
        <v>1727</v>
      </c>
      <c r="B2946" s="380"/>
      <c r="C2946" s="334" t="s">
        <v>307</v>
      </c>
      <c r="D2946" s="377">
        <v>200</v>
      </c>
      <c r="E2946" s="377">
        <v>100</v>
      </c>
      <c r="F2946" s="378">
        <v>15</v>
      </c>
      <c r="G2946" s="378"/>
      <c r="H2946" s="378">
        <v>450</v>
      </c>
      <c r="I2946" s="399"/>
      <c r="J2946" s="377">
        <v>271</v>
      </c>
      <c r="K2946" s="377">
        <v>90</v>
      </c>
      <c r="L2946" s="378">
        <v>25</v>
      </c>
      <c r="M2946" s="380"/>
      <c r="N2946" s="378">
        <v>450</v>
      </c>
      <c r="O2946" s="380"/>
      <c r="P2946" s="380"/>
      <c r="Q2946" s="380"/>
    </row>
    <row r="2947" spans="1:17" x14ac:dyDescent="0.2">
      <c r="A2947" s="334" t="s">
        <v>1728</v>
      </c>
      <c r="B2947" s="380"/>
      <c r="C2947" s="334" t="s">
        <v>310</v>
      </c>
      <c r="D2947" s="377">
        <v>300</v>
      </c>
      <c r="E2947" s="377">
        <v>50</v>
      </c>
      <c r="F2947" s="378">
        <v>35</v>
      </c>
      <c r="G2947" s="378"/>
      <c r="H2947" s="378"/>
      <c r="I2947" s="399"/>
      <c r="J2947" s="377">
        <v>361</v>
      </c>
      <c r="K2947" s="377">
        <v>45</v>
      </c>
      <c r="L2947" s="378">
        <v>50</v>
      </c>
      <c r="M2947" s="380"/>
      <c r="N2947" s="378"/>
      <c r="O2947" s="380"/>
      <c r="P2947" s="380"/>
      <c r="Q2947" s="380"/>
    </row>
    <row r="2948" spans="1:17" x14ac:dyDescent="0.2">
      <c r="A2948" s="334" t="s">
        <v>1729</v>
      </c>
      <c r="B2948" s="380"/>
      <c r="C2948" s="380" t="s">
        <v>1551</v>
      </c>
      <c r="D2948" s="377">
        <f>-89.25-1000</f>
        <v>-1089.25</v>
      </c>
      <c r="E2948" s="377"/>
      <c r="F2948" s="378">
        <v>-1000</v>
      </c>
      <c r="G2948" s="378"/>
      <c r="H2948" s="378">
        <v>-8959.81</v>
      </c>
      <c r="I2948" s="399"/>
      <c r="J2948" s="377"/>
      <c r="K2948" s="377">
        <v>25</v>
      </c>
      <c r="L2948" s="378"/>
      <c r="M2948" s="380"/>
      <c r="N2948" s="378"/>
      <c r="O2948" s="380"/>
      <c r="P2948" s="380"/>
      <c r="Q2948" s="380"/>
    </row>
    <row r="2949" spans="1:17" x14ac:dyDescent="0.2">
      <c r="A2949" s="334" t="s">
        <v>1735</v>
      </c>
      <c r="B2949" s="380"/>
      <c r="C2949" s="380" t="s">
        <v>194</v>
      </c>
      <c r="D2949" s="377"/>
      <c r="E2949" s="377"/>
      <c r="F2949" s="378"/>
      <c r="G2949" s="378"/>
      <c r="H2949" s="378"/>
      <c r="I2949" s="399"/>
      <c r="J2949" s="377"/>
      <c r="K2949" s="377">
        <v>25</v>
      </c>
      <c r="L2949" s="378">
        <v>25</v>
      </c>
      <c r="M2949" s="380"/>
      <c r="N2949" s="378"/>
      <c r="O2949" s="380"/>
      <c r="P2949" s="380"/>
      <c r="Q2949" s="380"/>
    </row>
    <row r="2950" spans="1:17" x14ac:dyDescent="0.2">
      <c r="A2950" s="334" t="s">
        <v>1741</v>
      </c>
      <c r="B2950" s="380"/>
      <c r="C2950" s="334" t="s">
        <v>1748</v>
      </c>
      <c r="D2950" s="377"/>
      <c r="E2950" s="377"/>
      <c r="F2950" s="378"/>
      <c r="G2950" s="378"/>
      <c r="H2950" s="378"/>
      <c r="I2950" s="399"/>
      <c r="J2950" s="377"/>
      <c r="K2950" s="377"/>
      <c r="L2950" s="378"/>
      <c r="M2950" s="380"/>
      <c r="N2950" s="378"/>
      <c r="O2950" s="380"/>
      <c r="P2950" s="380"/>
      <c r="Q2950" s="380"/>
    </row>
    <row r="2951" spans="1:17" x14ac:dyDescent="0.2">
      <c r="A2951" s="334" t="s">
        <v>1742</v>
      </c>
      <c r="B2951" s="380"/>
      <c r="C2951" s="334" t="s">
        <v>1553</v>
      </c>
      <c r="D2951" s="377"/>
      <c r="E2951" s="377"/>
      <c r="F2951" s="378"/>
      <c r="G2951" s="378"/>
      <c r="H2951" s="378"/>
      <c r="I2951" s="399"/>
      <c r="J2951" s="377"/>
      <c r="K2951" s="377"/>
      <c r="L2951" s="378"/>
      <c r="M2951" s="380"/>
      <c r="N2951" s="378"/>
      <c r="O2951" s="380"/>
      <c r="P2951" s="380"/>
      <c r="Q2951" s="380"/>
    </row>
    <row r="2952" spans="1:17" x14ac:dyDescent="0.2">
      <c r="A2952" s="334" t="s">
        <v>1584</v>
      </c>
      <c r="B2952" s="380"/>
      <c r="C2952" s="334" t="s">
        <v>0</v>
      </c>
      <c r="D2952" s="377"/>
      <c r="E2952" s="377"/>
      <c r="F2952" s="378"/>
      <c r="G2952" s="378"/>
      <c r="H2952" s="378"/>
      <c r="I2952" s="399"/>
      <c r="J2952" s="377"/>
      <c r="K2952" s="377"/>
      <c r="L2952" s="378"/>
      <c r="M2952" s="380"/>
      <c r="N2952" s="378"/>
      <c r="O2952" s="380"/>
      <c r="P2952" s="380"/>
      <c r="Q2952" s="380"/>
    </row>
    <row r="2953" spans="1:17" x14ac:dyDescent="0.2">
      <c r="A2953" s="334" t="s">
        <v>1580</v>
      </c>
      <c r="B2953" s="380"/>
      <c r="C2953" s="334" t="s">
        <v>1935</v>
      </c>
      <c r="D2953" s="377"/>
      <c r="E2953" s="377"/>
      <c r="F2953" s="378"/>
      <c r="G2953" s="378"/>
      <c r="H2953" s="378"/>
      <c r="I2953" s="399"/>
      <c r="J2953" s="377"/>
      <c r="K2953" s="377"/>
      <c r="L2953" s="378"/>
      <c r="M2953" s="380"/>
      <c r="N2953" s="378"/>
      <c r="O2953" s="380"/>
      <c r="P2953" s="380"/>
      <c r="Q2953" s="380"/>
    </row>
    <row r="2954" spans="1:17" x14ac:dyDescent="0.2">
      <c r="A2954" s="334" t="s">
        <v>1572</v>
      </c>
      <c r="B2954" s="380"/>
      <c r="C2954" s="334" t="s">
        <v>3134</v>
      </c>
      <c r="D2954" s="377"/>
      <c r="E2954" s="377">
        <v>45</v>
      </c>
      <c r="F2954" s="378"/>
      <c r="G2954" s="378"/>
      <c r="H2954" s="378"/>
      <c r="I2954" s="399"/>
      <c r="J2954" s="377"/>
      <c r="K2954" s="377">
        <v>45</v>
      </c>
      <c r="L2954" s="378"/>
      <c r="M2954" s="380"/>
      <c r="N2954" s="378"/>
      <c r="O2954" s="380"/>
      <c r="P2954" s="380"/>
      <c r="Q2954" s="380"/>
    </row>
    <row r="2955" spans="1:17" x14ac:dyDescent="0.2">
      <c r="A2955" s="334" t="s">
        <v>1730</v>
      </c>
      <c r="B2955" s="380"/>
      <c r="C2955" s="334" t="s">
        <v>1985</v>
      </c>
      <c r="D2955" s="377"/>
      <c r="E2955" s="377"/>
      <c r="F2955" s="378"/>
      <c r="G2955" s="378"/>
      <c r="H2955" s="378">
        <v>300</v>
      </c>
      <c r="I2955" s="399"/>
      <c r="J2955" s="377"/>
      <c r="K2955" s="377"/>
      <c r="L2955" s="378">
        <v>3750</v>
      </c>
      <c r="M2955" s="380"/>
      <c r="N2955" s="378">
        <v>300</v>
      </c>
      <c r="O2955" s="380"/>
      <c r="P2955" s="380"/>
      <c r="Q2955" s="380"/>
    </row>
    <row r="2956" spans="1:17" x14ac:dyDescent="0.2">
      <c r="A2956" s="334" t="s">
        <v>1566</v>
      </c>
      <c r="B2956" s="380"/>
      <c r="C2956" s="334" t="s">
        <v>366</v>
      </c>
      <c r="D2956" s="377"/>
      <c r="E2956" s="377"/>
      <c r="F2956" s="378">
        <v>4000</v>
      </c>
      <c r="G2956" s="378"/>
      <c r="H2956" s="378"/>
      <c r="I2956" s="399"/>
      <c r="J2956" s="377"/>
      <c r="K2956" s="377"/>
      <c r="L2956" s="378"/>
      <c r="M2956" s="380"/>
      <c r="N2956" s="380"/>
      <c r="O2956" s="380"/>
      <c r="P2956" s="380"/>
      <c r="Q2956" s="380"/>
    </row>
    <row r="2957" spans="1:17" x14ac:dyDescent="0.2">
      <c r="A2957" s="334" t="s">
        <v>1755</v>
      </c>
      <c r="B2957" s="380"/>
      <c r="C2957" s="380" t="s">
        <v>1986</v>
      </c>
      <c r="D2957" s="377"/>
      <c r="E2957" s="377"/>
      <c r="F2957" s="378"/>
      <c r="G2957" s="378"/>
      <c r="H2957" s="378"/>
      <c r="I2957" s="399"/>
      <c r="J2957" s="377"/>
      <c r="K2957" s="377"/>
      <c r="L2957" s="378"/>
      <c r="M2957" s="380"/>
      <c r="N2957" s="380"/>
      <c r="O2957" s="380"/>
      <c r="P2957" s="380"/>
      <c r="Q2957" s="380"/>
    </row>
    <row r="2958" spans="1:17" x14ac:dyDescent="0.2">
      <c r="A2958" s="334" t="s">
        <v>1587</v>
      </c>
      <c r="B2958" s="380"/>
      <c r="C2958" s="334" t="s">
        <v>34</v>
      </c>
      <c r="D2958" s="377"/>
      <c r="E2958" s="377"/>
      <c r="F2958" s="378"/>
      <c r="G2958" s="378"/>
      <c r="H2958" s="378"/>
      <c r="I2958" s="399"/>
      <c r="J2958" s="377"/>
      <c r="K2958" s="377"/>
      <c r="L2958" s="378"/>
      <c r="M2958" s="380"/>
      <c r="N2958" s="380"/>
      <c r="O2958" s="380"/>
      <c r="P2958" s="380"/>
      <c r="Q2958" s="380"/>
    </row>
    <row r="2959" spans="1:17" x14ac:dyDescent="0.2">
      <c r="A2959" s="384" t="s">
        <v>1962</v>
      </c>
      <c r="B2959" s="380"/>
      <c r="C2959" s="380" t="s">
        <v>572</v>
      </c>
      <c r="D2959" s="377"/>
      <c r="E2959" s="377"/>
      <c r="F2959" s="378"/>
      <c r="G2959" s="378"/>
      <c r="H2959" s="378"/>
      <c r="I2959" s="399"/>
      <c r="J2959" s="377"/>
      <c r="K2959" s="377"/>
      <c r="L2959" s="378"/>
      <c r="M2959" s="380"/>
      <c r="N2959" s="380"/>
      <c r="O2959" s="380"/>
      <c r="P2959" s="380"/>
      <c r="Q2959" s="380"/>
    </row>
    <row r="2960" spans="1:17" x14ac:dyDescent="0.2">
      <c r="A2960" s="384" t="s">
        <v>1567</v>
      </c>
      <c r="B2960" s="380"/>
      <c r="C2960" s="334" t="s">
        <v>3142</v>
      </c>
      <c r="D2960" s="377"/>
      <c r="E2960" s="377"/>
      <c r="F2960" s="422">
        <v>1000</v>
      </c>
      <c r="G2960" s="459"/>
      <c r="H2960" s="459"/>
      <c r="I2960" s="399"/>
      <c r="J2960" s="377"/>
      <c r="K2960" s="377"/>
      <c r="L2960" s="422"/>
      <c r="M2960" s="459"/>
      <c r="N2960" s="459"/>
      <c r="O2960" s="380"/>
      <c r="P2960" s="380"/>
      <c r="Q2960" s="380"/>
    </row>
    <row r="2961" spans="1:17" x14ac:dyDescent="0.2">
      <c r="A2961" s="334" t="s">
        <v>342</v>
      </c>
      <c r="B2961" s="380"/>
      <c r="C2961" s="334" t="s">
        <v>342</v>
      </c>
      <c r="D2961" s="410" t="s">
        <v>342</v>
      </c>
      <c r="E2961" s="410" t="s">
        <v>342</v>
      </c>
      <c r="F2961" s="378"/>
      <c r="G2961" s="380"/>
      <c r="H2961" s="380"/>
      <c r="I2961" s="385"/>
      <c r="J2961" s="410" t="s">
        <v>342</v>
      </c>
      <c r="K2961" s="410" t="s">
        <v>342</v>
      </c>
      <c r="L2961" s="378"/>
      <c r="M2961" s="380"/>
      <c r="N2961" s="380"/>
      <c r="O2961" s="380"/>
      <c r="P2961" s="380"/>
      <c r="Q2961" s="380"/>
    </row>
    <row r="2962" spans="1:17" ht="15.75" thickBot="1" x14ac:dyDescent="0.25">
      <c r="A2962" s="334" t="s">
        <v>342</v>
      </c>
      <c r="B2962" s="380"/>
      <c r="C2962" s="334" t="s">
        <v>342</v>
      </c>
      <c r="D2962" s="334">
        <f>SUM(D2929:D2961)</f>
        <v>1700.75</v>
      </c>
      <c r="E2962" s="411">
        <f>SUM(E2929:E2961)</f>
        <v>445</v>
      </c>
      <c r="F2962" s="414">
        <f>SUM(F2929:F2961)</f>
        <v>4475</v>
      </c>
      <c r="G2962" s="411"/>
      <c r="H2962" s="411">
        <f>SUM(H2929:H2961)</f>
        <v>12240.19</v>
      </c>
      <c r="I2962" s="385"/>
      <c r="J2962" s="334">
        <f>SUM(J2929:J2961)</f>
        <v>2482</v>
      </c>
      <c r="K2962" s="411">
        <f>SUM(K2929:K2961)</f>
        <v>455</v>
      </c>
      <c r="L2962" s="414">
        <f>SUM(L2929:L2961)</f>
        <v>5500</v>
      </c>
      <c r="M2962" s="411"/>
      <c r="N2962" s="411">
        <f>SUM(N2929:N2961)</f>
        <v>21200</v>
      </c>
      <c r="O2962" s="380"/>
      <c r="P2962" s="380"/>
      <c r="Q2962" s="380"/>
    </row>
    <row r="2963" spans="1:17" ht="15.75" thickTop="1" x14ac:dyDescent="0.2">
      <c r="A2963" s="380"/>
      <c r="B2963" s="380"/>
      <c r="C2963" s="380"/>
      <c r="D2963" s="395"/>
      <c r="E2963" s="380"/>
      <c r="F2963" s="378"/>
      <c r="G2963" s="380"/>
      <c r="H2963" s="380"/>
      <c r="I2963" s="399"/>
      <c r="J2963" s="395"/>
      <c r="K2963" s="380"/>
      <c r="L2963" s="378"/>
      <c r="M2963" s="380"/>
      <c r="N2963" s="380"/>
      <c r="O2963" s="380"/>
      <c r="P2963" s="380"/>
      <c r="Q2963" s="380"/>
    </row>
    <row r="2964" spans="1:17" x14ac:dyDescent="0.2">
      <c r="A2964" s="380"/>
      <c r="B2964" s="380"/>
      <c r="C2964" s="380"/>
      <c r="D2964" s="380"/>
      <c r="E2964" s="380"/>
      <c r="F2964" s="378"/>
      <c r="G2964" s="380"/>
      <c r="H2964" s="380"/>
      <c r="I2964" s="382"/>
      <c r="J2964" s="380"/>
      <c r="K2964" s="380"/>
      <c r="L2964" s="378"/>
      <c r="M2964" s="380"/>
      <c r="N2964" s="380"/>
      <c r="O2964" s="380"/>
      <c r="P2964" s="380"/>
      <c r="Q2964" s="380"/>
    </row>
    <row r="2965" spans="1:17" x14ac:dyDescent="0.2">
      <c r="A2965" s="380"/>
      <c r="B2965" s="380"/>
      <c r="C2965" s="380"/>
      <c r="D2965" s="380"/>
      <c r="E2965" s="380"/>
      <c r="F2965" s="378"/>
      <c r="G2965" s="380"/>
      <c r="H2965" s="380"/>
      <c r="I2965" s="382"/>
      <c r="J2965" s="380"/>
      <c r="K2965" s="380"/>
      <c r="L2965" s="378"/>
      <c r="M2965" s="380"/>
      <c r="N2965" s="380"/>
      <c r="O2965" s="380"/>
      <c r="P2965" s="380"/>
      <c r="Q2965" s="380"/>
    </row>
    <row r="2966" spans="1:17" x14ac:dyDescent="0.2">
      <c r="A2966" s="334" t="s">
        <v>1665</v>
      </c>
      <c r="B2966" s="377"/>
      <c r="C2966" s="377"/>
      <c r="D2966" s="334" t="s">
        <v>342</v>
      </c>
      <c r="E2966" s="377"/>
      <c r="F2966" s="378"/>
      <c r="G2966" s="377"/>
      <c r="H2966" s="377"/>
      <c r="I2966" s="385"/>
      <c r="J2966" s="334" t="s">
        <v>342</v>
      </c>
      <c r="K2966" s="377"/>
      <c r="L2966" s="378"/>
      <c r="M2966" s="377"/>
      <c r="N2966" s="377"/>
      <c r="O2966" s="380"/>
      <c r="P2966" s="380"/>
      <c r="Q2966" s="380"/>
    </row>
    <row r="2967" spans="1:17" x14ac:dyDescent="0.2">
      <c r="A2967" s="334" t="s">
        <v>342</v>
      </c>
      <c r="B2967" s="380"/>
      <c r="C2967" s="384" t="s">
        <v>2146</v>
      </c>
      <c r="D2967" s="380"/>
      <c r="E2967" s="380"/>
      <c r="F2967" s="378"/>
      <c r="G2967" s="380"/>
      <c r="H2967" s="380"/>
      <c r="I2967" s="382"/>
      <c r="J2967" s="380"/>
      <c r="K2967" s="380"/>
      <c r="L2967" s="378"/>
      <c r="M2967" s="380"/>
      <c r="N2967" s="380"/>
      <c r="O2967" s="380"/>
      <c r="P2967" s="380"/>
      <c r="Q2967" s="380"/>
    </row>
    <row r="2968" spans="1:17" x14ac:dyDescent="0.2">
      <c r="A2968" s="334" t="s">
        <v>342</v>
      </c>
      <c r="B2968" s="380"/>
      <c r="C2968" s="334" t="s">
        <v>342</v>
      </c>
      <c r="D2968" s="334" t="s">
        <v>342</v>
      </c>
      <c r="E2968" s="380"/>
      <c r="F2968" s="378"/>
      <c r="G2968" s="380"/>
      <c r="H2968" s="380"/>
      <c r="I2968" s="385"/>
      <c r="J2968" s="334" t="s">
        <v>342</v>
      </c>
      <c r="K2968" s="380"/>
      <c r="L2968" s="378"/>
      <c r="M2968" s="380"/>
      <c r="N2968" s="380"/>
      <c r="O2968" s="380"/>
      <c r="P2968" s="380"/>
      <c r="Q2968" s="380"/>
    </row>
    <row r="2969" spans="1:17" x14ac:dyDescent="0.2">
      <c r="A2969" s="334" t="s">
        <v>1723</v>
      </c>
      <c r="B2969" s="380"/>
      <c r="C2969" s="334" t="s">
        <v>1880</v>
      </c>
      <c r="D2969" s="334" t="s">
        <v>181</v>
      </c>
      <c r="E2969" s="380"/>
      <c r="F2969" s="378"/>
      <c r="G2969" s="380"/>
      <c r="H2969" s="380"/>
      <c r="I2969" s="385"/>
      <c r="J2969" s="334" t="s">
        <v>181</v>
      </c>
      <c r="K2969" s="380"/>
      <c r="L2969" s="378"/>
      <c r="M2969" s="380"/>
      <c r="N2969" s="380"/>
      <c r="O2969" s="380"/>
      <c r="P2969" s="380"/>
      <c r="Q2969" s="380"/>
    </row>
    <row r="2970" spans="1:17" x14ac:dyDescent="0.2">
      <c r="A2970" s="334" t="s">
        <v>342</v>
      </c>
      <c r="B2970" s="380"/>
      <c r="C2970" s="334" t="s">
        <v>342</v>
      </c>
      <c r="D2970" s="334" t="s">
        <v>342</v>
      </c>
      <c r="E2970" s="380"/>
      <c r="F2970" s="378"/>
      <c r="G2970" s="380"/>
      <c r="H2970" s="380"/>
      <c r="I2970" s="385"/>
      <c r="J2970" s="334" t="s">
        <v>342</v>
      </c>
      <c r="K2970" s="380"/>
      <c r="L2970" s="378"/>
      <c r="M2970" s="380"/>
      <c r="N2970" s="380"/>
      <c r="O2970" s="380"/>
      <c r="P2970" s="380"/>
      <c r="Q2970" s="380"/>
    </row>
    <row r="2971" spans="1:17" x14ac:dyDescent="0.2">
      <c r="A2971" s="334" t="s">
        <v>1724</v>
      </c>
      <c r="B2971" s="380"/>
      <c r="C2971" s="334" t="s">
        <v>1881</v>
      </c>
      <c r="D2971" s="377"/>
      <c r="E2971" s="380"/>
      <c r="F2971" s="378"/>
      <c r="G2971" s="380"/>
      <c r="H2971" s="380"/>
      <c r="I2971" s="399"/>
      <c r="J2971" s="377"/>
      <c r="K2971" s="380"/>
      <c r="L2971" s="378"/>
      <c r="M2971" s="380"/>
      <c r="N2971" s="380"/>
      <c r="O2971" s="380"/>
      <c r="P2971" s="380"/>
      <c r="Q2971" s="380"/>
    </row>
    <row r="2972" spans="1:17" x14ac:dyDescent="0.2">
      <c r="A2972" s="334" t="s">
        <v>1575</v>
      </c>
      <c r="B2972" s="380"/>
      <c r="C2972" s="334" t="s">
        <v>1889</v>
      </c>
      <c r="D2972" s="377">
        <v>300</v>
      </c>
      <c r="E2972" s="380"/>
      <c r="F2972" s="378"/>
      <c r="G2972" s="380"/>
      <c r="H2972" s="380"/>
      <c r="I2972" s="399"/>
      <c r="J2972" s="377">
        <v>300</v>
      </c>
      <c r="K2972" s="380"/>
      <c r="L2972" s="378"/>
      <c r="M2972" s="380"/>
      <c r="N2972" s="380"/>
      <c r="O2972" s="380"/>
      <c r="P2972" s="380"/>
      <c r="Q2972" s="380"/>
    </row>
    <row r="2973" spans="1:17" x14ac:dyDescent="0.2">
      <c r="A2973" s="334" t="s">
        <v>1725</v>
      </c>
      <c r="B2973" s="380"/>
      <c r="C2973" s="334" t="s">
        <v>1890</v>
      </c>
      <c r="D2973" s="377"/>
      <c r="E2973" s="380"/>
      <c r="F2973" s="378"/>
      <c r="G2973" s="380"/>
      <c r="H2973" s="380"/>
      <c r="I2973" s="399"/>
      <c r="J2973" s="377"/>
      <c r="K2973" s="380"/>
      <c r="L2973" s="378"/>
      <c r="M2973" s="380"/>
      <c r="N2973" s="380"/>
      <c r="O2973" s="380"/>
      <c r="P2973" s="380"/>
      <c r="Q2973" s="380"/>
    </row>
    <row r="2974" spans="1:17" x14ac:dyDescent="0.2">
      <c r="A2974" s="384" t="s">
        <v>1738</v>
      </c>
      <c r="B2974" s="380"/>
      <c r="C2974" s="334" t="s">
        <v>1591</v>
      </c>
      <c r="D2974" s="377">
        <v>50</v>
      </c>
      <c r="E2974" s="380"/>
      <c r="F2974" s="378"/>
      <c r="G2974" s="380"/>
      <c r="H2974" s="380"/>
      <c r="I2974" s="399"/>
      <c r="J2974" s="377">
        <v>50</v>
      </c>
      <c r="K2974" s="380"/>
      <c r="L2974" s="378"/>
      <c r="M2974" s="380"/>
      <c r="N2974" s="380"/>
      <c r="O2974" s="380"/>
      <c r="P2974" s="380"/>
      <c r="Q2974" s="380"/>
    </row>
    <row r="2975" spans="1:17" x14ac:dyDescent="0.2">
      <c r="A2975" s="334" t="s">
        <v>1727</v>
      </c>
      <c r="B2975" s="380"/>
      <c r="C2975" s="334" t="s">
        <v>307</v>
      </c>
      <c r="D2975" s="377">
        <v>230</v>
      </c>
      <c r="E2975" s="380"/>
      <c r="F2975" s="378"/>
      <c r="G2975" s="380"/>
      <c r="H2975" s="380"/>
      <c r="I2975" s="399"/>
      <c r="J2975" s="377">
        <v>230</v>
      </c>
      <c r="K2975" s="380"/>
      <c r="L2975" s="378"/>
      <c r="M2975" s="380"/>
      <c r="N2975" s="380"/>
      <c r="O2975" s="380"/>
      <c r="P2975" s="380"/>
      <c r="Q2975" s="380"/>
    </row>
    <row r="2976" spans="1:17" x14ac:dyDescent="0.2">
      <c r="A2976" s="334" t="s">
        <v>1728</v>
      </c>
      <c r="B2976" s="380"/>
      <c r="C2976" s="334" t="s">
        <v>310</v>
      </c>
      <c r="D2976" s="377">
        <v>400</v>
      </c>
      <c r="E2976" s="380"/>
      <c r="F2976" s="378"/>
      <c r="G2976" s="380"/>
      <c r="H2976" s="380"/>
      <c r="I2976" s="399"/>
      <c r="J2976" s="377">
        <v>400</v>
      </c>
      <c r="K2976" s="380"/>
      <c r="L2976" s="378"/>
      <c r="M2976" s="380"/>
      <c r="N2976" s="380"/>
      <c r="O2976" s="380"/>
      <c r="P2976" s="380"/>
      <c r="Q2976" s="380"/>
    </row>
    <row r="2977" spans="1:17" x14ac:dyDescent="0.2">
      <c r="A2977" s="334" t="s">
        <v>1729</v>
      </c>
      <c r="B2977" s="380"/>
      <c r="C2977" s="380" t="s">
        <v>1551</v>
      </c>
      <c r="D2977" s="377">
        <v>-79.41</v>
      </c>
      <c r="E2977" s="380"/>
      <c r="F2977" s="378"/>
      <c r="G2977" s="380"/>
      <c r="H2977" s="380"/>
      <c r="I2977" s="399"/>
      <c r="J2977" s="377"/>
      <c r="K2977" s="380"/>
      <c r="L2977" s="378"/>
      <c r="M2977" s="380"/>
      <c r="N2977" s="380"/>
      <c r="O2977" s="380"/>
      <c r="P2977" s="380"/>
      <c r="Q2977" s="380"/>
    </row>
    <row r="2978" spans="1:17" x14ac:dyDescent="0.2">
      <c r="A2978" s="334" t="s">
        <v>1584</v>
      </c>
      <c r="B2978" s="380"/>
      <c r="C2978" s="334" t="s">
        <v>0</v>
      </c>
      <c r="D2978" s="377"/>
      <c r="E2978" s="380"/>
      <c r="F2978" s="378"/>
      <c r="G2978" s="380"/>
      <c r="H2978" s="380"/>
      <c r="I2978" s="399"/>
      <c r="J2978" s="377"/>
      <c r="K2978" s="380"/>
      <c r="L2978" s="378"/>
      <c r="M2978" s="380"/>
      <c r="N2978" s="380"/>
      <c r="O2978" s="380"/>
      <c r="P2978" s="380"/>
      <c r="Q2978" s="380"/>
    </row>
    <row r="2979" spans="1:17" x14ac:dyDescent="0.2">
      <c r="A2979" s="334" t="s">
        <v>1572</v>
      </c>
      <c r="B2979" s="380"/>
      <c r="C2979" s="334" t="s">
        <v>3134</v>
      </c>
      <c r="D2979" s="377"/>
      <c r="E2979" s="380"/>
      <c r="F2979" s="378"/>
      <c r="G2979" s="380"/>
      <c r="H2979" s="380"/>
      <c r="I2979" s="399"/>
      <c r="J2979" s="377"/>
      <c r="K2979" s="380"/>
      <c r="L2979" s="378"/>
      <c r="M2979" s="380"/>
      <c r="N2979" s="380"/>
      <c r="O2979" s="380"/>
      <c r="P2979" s="380"/>
      <c r="Q2979" s="380"/>
    </row>
    <row r="2980" spans="1:17" x14ac:dyDescent="0.2">
      <c r="A2980" s="334" t="s">
        <v>1730</v>
      </c>
      <c r="B2980" s="380"/>
      <c r="C2980" s="334" t="s">
        <v>1985</v>
      </c>
      <c r="D2980" s="377">
        <v>100</v>
      </c>
      <c r="E2980" s="380"/>
      <c r="F2980" s="378"/>
      <c r="G2980" s="380"/>
      <c r="H2980" s="380"/>
      <c r="I2980" s="399"/>
      <c r="J2980" s="377">
        <v>100</v>
      </c>
      <c r="K2980" s="380"/>
      <c r="L2980" s="378"/>
      <c r="M2980" s="380"/>
      <c r="N2980" s="380"/>
      <c r="O2980" s="380"/>
      <c r="P2980" s="380"/>
      <c r="Q2980" s="380"/>
    </row>
    <row r="2981" spans="1:17" x14ac:dyDescent="0.2">
      <c r="A2981" s="334" t="s">
        <v>342</v>
      </c>
      <c r="B2981" s="380"/>
      <c r="C2981" s="334" t="s">
        <v>342</v>
      </c>
      <c r="D2981" s="410" t="s">
        <v>342</v>
      </c>
      <c r="E2981" s="380"/>
      <c r="F2981" s="378"/>
      <c r="G2981" s="380"/>
      <c r="H2981" s="380"/>
      <c r="I2981" s="385"/>
      <c r="J2981" s="410" t="s">
        <v>342</v>
      </c>
      <c r="K2981" s="380"/>
      <c r="L2981" s="378"/>
      <c r="M2981" s="380"/>
      <c r="N2981" s="380"/>
      <c r="O2981" s="380"/>
      <c r="P2981" s="380"/>
      <c r="Q2981" s="380"/>
    </row>
    <row r="2982" spans="1:17" x14ac:dyDescent="0.2">
      <c r="A2982" s="334" t="s">
        <v>342</v>
      </c>
      <c r="B2982" s="380"/>
      <c r="C2982" s="334" t="s">
        <v>342</v>
      </c>
      <c r="D2982" s="334">
        <f>SUM(D2971:D2980)</f>
        <v>1000.59</v>
      </c>
      <c r="E2982" s="380"/>
      <c r="F2982" s="378"/>
      <c r="G2982" s="380"/>
      <c r="H2982" s="380"/>
      <c r="I2982" s="385"/>
      <c r="J2982" s="334">
        <f>SUM(J2971:J2980)</f>
        <v>1080</v>
      </c>
      <c r="K2982" s="380"/>
      <c r="L2982" s="378"/>
      <c r="M2982" s="380"/>
      <c r="N2982" s="380"/>
      <c r="O2982" s="380"/>
      <c r="P2982" s="380"/>
      <c r="Q2982" s="380"/>
    </row>
    <row r="2983" spans="1:17" ht="15.75" thickTop="1" x14ac:dyDescent="0.2">
      <c r="A2983" s="380"/>
      <c r="B2983" s="380"/>
      <c r="C2983" s="380"/>
      <c r="D2983" s="395"/>
      <c r="E2983" s="380"/>
      <c r="F2983" s="378"/>
      <c r="G2983" s="380"/>
      <c r="H2983" s="380"/>
      <c r="I2983" s="399"/>
      <c r="J2983" s="395"/>
      <c r="K2983" s="380"/>
      <c r="L2983" s="378"/>
      <c r="M2983" s="380"/>
      <c r="N2983" s="380"/>
      <c r="O2983" s="380"/>
      <c r="P2983" s="380"/>
      <c r="Q2983" s="380"/>
    </row>
    <row r="2984" spans="1:17" x14ac:dyDescent="0.2">
      <c r="A2984" s="380"/>
      <c r="B2984" s="380"/>
      <c r="C2984" s="380"/>
      <c r="D2984" s="380"/>
      <c r="E2984" s="380"/>
      <c r="F2984" s="378"/>
      <c r="G2984" s="380"/>
      <c r="H2984" s="380"/>
      <c r="I2984" s="382"/>
      <c r="J2984" s="380"/>
      <c r="K2984" s="380"/>
      <c r="L2984" s="378"/>
      <c r="M2984" s="380"/>
      <c r="N2984" s="380"/>
      <c r="O2984" s="380"/>
      <c r="P2984" s="380"/>
      <c r="Q2984" s="380"/>
    </row>
    <row r="2985" spans="1:17" x14ac:dyDescent="0.2">
      <c r="A2985" s="380"/>
      <c r="B2985" s="380"/>
      <c r="C2985" s="380"/>
      <c r="D2985" s="380"/>
      <c r="E2985" s="380"/>
      <c r="F2985" s="378"/>
      <c r="G2985" s="380"/>
      <c r="H2985" s="380"/>
      <c r="I2985" s="382"/>
      <c r="J2985" s="380"/>
      <c r="K2985" s="380"/>
      <c r="L2985" s="378"/>
      <c r="M2985" s="380"/>
      <c r="N2985" s="380"/>
      <c r="O2985" s="380"/>
      <c r="P2985" s="380"/>
      <c r="Q2985" s="380"/>
    </row>
    <row r="2986" spans="1:17" x14ac:dyDescent="0.2">
      <c r="A2986" s="334" t="s">
        <v>1666</v>
      </c>
      <c r="B2986" s="377"/>
      <c r="C2986" s="377"/>
      <c r="D2986" s="334" t="s">
        <v>342</v>
      </c>
      <c r="E2986" s="377"/>
      <c r="F2986" s="378"/>
      <c r="G2986" s="377"/>
      <c r="H2986" s="377"/>
      <c r="I2986" s="385"/>
      <c r="J2986" s="334" t="s">
        <v>342</v>
      </c>
      <c r="K2986" s="377"/>
      <c r="L2986" s="378"/>
      <c r="M2986" s="377"/>
      <c r="N2986" s="377"/>
      <c r="O2986" s="380"/>
      <c r="P2986" s="380"/>
      <c r="Q2986" s="380"/>
    </row>
    <row r="2987" spans="1:17" x14ac:dyDescent="0.2">
      <c r="A2987" s="334" t="s">
        <v>342</v>
      </c>
      <c r="B2987" s="380"/>
      <c r="C2987" s="384" t="s">
        <v>2147</v>
      </c>
      <c r="D2987" s="380"/>
      <c r="E2987" s="380"/>
      <c r="F2987" s="378"/>
      <c r="G2987" s="380"/>
      <c r="H2987" s="380"/>
      <c r="I2987" s="382"/>
      <c r="J2987" s="380"/>
      <c r="K2987" s="380"/>
      <c r="L2987" s="378"/>
      <c r="M2987" s="380"/>
      <c r="N2987" s="380"/>
      <c r="O2987" s="380"/>
      <c r="P2987" s="380"/>
      <c r="Q2987" s="380"/>
    </row>
    <row r="2988" spans="1:17" x14ac:dyDescent="0.2">
      <c r="A2988" s="380"/>
      <c r="B2988" s="380"/>
      <c r="C2988" s="380"/>
      <c r="D2988" s="380"/>
      <c r="E2988" s="380"/>
      <c r="F2988" s="378"/>
      <c r="G2988" s="380"/>
      <c r="H2988" s="380"/>
      <c r="I2988" s="382"/>
      <c r="J2988" s="380"/>
      <c r="K2988" s="380"/>
      <c r="L2988" s="378"/>
      <c r="M2988" s="380"/>
      <c r="N2988" s="380"/>
      <c r="O2988" s="380"/>
      <c r="P2988" s="380"/>
      <c r="Q2988" s="380"/>
    </row>
    <row r="2989" spans="1:17" x14ac:dyDescent="0.2">
      <c r="A2989" s="334" t="s">
        <v>1723</v>
      </c>
      <c r="B2989" s="380"/>
      <c r="C2989" s="334" t="s">
        <v>1880</v>
      </c>
      <c r="D2989" s="334" t="s">
        <v>181</v>
      </c>
      <c r="E2989" s="380"/>
      <c r="F2989" s="378"/>
      <c r="G2989" s="380"/>
      <c r="H2989" s="380"/>
      <c r="I2989" s="385"/>
      <c r="J2989" s="334" t="s">
        <v>181</v>
      </c>
      <c r="K2989" s="380"/>
      <c r="L2989" s="378"/>
      <c r="M2989" s="380"/>
      <c r="N2989" s="380"/>
      <c r="O2989" s="380"/>
      <c r="P2989" s="380"/>
      <c r="Q2989" s="380"/>
    </row>
    <row r="2990" spans="1:17" x14ac:dyDescent="0.2">
      <c r="A2990" s="334"/>
      <c r="B2990" s="380"/>
      <c r="C2990" s="334"/>
      <c r="D2990" s="334"/>
      <c r="E2990" s="380"/>
      <c r="F2990" s="378"/>
      <c r="G2990" s="380"/>
      <c r="H2990" s="380"/>
      <c r="I2990" s="385"/>
      <c r="J2990" s="334"/>
      <c r="K2990" s="380"/>
      <c r="L2990" s="378"/>
      <c r="M2990" s="380"/>
      <c r="N2990" s="380"/>
      <c r="O2990" s="380"/>
      <c r="P2990" s="380"/>
      <c r="Q2990" s="380"/>
    </row>
    <row r="2991" spans="1:17" x14ac:dyDescent="0.2">
      <c r="A2991" s="334" t="s">
        <v>1724</v>
      </c>
      <c r="B2991" s="380"/>
      <c r="C2991" s="380" t="s">
        <v>1881</v>
      </c>
      <c r="D2991" s="377">
        <v>300</v>
      </c>
      <c r="E2991" s="380"/>
      <c r="F2991" s="378"/>
      <c r="G2991" s="380"/>
      <c r="H2991" s="380"/>
      <c r="I2991" s="399"/>
      <c r="J2991" s="377">
        <v>300</v>
      </c>
      <c r="K2991" s="380"/>
      <c r="L2991" s="378"/>
      <c r="M2991" s="380"/>
      <c r="N2991" s="380"/>
      <c r="O2991" s="380"/>
      <c r="P2991" s="380"/>
      <c r="Q2991" s="380"/>
    </row>
    <row r="2992" spans="1:17" x14ac:dyDescent="0.2">
      <c r="A2992" s="334" t="s">
        <v>1736</v>
      </c>
      <c r="B2992" s="380"/>
      <c r="C2992" s="380" t="s">
        <v>1747</v>
      </c>
      <c r="D2992" s="377"/>
      <c r="E2992" s="380"/>
      <c r="F2992" s="378"/>
      <c r="G2992" s="380"/>
      <c r="H2992" s="380"/>
      <c r="I2992" s="399"/>
      <c r="J2992" s="377"/>
      <c r="K2992" s="380"/>
      <c r="L2992" s="378"/>
      <c r="M2992" s="380"/>
      <c r="N2992" s="380"/>
      <c r="O2992" s="380"/>
      <c r="P2992" s="380"/>
      <c r="Q2992" s="380"/>
    </row>
    <row r="2993" spans="1:17" x14ac:dyDescent="0.2">
      <c r="A2993" s="334" t="s">
        <v>1582</v>
      </c>
      <c r="B2993" s="380"/>
      <c r="C2993" s="334" t="s">
        <v>3135</v>
      </c>
      <c r="D2993" s="377">
        <v>420</v>
      </c>
      <c r="E2993" s="380"/>
      <c r="F2993" s="378"/>
      <c r="G2993" s="380"/>
      <c r="H2993" s="380"/>
      <c r="I2993" s="399"/>
      <c r="J2993" s="377">
        <v>420</v>
      </c>
      <c r="K2993" s="380"/>
      <c r="L2993" s="378"/>
      <c r="M2993" s="380"/>
      <c r="N2993" s="380"/>
      <c r="O2993" s="380"/>
      <c r="P2993" s="380"/>
      <c r="Q2993" s="380"/>
    </row>
    <row r="2994" spans="1:17" x14ac:dyDescent="0.2">
      <c r="A2994" s="334" t="s">
        <v>1725</v>
      </c>
      <c r="B2994" s="380"/>
      <c r="C2994" s="334" t="s">
        <v>1890</v>
      </c>
      <c r="D2994" s="377">
        <v>75</v>
      </c>
      <c r="E2994" s="380"/>
      <c r="F2994" s="378"/>
      <c r="G2994" s="380"/>
      <c r="H2994" s="380"/>
      <c r="I2994" s="399"/>
      <c r="J2994" s="377">
        <v>75</v>
      </c>
      <c r="K2994" s="380"/>
      <c r="L2994" s="378"/>
      <c r="M2994" s="380"/>
      <c r="N2994" s="380"/>
      <c r="O2994" s="380"/>
      <c r="P2994" s="380"/>
      <c r="Q2994" s="380"/>
    </row>
    <row r="2995" spans="1:17" x14ac:dyDescent="0.2">
      <c r="A2995" s="384" t="s">
        <v>1745</v>
      </c>
      <c r="B2995" s="380"/>
      <c r="C2995" s="334" t="s">
        <v>1887</v>
      </c>
      <c r="D2995" s="377"/>
      <c r="E2995" s="380"/>
      <c r="F2995" s="378"/>
      <c r="G2995" s="380"/>
      <c r="H2995" s="380"/>
      <c r="I2995" s="399"/>
      <c r="J2995" s="377"/>
      <c r="K2995" s="380"/>
      <c r="L2995" s="378"/>
      <c r="M2995" s="380"/>
      <c r="N2995" s="380"/>
      <c r="O2995" s="380"/>
      <c r="P2995" s="380"/>
      <c r="Q2995" s="380"/>
    </row>
    <row r="2996" spans="1:17" x14ac:dyDescent="0.2">
      <c r="A2996" s="384" t="s">
        <v>1737</v>
      </c>
      <c r="B2996" s="380"/>
      <c r="C2996" s="334" t="s">
        <v>1984</v>
      </c>
      <c r="D2996" s="377">
        <v>300</v>
      </c>
      <c r="E2996" s="380"/>
      <c r="F2996" s="378"/>
      <c r="G2996" s="380"/>
      <c r="H2996" s="380"/>
      <c r="I2996" s="399"/>
      <c r="J2996" s="377">
        <v>300</v>
      </c>
      <c r="K2996" s="380"/>
      <c r="L2996" s="378"/>
      <c r="M2996" s="380"/>
      <c r="N2996" s="380"/>
      <c r="O2996" s="380"/>
      <c r="P2996" s="380"/>
      <c r="Q2996" s="380"/>
    </row>
    <row r="2997" spans="1:17" x14ac:dyDescent="0.2">
      <c r="A2997" s="334" t="s">
        <v>1578</v>
      </c>
      <c r="B2997" s="380"/>
      <c r="C2997" s="334" t="s">
        <v>22</v>
      </c>
      <c r="D2997" s="377"/>
      <c r="E2997" s="380"/>
      <c r="F2997" s="378"/>
      <c r="G2997" s="380"/>
      <c r="H2997" s="380"/>
      <c r="I2997" s="399"/>
      <c r="J2997" s="377"/>
      <c r="K2997" s="380"/>
      <c r="L2997" s="378"/>
      <c r="M2997" s="380"/>
      <c r="N2997" s="380"/>
      <c r="O2997" s="380"/>
      <c r="P2997" s="380"/>
      <c r="Q2997" s="380"/>
    </row>
    <row r="2998" spans="1:17" x14ac:dyDescent="0.2">
      <c r="A2998" s="334" t="s">
        <v>1738</v>
      </c>
      <c r="B2998" s="380"/>
      <c r="C2998" s="334" t="s">
        <v>1591</v>
      </c>
      <c r="D2998" s="377">
        <v>50</v>
      </c>
      <c r="E2998" s="380"/>
      <c r="F2998" s="378"/>
      <c r="G2998" s="380"/>
      <c r="H2998" s="380"/>
      <c r="I2998" s="399"/>
      <c r="J2998" s="377">
        <v>50</v>
      </c>
      <c r="K2998" s="380"/>
      <c r="L2998" s="378"/>
      <c r="M2998" s="380"/>
      <c r="N2998" s="380"/>
      <c r="O2998" s="380"/>
      <c r="P2998" s="380"/>
      <c r="Q2998" s="380"/>
    </row>
    <row r="2999" spans="1:17" x14ac:dyDescent="0.2">
      <c r="A2999" s="334" t="s">
        <v>1727</v>
      </c>
      <c r="B2999" s="380"/>
      <c r="C2999" s="334" t="s">
        <v>307</v>
      </c>
      <c r="D2999" s="377">
        <v>50</v>
      </c>
      <c r="E2999" s="380"/>
      <c r="F2999" s="378"/>
      <c r="G2999" s="380"/>
      <c r="H2999" s="380"/>
      <c r="I2999" s="399"/>
      <c r="J2999" s="377">
        <v>50</v>
      </c>
      <c r="K2999" s="380"/>
      <c r="L2999" s="378"/>
      <c r="M2999" s="380"/>
      <c r="N2999" s="380"/>
      <c r="O2999" s="380"/>
      <c r="P2999" s="380"/>
      <c r="Q2999" s="380"/>
    </row>
    <row r="3000" spans="1:17" x14ac:dyDescent="0.2">
      <c r="A3000" s="334" t="s">
        <v>1728</v>
      </c>
      <c r="B3000" s="380"/>
      <c r="C3000" s="334" t="s">
        <v>310</v>
      </c>
      <c r="D3000" s="377">
        <v>65</v>
      </c>
      <c r="E3000" s="380"/>
      <c r="F3000" s="378"/>
      <c r="G3000" s="380"/>
      <c r="H3000" s="380"/>
      <c r="I3000" s="399"/>
      <c r="J3000" s="377">
        <v>65</v>
      </c>
      <c r="K3000" s="380"/>
      <c r="L3000" s="378"/>
      <c r="M3000" s="380"/>
      <c r="N3000" s="380"/>
      <c r="O3000" s="380"/>
      <c r="P3000" s="380"/>
      <c r="Q3000" s="380"/>
    </row>
    <row r="3001" spans="1:17" x14ac:dyDescent="0.2">
      <c r="A3001" s="334" t="s">
        <v>1729</v>
      </c>
      <c r="B3001" s="380"/>
      <c r="C3001" s="380" t="s">
        <v>1551</v>
      </c>
      <c r="D3001" s="377">
        <v>-200</v>
      </c>
      <c r="E3001" s="380"/>
      <c r="F3001" s="378"/>
      <c r="G3001" s="380"/>
      <c r="H3001" s="380"/>
      <c r="I3001" s="399"/>
      <c r="J3001" s="377"/>
      <c r="K3001" s="380"/>
      <c r="L3001" s="378"/>
      <c r="M3001" s="380"/>
      <c r="N3001" s="380"/>
      <c r="O3001" s="380"/>
      <c r="P3001" s="380"/>
      <c r="Q3001" s="380"/>
    </row>
    <row r="3002" spans="1:17" x14ac:dyDescent="0.2">
      <c r="A3002" s="334" t="s">
        <v>1735</v>
      </c>
      <c r="B3002" s="380"/>
      <c r="C3002" s="380" t="s">
        <v>194</v>
      </c>
      <c r="D3002" s="377"/>
      <c r="E3002" s="380"/>
      <c r="F3002" s="378"/>
      <c r="G3002" s="380"/>
      <c r="H3002" s="380"/>
      <c r="I3002" s="399"/>
      <c r="J3002" s="377"/>
      <c r="K3002" s="380"/>
      <c r="L3002" s="378"/>
      <c r="M3002" s="380"/>
      <c r="N3002" s="380"/>
      <c r="O3002" s="380"/>
      <c r="P3002" s="380"/>
      <c r="Q3002" s="380"/>
    </row>
    <row r="3003" spans="1:17" x14ac:dyDescent="0.2">
      <c r="A3003" s="334" t="s">
        <v>1742</v>
      </c>
      <c r="B3003" s="380"/>
      <c r="C3003" s="334" t="s">
        <v>1553</v>
      </c>
      <c r="D3003" s="377"/>
      <c r="E3003" s="380"/>
      <c r="F3003" s="378"/>
      <c r="G3003" s="380"/>
      <c r="H3003" s="380"/>
      <c r="I3003" s="399"/>
      <c r="J3003" s="377"/>
      <c r="K3003" s="380"/>
      <c r="L3003" s="378"/>
      <c r="M3003" s="380"/>
      <c r="N3003" s="380"/>
      <c r="O3003" s="380"/>
      <c r="P3003" s="380"/>
      <c r="Q3003" s="380"/>
    </row>
    <row r="3004" spans="1:17" x14ac:dyDescent="0.2">
      <c r="A3004" s="334" t="s">
        <v>1580</v>
      </c>
      <c r="B3004" s="380"/>
      <c r="C3004" s="334" t="s">
        <v>1935</v>
      </c>
      <c r="D3004" s="377"/>
      <c r="E3004" s="380"/>
      <c r="F3004" s="378"/>
      <c r="G3004" s="380"/>
      <c r="H3004" s="380"/>
      <c r="I3004" s="399"/>
      <c r="J3004" s="377">
        <v>50</v>
      </c>
      <c r="K3004" s="380"/>
      <c r="L3004" s="378"/>
      <c r="M3004" s="380"/>
      <c r="N3004" s="380"/>
      <c r="O3004" s="380"/>
      <c r="P3004" s="380"/>
      <c r="Q3004" s="380"/>
    </row>
    <row r="3005" spans="1:17" x14ac:dyDescent="0.2">
      <c r="A3005" s="334" t="s">
        <v>1572</v>
      </c>
      <c r="B3005" s="380"/>
      <c r="C3005" s="334" t="s">
        <v>3134</v>
      </c>
      <c r="D3005" s="377"/>
      <c r="E3005" s="380"/>
      <c r="F3005" s="378"/>
      <c r="G3005" s="380"/>
      <c r="H3005" s="380"/>
      <c r="I3005" s="399"/>
      <c r="J3005" s="377"/>
      <c r="K3005" s="380"/>
      <c r="L3005" s="378"/>
      <c r="M3005" s="380"/>
      <c r="N3005" s="380"/>
      <c r="O3005" s="380"/>
      <c r="P3005" s="380"/>
      <c r="Q3005" s="380"/>
    </row>
    <row r="3006" spans="1:17" x14ac:dyDescent="0.2">
      <c r="A3006" s="391" t="s">
        <v>1566</v>
      </c>
      <c r="B3006" s="380"/>
      <c r="C3006" s="334" t="s">
        <v>366</v>
      </c>
      <c r="D3006" s="377">
        <v>400</v>
      </c>
      <c r="E3006" s="380"/>
      <c r="F3006" s="378"/>
      <c r="G3006" s="380"/>
      <c r="H3006" s="380"/>
      <c r="I3006" s="399"/>
      <c r="J3006" s="377">
        <v>400</v>
      </c>
      <c r="K3006" s="380"/>
      <c r="L3006" s="378"/>
      <c r="M3006" s="380"/>
      <c r="N3006" s="380"/>
      <c r="O3006" s="380"/>
      <c r="P3006" s="380"/>
      <c r="Q3006" s="380"/>
    </row>
    <row r="3007" spans="1:17" x14ac:dyDescent="0.2">
      <c r="A3007" s="384" t="s">
        <v>1755</v>
      </c>
      <c r="B3007" s="380"/>
      <c r="C3007" s="380" t="s">
        <v>1986</v>
      </c>
      <c r="D3007" s="377"/>
      <c r="E3007" s="380"/>
      <c r="F3007" s="378"/>
      <c r="G3007" s="380"/>
      <c r="H3007" s="380"/>
      <c r="I3007" s="399"/>
      <c r="J3007" s="377"/>
      <c r="K3007" s="380"/>
      <c r="L3007" s="378"/>
      <c r="M3007" s="380"/>
      <c r="N3007" s="380"/>
      <c r="O3007" s="380"/>
      <c r="P3007" s="380"/>
      <c r="Q3007" s="380"/>
    </row>
    <row r="3008" spans="1:17" x14ac:dyDescent="0.2">
      <c r="A3008" s="380"/>
      <c r="B3008" s="380"/>
      <c r="C3008" s="380"/>
      <c r="D3008" s="410" t="s">
        <v>342</v>
      </c>
      <c r="E3008" s="380"/>
      <c r="F3008" s="378"/>
      <c r="G3008" s="380"/>
      <c r="H3008" s="380"/>
      <c r="I3008" s="385"/>
      <c r="J3008" s="410" t="s">
        <v>342</v>
      </c>
      <c r="K3008" s="380"/>
      <c r="L3008" s="378"/>
      <c r="M3008" s="380"/>
      <c r="N3008" s="380"/>
      <c r="O3008" s="380"/>
      <c r="P3008" s="380"/>
      <c r="Q3008" s="380"/>
    </row>
    <row r="3009" spans="1:17" x14ac:dyDescent="0.2">
      <c r="A3009" s="380"/>
      <c r="B3009" s="380"/>
      <c r="C3009" s="380"/>
      <c r="D3009" s="334">
        <f>SUM(D2991:D3007)</f>
        <v>1460</v>
      </c>
      <c r="E3009" s="380"/>
      <c r="F3009" s="378"/>
      <c r="G3009" s="380"/>
      <c r="H3009" s="380"/>
      <c r="I3009" s="385"/>
      <c r="J3009" s="334">
        <f>SUM(J2991:J3007)</f>
        <v>1710</v>
      </c>
      <c r="K3009" s="380"/>
      <c r="L3009" s="378"/>
      <c r="M3009" s="380"/>
      <c r="N3009" s="380"/>
      <c r="O3009" s="380"/>
      <c r="P3009" s="380"/>
      <c r="Q3009" s="380"/>
    </row>
    <row r="3010" spans="1:17" ht="15.75" thickTop="1" x14ac:dyDescent="0.2">
      <c r="A3010" s="380"/>
      <c r="B3010" s="380"/>
      <c r="C3010" s="380"/>
      <c r="D3010" s="395"/>
      <c r="E3010" s="380"/>
      <c r="F3010" s="378"/>
      <c r="G3010" s="380"/>
      <c r="H3010" s="380"/>
      <c r="I3010" s="399"/>
      <c r="J3010" s="395"/>
      <c r="K3010" s="380"/>
      <c r="L3010" s="378"/>
      <c r="M3010" s="380"/>
      <c r="N3010" s="380"/>
      <c r="O3010" s="380"/>
      <c r="P3010" s="380"/>
      <c r="Q3010" s="380"/>
    </row>
    <row r="3011" spans="1:17" x14ac:dyDescent="0.2">
      <c r="A3011" s="380"/>
      <c r="B3011" s="380"/>
      <c r="C3011" s="380"/>
      <c r="D3011" s="380"/>
      <c r="E3011" s="380"/>
      <c r="F3011" s="378"/>
      <c r="G3011" s="380"/>
      <c r="H3011" s="380"/>
      <c r="I3011" s="382"/>
      <c r="J3011" s="380"/>
      <c r="K3011" s="380"/>
      <c r="L3011" s="378"/>
      <c r="M3011" s="380"/>
      <c r="N3011" s="380"/>
      <c r="O3011" s="380"/>
      <c r="P3011" s="380"/>
      <c r="Q3011" s="380"/>
    </row>
    <row r="3012" spans="1:17" x14ac:dyDescent="0.2">
      <c r="A3012" s="380"/>
      <c r="B3012" s="380"/>
      <c r="C3012" s="380"/>
      <c r="D3012" s="380"/>
      <c r="E3012" s="380"/>
      <c r="F3012" s="378"/>
      <c r="G3012" s="380"/>
      <c r="H3012" s="380"/>
      <c r="I3012" s="382"/>
      <c r="J3012" s="380"/>
      <c r="K3012" s="380"/>
      <c r="L3012" s="378"/>
      <c r="M3012" s="380"/>
      <c r="N3012" s="380"/>
      <c r="O3012" s="380"/>
      <c r="P3012" s="380"/>
      <c r="Q3012" s="380"/>
    </row>
    <row r="3013" spans="1:17" x14ac:dyDescent="0.2">
      <c r="A3013" s="334" t="s">
        <v>1667</v>
      </c>
      <c r="B3013" s="377"/>
      <c r="C3013" s="377"/>
      <c r="D3013" s="334" t="s">
        <v>107</v>
      </c>
      <c r="E3013" s="334"/>
      <c r="F3013" s="412"/>
      <c r="G3013" s="334"/>
      <c r="H3013" s="377"/>
      <c r="I3013" s="385"/>
      <c r="J3013" s="334" t="s">
        <v>107</v>
      </c>
      <c r="K3013" s="334" t="s">
        <v>229</v>
      </c>
      <c r="L3013" s="412"/>
      <c r="M3013" s="334"/>
      <c r="N3013" s="377"/>
      <c r="O3013" s="380"/>
      <c r="P3013" s="380"/>
      <c r="Q3013" s="380"/>
    </row>
    <row r="3014" spans="1:17" x14ac:dyDescent="0.2">
      <c r="A3014" s="334" t="s">
        <v>342</v>
      </c>
      <c r="B3014" s="380"/>
      <c r="C3014" s="384" t="s">
        <v>2148</v>
      </c>
      <c r="D3014" s="380"/>
      <c r="E3014" s="380"/>
      <c r="F3014" s="378"/>
      <c r="G3014" s="380"/>
      <c r="H3014" s="380"/>
      <c r="I3014" s="382"/>
      <c r="J3014" s="380"/>
      <c r="K3014" s="380"/>
      <c r="L3014" s="378"/>
      <c r="M3014" s="380"/>
      <c r="N3014" s="380"/>
      <c r="O3014" s="380"/>
      <c r="P3014" s="380"/>
      <c r="Q3014" s="380"/>
    </row>
    <row r="3015" spans="1:17" x14ac:dyDescent="0.2">
      <c r="A3015" s="334" t="s">
        <v>342</v>
      </c>
      <c r="B3015" s="380"/>
      <c r="C3015" s="334" t="s">
        <v>342</v>
      </c>
      <c r="D3015" s="334"/>
      <c r="E3015" s="334"/>
      <c r="F3015" s="412"/>
      <c r="G3015" s="334"/>
      <c r="H3015" s="380"/>
      <c r="I3015" s="385"/>
      <c r="J3015" s="334"/>
      <c r="K3015" s="334"/>
      <c r="L3015" s="412"/>
      <c r="M3015" s="334"/>
      <c r="N3015" s="380"/>
      <c r="O3015" s="380"/>
      <c r="P3015" s="380"/>
      <c r="Q3015" s="380"/>
    </row>
    <row r="3016" spans="1:17" x14ac:dyDescent="0.2">
      <c r="A3016" s="334" t="s">
        <v>1723</v>
      </c>
      <c r="B3016" s="380"/>
      <c r="C3016" s="334" t="s">
        <v>1880</v>
      </c>
      <c r="D3016" s="334" t="s">
        <v>181</v>
      </c>
      <c r="E3016" s="380"/>
      <c r="F3016" s="378"/>
      <c r="G3016" s="380"/>
      <c r="H3016" s="380"/>
      <c r="I3016" s="385"/>
      <c r="J3016" s="334" t="s">
        <v>181</v>
      </c>
      <c r="K3016" s="380" t="s">
        <v>181</v>
      </c>
      <c r="L3016" s="378" t="s">
        <v>181</v>
      </c>
      <c r="M3016" s="380"/>
      <c r="N3016" s="380" t="s">
        <v>181</v>
      </c>
      <c r="O3016" s="380"/>
      <c r="P3016" s="380"/>
      <c r="Q3016" s="380"/>
    </row>
    <row r="3017" spans="1:17" x14ac:dyDescent="0.2">
      <c r="A3017" s="334"/>
      <c r="B3017" s="380"/>
      <c r="C3017" s="334"/>
      <c r="D3017" s="334"/>
      <c r="E3017" s="380"/>
      <c r="F3017" s="378"/>
      <c r="G3017" s="380"/>
      <c r="H3017" s="380"/>
      <c r="I3017" s="385"/>
      <c r="J3017" s="334"/>
      <c r="K3017" s="380"/>
      <c r="L3017" s="378"/>
      <c r="M3017" s="380"/>
      <c r="N3017" s="380" t="s">
        <v>343</v>
      </c>
      <c r="O3017" s="380"/>
      <c r="P3017" s="380"/>
      <c r="Q3017" s="380"/>
    </row>
    <row r="3018" spans="1:17" x14ac:dyDescent="0.2">
      <c r="A3018" s="334" t="s">
        <v>342</v>
      </c>
      <c r="B3018" s="380"/>
      <c r="C3018" s="334" t="s">
        <v>342</v>
      </c>
      <c r="D3018" s="334" t="s">
        <v>342</v>
      </c>
      <c r="E3018" s="380"/>
      <c r="F3018" s="378"/>
      <c r="G3018" s="380"/>
      <c r="H3018" s="380"/>
      <c r="I3018" s="385"/>
      <c r="J3018" s="334" t="s">
        <v>342</v>
      </c>
      <c r="K3018" s="380"/>
      <c r="L3018" s="378"/>
      <c r="M3018" s="380"/>
      <c r="N3018" s="380"/>
      <c r="O3018" s="380"/>
      <c r="P3018" s="380"/>
      <c r="Q3018" s="380"/>
    </row>
    <row r="3019" spans="1:17" x14ac:dyDescent="0.2">
      <c r="A3019" s="334" t="s">
        <v>1724</v>
      </c>
      <c r="B3019" s="380"/>
      <c r="C3019" s="334" t="s">
        <v>1881</v>
      </c>
      <c r="D3019" s="377">
        <v>200</v>
      </c>
      <c r="E3019" s="377"/>
      <c r="F3019" s="378"/>
      <c r="G3019" s="377"/>
      <c r="H3019" s="380"/>
      <c r="I3019" s="399"/>
      <c r="J3019" s="377">
        <v>200</v>
      </c>
      <c r="K3019" s="377"/>
      <c r="L3019" s="378"/>
      <c r="M3019" s="377"/>
      <c r="N3019" s="380">
        <v>200</v>
      </c>
      <c r="O3019" s="380"/>
      <c r="P3019" s="380"/>
      <c r="Q3019" s="380"/>
    </row>
    <row r="3020" spans="1:17" x14ac:dyDescent="0.2">
      <c r="A3020" s="391" t="s">
        <v>1736</v>
      </c>
      <c r="B3020" s="380"/>
      <c r="C3020" s="392" t="s">
        <v>1747</v>
      </c>
      <c r="D3020" s="377">
        <v>100</v>
      </c>
      <c r="E3020" s="377"/>
      <c r="F3020" s="378"/>
      <c r="G3020" s="377"/>
      <c r="H3020" s="380"/>
      <c r="I3020" s="399"/>
      <c r="J3020" s="377">
        <v>100</v>
      </c>
      <c r="K3020" s="377"/>
      <c r="L3020" s="378"/>
      <c r="M3020" s="377"/>
      <c r="N3020" s="380">
        <v>100</v>
      </c>
      <c r="O3020" s="380"/>
      <c r="P3020" s="380"/>
      <c r="Q3020" s="380"/>
    </row>
    <row r="3021" spans="1:17" x14ac:dyDescent="0.2">
      <c r="A3021" s="384" t="s">
        <v>1744</v>
      </c>
      <c r="B3021" s="380"/>
      <c r="C3021" s="334" t="s">
        <v>1254</v>
      </c>
      <c r="D3021" s="377">
        <v>300</v>
      </c>
      <c r="E3021" s="377"/>
      <c r="F3021" s="378"/>
      <c r="G3021" s="377"/>
      <c r="H3021" s="380"/>
      <c r="I3021" s="399"/>
      <c r="J3021" s="377">
        <v>300</v>
      </c>
      <c r="K3021" s="377"/>
      <c r="L3021" s="378"/>
      <c r="M3021" s="377"/>
      <c r="N3021" s="380">
        <v>300</v>
      </c>
      <c r="O3021" s="380"/>
      <c r="P3021" s="380"/>
      <c r="Q3021" s="380"/>
    </row>
    <row r="3022" spans="1:17" x14ac:dyDescent="0.2">
      <c r="A3022" s="384" t="s">
        <v>1582</v>
      </c>
      <c r="B3022" s="380"/>
      <c r="C3022" s="334" t="s">
        <v>3135</v>
      </c>
      <c r="D3022" s="377">
        <v>100</v>
      </c>
      <c r="E3022" s="377"/>
      <c r="F3022" s="378"/>
      <c r="G3022" s="377"/>
      <c r="H3022" s="380"/>
      <c r="I3022" s="399"/>
      <c r="J3022" s="377">
        <v>100</v>
      </c>
      <c r="K3022" s="377"/>
      <c r="L3022" s="378"/>
      <c r="M3022" s="377"/>
      <c r="N3022" s="380">
        <v>100</v>
      </c>
      <c r="O3022" s="380"/>
      <c r="P3022" s="380"/>
      <c r="Q3022" s="380"/>
    </row>
    <row r="3023" spans="1:17" x14ac:dyDescent="0.2">
      <c r="A3023" s="334" t="s">
        <v>1725</v>
      </c>
      <c r="B3023" s="380"/>
      <c r="C3023" s="334" t="s">
        <v>1890</v>
      </c>
      <c r="D3023" s="377">
        <v>150</v>
      </c>
      <c r="E3023" s="377"/>
      <c r="F3023" s="378"/>
      <c r="G3023" s="377"/>
      <c r="H3023" s="380"/>
      <c r="I3023" s="399"/>
      <c r="J3023" s="377">
        <v>150</v>
      </c>
      <c r="K3023" s="377"/>
      <c r="L3023" s="378"/>
      <c r="M3023" s="377"/>
      <c r="N3023" s="380">
        <v>150</v>
      </c>
      <c r="O3023" s="380"/>
      <c r="P3023" s="380"/>
      <c r="Q3023" s="380"/>
    </row>
    <row r="3024" spans="1:17" x14ac:dyDescent="0.2">
      <c r="A3024" s="384" t="s">
        <v>1745</v>
      </c>
      <c r="B3024" s="380"/>
      <c r="C3024" s="334" t="s">
        <v>1887</v>
      </c>
      <c r="D3024" s="377"/>
      <c r="E3024" s="377"/>
      <c r="F3024" s="378"/>
      <c r="G3024" s="377"/>
      <c r="H3024" s="380"/>
      <c r="I3024" s="399"/>
      <c r="J3024" s="377"/>
      <c r="K3024" s="377"/>
      <c r="L3024" s="378"/>
      <c r="M3024" s="377"/>
      <c r="N3024" s="380"/>
      <c r="O3024" s="380"/>
      <c r="P3024" s="380"/>
      <c r="Q3024" s="380"/>
    </row>
    <row r="3025" spans="1:17" x14ac:dyDescent="0.2">
      <c r="A3025" s="334" t="s">
        <v>1737</v>
      </c>
      <c r="B3025" s="380"/>
      <c r="C3025" s="334" t="s">
        <v>1984</v>
      </c>
      <c r="D3025" s="377">
        <v>200</v>
      </c>
      <c r="E3025" s="377"/>
      <c r="F3025" s="378"/>
      <c r="G3025" s="377"/>
      <c r="H3025" s="380"/>
      <c r="I3025" s="399"/>
      <c r="J3025" s="377">
        <v>200</v>
      </c>
      <c r="K3025" s="377"/>
      <c r="L3025" s="378"/>
      <c r="M3025" s="377"/>
      <c r="N3025" s="380">
        <v>200</v>
      </c>
      <c r="O3025" s="380"/>
      <c r="P3025" s="380"/>
      <c r="Q3025" s="380"/>
    </row>
    <row r="3026" spans="1:17" x14ac:dyDescent="0.2">
      <c r="A3026" s="384" t="s">
        <v>1726</v>
      </c>
      <c r="B3026" s="380"/>
      <c r="C3026" s="334" t="s">
        <v>1117</v>
      </c>
      <c r="D3026" s="377"/>
      <c r="E3026" s="377"/>
      <c r="F3026" s="378"/>
      <c r="G3026" s="377"/>
      <c r="H3026" s="380"/>
      <c r="I3026" s="399"/>
      <c r="J3026" s="377"/>
      <c r="K3026" s="377"/>
      <c r="L3026" s="378"/>
      <c r="M3026" s="377"/>
      <c r="N3026" s="380"/>
      <c r="O3026" s="380"/>
      <c r="P3026" s="380"/>
      <c r="Q3026" s="380"/>
    </row>
    <row r="3027" spans="1:17" x14ac:dyDescent="0.2">
      <c r="A3027" s="334" t="s">
        <v>1734</v>
      </c>
      <c r="B3027" s="380"/>
      <c r="C3027" s="334" t="s">
        <v>1746</v>
      </c>
      <c r="D3027" s="377"/>
      <c r="E3027" s="377"/>
      <c r="F3027" s="378"/>
      <c r="G3027" s="377"/>
      <c r="H3027" s="380"/>
      <c r="I3027" s="399"/>
      <c r="J3027" s="377"/>
      <c r="K3027" s="377"/>
      <c r="L3027" s="378"/>
      <c r="M3027" s="377"/>
      <c r="N3027" s="380"/>
      <c r="O3027" s="380"/>
      <c r="P3027" s="380"/>
      <c r="Q3027" s="380"/>
    </row>
    <row r="3028" spans="1:17" x14ac:dyDescent="0.2">
      <c r="A3028" s="334" t="s">
        <v>1738</v>
      </c>
      <c r="B3028" s="380"/>
      <c r="C3028" s="334" t="s">
        <v>1591</v>
      </c>
      <c r="D3028" s="377"/>
      <c r="E3028" s="377"/>
      <c r="F3028" s="378"/>
      <c r="G3028" s="377"/>
      <c r="H3028" s="380"/>
      <c r="I3028" s="399"/>
      <c r="J3028" s="377">
        <v>75</v>
      </c>
      <c r="K3028" s="377"/>
      <c r="L3028" s="378"/>
      <c r="M3028" s="377"/>
      <c r="N3028" s="380">
        <v>75</v>
      </c>
      <c r="O3028" s="380"/>
      <c r="P3028" s="380"/>
      <c r="Q3028" s="380"/>
    </row>
    <row r="3029" spans="1:17" x14ac:dyDescent="0.2">
      <c r="A3029" s="334" t="s">
        <v>1727</v>
      </c>
      <c r="B3029" s="380"/>
      <c r="C3029" s="334" t="s">
        <v>307</v>
      </c>
      <c r="D3029" s="377">
        <v>75</v>
      </c>
      <c r="E3029" s="377"/>
      <c r="F3029" s="378"/>
      <c r="G3029" s="377"/>
      <c r="H3029" s="380"/>
      <c r="I3029" s="399"/>
      <c r="J3029" s="377">
        <v>75</v>
      </c>
      <c r="K3029" s="377"/>
      <c r="L3029" s="378"/>
      <c r="M3029" s="377"/>
      <c r="N3029" s="380">
        <v>75</v>
      </c>
      <c r="O3029" s="380"/>
      <c r="P3029" s="380"/>
      <c r="Q3029" s="380"/>
    </row>
    <row r="3030" spans="1:17" x14ac:dyDescent="0.2">
      <c r="A3030" s="334" t="s">
        <v>1728</v>
      </c>
      <c r="B3030" s="380"/>
      <c r="C3030" s="334" t="s">
        <v>310</v>
      </c>
      <c r="D3030" s="377">
        <v>500</v>
      </c>
      <c r="E3030" s="377"/>
      <c r="F3030" s="378"/>
      <c r="G3030" s="377"/>
      <c r="H3030" s="380"/>
      <c r="I3030" s="399"/>
      <c r="J3030" s="377"/>
      <c r="K3030" s="377"/>
      <c r="L3030" s="378"/>
      <c r="M3030" s="377"/>
      <c r="N3030" s="380"/>
      <c r="O3030" s="380"/>
      <c r="P3030" s="380"/>
      <c r="Q3030" s="380"/>
    </row>
    <row r="3031" spans="1:17" x14ac:dyDescent="0.2">
      <c r="A3031" s="384" t="s">
        <v>1729</v>
      </c>
      <c r="B3031" s="380"/>
      <c r="C3031" s="380" t="s">
        <v>1551</v>
      </c>
      <c r="D3031" s="377">
        <v>-485</v>
      </c>
      <c r="E3031" s="377"/>
      <c r="F3031" s="378"/>
      <c r="G3031" s="377"/>
      <c r="H3031" s="380"/>
      <c r="I3031" s="399"/>
      <c r="J3031" s="377"/>
      <c r="K3031" s="377"/>
      <c r="L3031" s="378"/>
      <c r="M3031" s="377"/>
      <c r="N3031" s="380"/>
      <c r="O3031" s="380"/>
      <c r="P3031" s="380"/>
      <c r="Q3031" s="380"/>
    </row>
    <row r="3032" spans="1:17" x14ac:dyDescent="0.2">
      <c r="A3032" s="384" t="s">
        <v>1735</v>
      </c>
      <c r="B3032" s="380"/>
      <c r="C3032" s="380" t="s">
        <v>194</v>
      </c>
      <c r="D3032" s="377"/>
      <c r="E3032" s="377"/>
      <c r="F3032" s="378"/>
      <c r="G3032" s="377"/>
      <c r="H3032" s="380"/>
      <c r="I3032" s="399"/>
      <c r="J3032" s="377"/>
      <c r="K3032" s="377"/>
      <c r="L3032" s="378"/>
      <c r="M3032" s="377"/>
      <c r="N3032" s="380"/>
      <c r="O3032" s="380"/>
      <c r="P3032" s="380"/>
      <c r="Q3032" s="380"/>
    </row>
    <row r="3033" spans="1:17" x14ac:dyDescent="0.2">
      <c r="A3033" s="334" t="s">
        <v>1572</v>
      </c>
      <c r="B3033" s="380"/>
      <c r="C3033" s="334" t="s">
        <v>3134</v>
      </c>
      <c r="D3033" s="377"/>
      <c r="E3033" s="377"/>
      <c r="F3033" s="378"/>
      <c r="G3033" s="377"/>
      <c r="H3033" s="380"/>
      <c r="I3033" s="399"/>
      <c r="J3033" s="377"/>
      <c r="K3033" s="377"/>
      <c r="L3033" s="378"/>
      <c r="M3033" s="377"/>
      <c r="N3033" s="380"/>
      <c r="O3033" s="380"/>
      <c r="P3033" s="380"/>
      <c r="Q3033" s="380"/>
    </row>
    <row r="3034" spans="1:17" x14ac:dyDescent="0.2">
      <c r="A3034" s="384" t="s">
        <v>1730</v>
      </c>
      <c r="B3034" s="380"/>
      <c r="C3034" s="334" t="s">
        <v>1985</v>
      </c>
      <c r="D3034" s="377">
        <v>400</v>
      </c>
      <c r="E3034" s="377"/>
      <c r="F3034" s="378"/>
      <c r="G3034" s="377"/>
      <c r="H3034" s="380"/>
      <c r="I3034" s="399"/>
      <c r="J3034" s="377">
        <v>400</v>
      </c>
      <c r="K3034" s="377"/>
      <c r="L3034" s="378"/>
      <c r="M3034" s="377"/>
      <c r="N3034" s="380">
        <v>400</v>
      </c>
      <c r="O3034" s="380"/>
      <c r="P3034" s="380"/>
      <c r="Q3034" s="380"/>
    </row>
    <row r="3035" spans="1:17" x14ac:dyDescent="0.2">
      <c r="A3035" s="334" t="s">
        <v>1566</v>
      </c>
      <c r="B3035" s="380"/>
      <c r="C3035" s="334" t="s">
        <v>366</v>
      </c>
      <c r="D3035" s="377">
        <v>400</v>
      </c>
      <c r="E3035" s="377"/>
      <c r="F3035" s="378"/>
      <c r="G3035" s="377"/>
      <c r="H3035" s="380"/>
      <c r="I3035" s="399"/>
      <c r="J3035" s="377">
        <v>400</v>
      </c>
      <c r="K3035" s="377"/>
      <c r="L3035" s="378"/>
      <c r="M3035" s="377"/>
      <c r="N3035" s="380">
        <v>400</v>
      </c>
      <c r="O3035" s="380"/>
      <c r="P3035" s="380"/>
      <c r="Q3035" s="380"/>
    </row>
    <row r="3036" spans="1:17" x14ac:dyDescent="0.2">
      <c r="A3036" s="384" t="s">
        <v>1755</v>
      </c>
      <c r="B3036" s="380"/>
      <c r="C3036" s="380" t="s">
        <v>1986</v>
      </c>
      <c r="D3036" s="377"/>
      <c r="E3036" s="377"/>
      <c r="F3036" s="378"/>
      <c r="G3036" s="377"/>
      <c r="H3036" s="380"/>
      <c r="I3036" s="399"/>
      <c r="J3036" s="377"/>
      <c r="K3036" s="377"/>
      <c r="L3036" s="378"/>
      <c r="M3036" s="377"/>
      <c r="N3036" s="380"/>
      <c r="O3036" s="380"/>
      <c r="P3036" s="380"/>
      <c r="Q3036" s="380"/>
    </row>
    <row r="3037" spans="1:17" x14ac:dyDescent="0.2">
      <c r="A3037" s="384" t="s">
        <v>1962</v>
      </c>
      <c r="B3037" s="380"/>
      <c r="C3037" s="380" t="s">
        <v>572</v>
      </c>
      <c r="D3037" s="377"/>
      <c r="E3037" s="399"/>
      <c r="F3037" s="416"/>
      <c r="G3037" s="399"/>
      <c r="H3037" s="382"/>
      <c r="I3037" s="399"/>
      <c r="J3037" s="377"/>
      <c r="K3037" s="377"/>
      <c r="L3037" s="378"/>
      <c r="M3037" s="377"/>
      <c r="N3037" s="459"/>
      <c r="O3037" s="380"/>
      <c r="P3037" s="380"/>
      <c r="Q3037" s="380"/>
    </row>
    <row r="3038" spans="1:17" x14ac:dyDescent="0.2">
      <c r="A3038" s="334" t="s">
        <v>342</v>
      </c>
      <c r="B3038" s="380"/>
      <c r="C3038" s="334" t="s">
        <v>342</v>
      </c>
      <c r="D3038" s="410" t="s">
        <v>342</v>
      </c>
      <c r="E3038" s="399"/>
      <c r="F3038" s="416"/>
      <c r="G3038" s="399"/>
      <c r="H3038" s="382"/>
      <c r="I3038" s="385"/>
      <c r="J3038" s="410" t="s">
        <v>342</v>
      </c>
      <c r="K3038" s="394"/>
      <c r="L3038" s="413"/>
      <c r="M3038" s="399"/>
      <c r="N3038" s="380"/>
      <c r="O3038" s="380"/>
      <c r="P3038" s="380"/>
      <c r="Q3038" s="380"/>
    </row>
    <row r="3039" spans="1:17" ht="15.75" thickBot="1" x14ac:dyDescent="0.25">
      <c r="A3039" s="334" t="s">
        <v>342</v>
      </c>
      <c r="B3039" s="380"/>
      <c r="C3039" s="334" t="s">
        <v>342</v>
      </c>
      <c r="D3039" s="334">
        <f>SUM(D3019:D3037)</f>
        <v>1940</v>
      </c>
      <c r="E3039" s="385"/>
      <c r="F3039" s="415"/>
      <c r="G3039" s="385"/>
      <c r="H3039" s="382"/>
      <c r="I3039" s="385"/>
      <c r="J3039" s="334">
        <f>SUM(J3019:J3037)</f>
        <v>2000</v>
      </c>
      <c r="K3039" s="334">
        <f>SUM(K3019:K3037)</f>
        <v>0</v>
      </c>
      <c r="L3039" s="412">
        <f>SUM(L3019:L3037)</f>
        <v>0</v>
      </c>
      <c r="M3039" s="334"/>
      <c r="N3039" s="460">
        <f>SUM(N3019:N3037)</f>
        <v>2000</v>
      </c>
      <c r="O3039" s="380"/>
      <c r="P3039" s="380"/>
      <c r="Q3039" s="380"/>
    </row>
    <row r="3040" spans="1:17" ht="15.75" thickTop="1" x14ac:dyDescent="0.2">
      <c r="A3040" s="334" t="s">
        <v>342</v>
      </c>
      <c r="B3040" s="380"/>
      <c r="C3040" s="334" t="s">
        <v>342</v>
      </c>
      <c r="D3040" s="400" t="s">
        <v>342</v>
      </c>
      <c r="E3040" s="399"/>
      <c r="F3040" s="416"/>
      <c r="G3040" s="399"/>
      <c r="H3040" s="382"/>
      <c r="I3040" s="385"/>
      <c r="J3040" s="400" t="s">
        <v>342</v>
      </c>
      <c r="K3040" s="395"/>
      <c r="L3040" s="401"/>
      <c r="M3040" s="399"/>
      <c r="N3040" s="380"/>
      <c r="O3040" s="380"/>
      <c r="P3040" s="380"/>
      <c r="Q3040" s="380"/>
    </row>
    <row r="3041" spans="1:17" x14ac:dyDescent="0.2">
      <c r="A3041" s="334" t="s">
        <v>342</v>
      </c>
      <c r="B3041" s="380"/>
      <c r="C3041" s="334" t="s">
        <v>342</v>
      </c>
      <c r="D3041" s="334" t="s">
        <v>342</v>
      </c>
      <c r="E3041" s="380"/>
      <c r="F3041" s="378"/>
      <c r="G3041" s="380"/>
      <c r="H3041" s="380"/>
      <c r="I3041" s="385"/>
      <c r="J3041" s="334" t="s">
        <v>342</v>
      </c>
      <c r="K3041" s="380"/>
      <c r="L3041" s="378"/>
      <c r="M3041" s="380"/>
      <c r="N3041" s="380"/>
      <c r="O3041" s="380"/>
      <c r="P3041" s="380"/>
      <c r="Q3041" s="380"/>
    </row>
    <row r="3042" spans="1:17" x14ac:dyDescent="0.2">
      <c r="A3042" s="334" t="s">
        <v>1668</v>
      </c>
      <c r="B3042" s="377"/>
      <c r="C3042" s="377"/>
      <c r="D3042" s="334" t="s">
        <v>342</v>
      </c>
      <c r="E3042" s="377"/>
      <c r="F3042" s="378"/>
      <c r="G3042" s="377"/>
      <c r="H3042" s="377"/>
      <c r="I3042" s="385"/>
      <c r="J3042" s="334" t="s">
        <v>342</v>
      </c>
      <c r="K3042" s="377"/>
      <c r="L3042" s="378"/>
      <c r="M3042" s="377"/>
      <c r="N3042" s="377"/>
      <c r="O3042" s="380"/>
      <c r="P3042" s="380"/>
      <c r="Q3042" s="380"/>
    </row>
    <row r="3043" spans="1:17" x14ac:dyDescent="0.2">
      <c r="A3043" s="334" t="s">
        <v>342</v>
      </c>
      <c r="B3043" s="380"/>
      <c r="C3043" s="384" t="s">
        <v>2149</v>
      </c>
      <c r="D3043" s="380"/>
      <c r="E3043" s="380"/>
      <c r="F3043" s="378"/>
      <c r="G3043" s="380"/>
      <c r="H3043" s="380"/>
      <c r="I3043" s="382"/>
      <c r="J3043" s="380"/>
      <c r="K3043" s="380"/>
      <c r="L3043" s="378"/>
      <c r="M3043" s="380"/>
      <c r="N3043" s="380"/>
      <c r="O3043" s="380"/>
      <c r="P3043" s="380"/>
      <c r="Q3043" s="380"/>
    </row>
    <row r="3044" spans="1:17" x14ac:dyDescent="0.2">
      <c r="A3044" s="334" t="s">
        <v>342</v>
      </c>
      <c r="B3044" s="380"/>
      <c r="C3044" s="334" t="s">
        <v>342</v>
      </c>
      <c r="D3044" s="334" t="s">
        <v>342</v>
      </c>
      <c r="E3044" s="380"/>
      <c r="F3044" s="378"/>
      <c r="G3044" s="380"/>
      <c r="H3044" s="380"/>
      <c r="I3044" s="385"/>
      <c r="J3044" s="334" t="s">
        <v>342</v>
      </c>
      <c r="K3044" s="380"/>
      <c r="L3044" s="378"/>
      <c r="M3044" s="380"/>
      <c r="N3044" s="380"/>
      <c r="O3044" s="380"/>
      <c r="P3044" s="380"/>
      <c r="Q3044" s="380"/>
    </row>
    <row r="3045" spans="1:17" x14ac:dyDescent="0.2">
      <c r="A3045" s="334" t="s">
        <v>1723</v>
      </c>
      <c r="B3045" s="380"/>
      <c r="C3045" s="334" t="s">
        <v>1880</v>
      </c>
      <c r="D3045" s="334" t="s">
        <v>181</v>
      </c>
      <c r="E3045" s="380"/>
      <c r="F3045" s="378"/>
      <c r="G3045" s="380"/>
      <c r="H3045" s="380"/>
      <c r="I3045" s="385"/>
      <c r="J3045" s="334" t="s">
        <v>181</v>
      </c>
      <c r="K3045" s="380"/>
      <c r="L3045" s="378"/>
      <c r="M3045" s="380"/>
      <c r="N3045" s="380"/>
      <c r="O3045" s="380"/>
      <c r="P3045" s="380"/>
      <c r="Q3045" s="380"/>
    </row>
    <row r="3046" spans="1:17" x14ac:dyDescent="0.2">
      <c r="A3046" s="334" t="s">
        <v>342</v>
      </c>
      <c r="B3046" s="380"/>
      <c r="C3046" s="334" t="s">
        <v>342</v>
      </c>
      <c r="D3046" s="334" t="s">
        <v>342</v>
      </c>
      <c r="E3046" s="380"/>
      <c r="F3046" s="378"/>
      <c r="G3046" s="380"/>
      <c r="H3046" s="380"/>
      <c r="I3046" s="385"/>
      <c r="J3046" s="334" t="s">
        <v>342</v>
      </c>
      <c r="K3046" s="380"/>
      <c r="L3046" s="378"/>
      <c r="M3046" s="380"/>
      <c r="N3046" s="380"/>
      <c r="O3046" s="380"/>
      <c r="P3046" s="380"/>
      <c r="Q3046" s="380"/>
    </row>
    <row r="3047" spans="1:17" x14ac:dyDescent="0.2">
      <c r="A3047" s="384" t="s">
        <v>1569</v>
      </c>
      <c r="B3047" s="380"/>
      <c r="C3047" s="334" t="s">
        <v>1888</v>
      </c>
      <c r="D3047" s="377"/>
      <c r="E3047" s="380"/>
      <c r="F3047" s="378"/>
      <c r="G3047" s="380"/>
      <c r="H3047" s="380"/>
      <c r="I3047" s="399"/>
      <c r="J3047" s="377"/>
      <c r="K3047" s="380"/>
      <c r="L3047" s="378"/>
      <c r="M3047" s="380"/>
      <c r="N3047" s="380"/>
      <c r="O3047" s="380"/>
      <c r="P3047" s="380"/>
      <c r="Q3047" s="380"/>
    </row>
    <row r="3048" spans="1:17" x14ac:dyDescent="0.2">
      <c r="A3048" s="334" t="s">
        <v>1724</v>
      </c>
      <c r="B3048" s="380"/>
      <c r="C3048" s="334" t="s">
        <v>1881</v>
      </c>
      <c r="D3048" s="377">
        <v>8600</v>
      </c>
      <c r="E3048" s="380"/>
      <c r="F3048" s="378"/>
      <c r="G3048" s="380"/>
      <c r="H3048" s="380"/>
      <c r="I3048" s="399"/>
      <c r="J3048" s="377">
        <v>7800</v>
      </c>
      <c r="K3048" s="380"/>
      <c r="L3048" s="378"/>
      <c r="M3048" s="380"/>
      <c r="N3048" s="380"/>
      <c r="O3048" s="380"/>
      <c r="P3048" s="380"/>
      <c r="Q3048" s="380"/>
    </row>
    <row r="3049" spans="1:17" x14ac:dyDescent="0.2">
      <c r="A3049" s="384" t="s">
        <v>1736</v>
      </c>
      <c r="B3049" s="380"/>
      <c r="C3049" s="334" t="s">
        <v>1747</v>
      </c>
      <c r="D3049" s="377">
        <v>150</v>
      </c>
      <c r="E3049" s="380"/>
      <c r="F3049" s="378"/>
      <c r="G3049" s="380"/>
      <c r="H3049" s="380"/>
      <c r="I3049" s="399"/>
      <c r="J3049" s="377">
        <v>150</v>
      </c>
      <c r="K3049" s="380"/>
      <c r="L3049" s="378"/>
      <c r="M3049" s="380"/>
      <c r="N3049" s="380"/>
      <c r="O3049" s="380"/>
      <c r="P3049" s="380"/>
      <c r="Q3049" s="380"/>
    </row>
    <row r="3050" spans="1:17" x14ac:dyDescent="0.2">
      <c r="A3050" s="334" t="s">
        <v>1744</v>
      </c>
      <c r="B3050" s="380"/>
      <c r="C3050" s="334" t="s">
        <v>1254</v>
      </c>
      <c r="D3050" s="377"/>
      <c r="E3050" s="380"/>
      <c r="F3050" s="378"/>
      <c r="G3050" s="380"/>
      <c r="H3050" s="380"/>
      <c r="I3050" s="399"/>
      <c r="J3050" s="377"/>
      <c r="K3050" s="380"/>
      <c r="L3050" s="378"/>
      <c r="M3050" s="380"/>
      <c r="N3050" s="380"/>
      <c r="O3050" s="380"/>
      <c r="P3050" s="380"/>
      <c r="Q3050" s="380"/>
    </row>
    <row r="3051" spans="1:17" x14ac:dyDescent="0.2">
      <c r="A3051" s="334" t="s">
        <v>1582</v>
      </c>
      <c r="B3051" s="380"/>
      <c r="C3051" s="334" t="s">
        <v>3135</v>
      </c>
      <c r="D3051" s="377">
        <v>6000</v>
      </c>
      <c r="E3051" s="380"/>
      <c r="F3051" s="378"/>
      <c r="G3051" s="380"/>
      <c r="H3051" s="380"/>
      <c r="I3051" s="399"/>
      <c r="J3051" s="377">
        <v>5000</v>
      </c>
      <c r="K3051" s="380"/>
      <c r="L3051" s="378"/>
      <c r="M3051" s="380"/>
      <c r="N3051" s="380"/>
      <c r="O3051" s="380"/>
      <c r="P3051" s="380"/>
      <c r="Q3051" s="380"/>
    </row>
    <row r="3052" spans="1:17" x14ac:dyDescent="0.2">
      <c r="A3052" s="334" t="s">
        <v>1575</v>
      </c>
      <c r="B3052" s="380"/>
      <c r="C3052" s="334" t="s">
        <v>1889</v>
      </c>
      <c r="D3052" s="377">
        <v>150</v>
      </c>
      <c r="E3052" s="380"/>
      <c r="F3052" s="378"/>
      <c r="G3052" s="380"/>
      <c r="H3052" s="380"/>
      <c r="I3052" s="399"/>
      <c r="J3052" s="377">
        <v>150</v>
      </c>
      <c r="K3052" s="380"/>
      <c r="L3052" s="378"/>
      <c r="M3052" s="380"/>
      <c r="N3052" s="380"/>
      <c r="O3052" s="380"/>
      <c r="P3052" s="380"/>
      <c r="Q3052" s="380"/>
    </row>
    <row r="3053" spans="1:17" x14ac:dyDescent="0.2">
      <c r="A3053" s="334" t="s">
        <v>1725</v>
      </c>
      <c r="B3053" s="380"/>
      <c r="C3053" s="334" t="s">
        <v>1890</v>
      </c>
      <c r="D3053" s="377"/>
      <c r="E3053" s="380"/>
      <c r="F3053" s="378"/>
      <c r="G3053" s="380"/>
      <c r="H3053" s="380"/>
      <c r="I3053" s="399"/>
      <c r="J3053" s="377"/>
      <c r="K3053" s="380"/>
      <c r="L3053" s="378"/>
      <c r="M3053" s="380"/>
      <c r="N3053" s="380"/>
      <c r="O3053" s="380"/>
      <c r="P3053" s="380"/>
      <c r="Q3053" s="380"/>
    </row>
    <row r="3054" spans="1:17" x14ac:dyDescent="0.2">
      <c r="A3054" s="334" t="s">
        <v>1565</v>
      </c>
      <c r="B3054" s="380"/>
      <c r="C3054" s="334" t="s">
        <v>1927</v>
      </c>
      <c r="D3054" s="377"/>
      <c r="E3054" s="380"/>
      <c r="F3054" s="378"/>
      <c r="G3054" s="380"/>
      <c r="H3054" s="380"/>
      <c r="I3054" s="399"/>
      <c r="J3054" s="377"/>
      <c r="K3054" s="380"/>
      <c r="L3054" s="378"/>
      <c r="M3054" s="380"/>
      <c r="N3054" s="380"/>
      <c r="O3054" s="380"/>
      <c r="P3054" s="380"/>
      <c r="Q3054" s="380"/>
    </row>
    <row r="3055" spans="1:17" x14ac:dyDescent="0.2">
      <c r="A3055" s="334" t="s">
        <v>1737</v>
      </c>
      <c r="B3055" s="380"/>
      <c r="C3055" s="334" t="s">
        <v>1984</v>
      </c>
      <c r="D3055" s="377">
        <v>200</v>
      </c>
      <c r="E3055" s="380"/>
      <c r="F3055" s="378"/>
      <c r="G3055" s="380"/>
      <c r="H3055" s="380"/>
      <c r="I3055" s="399"/>
      <c r="J3055" s="377">
        <v>200</v>
      </c>
      <c r="K3055" s="380"/>
      <c r="L3055" s="378"/>
      <c r="M3055" s="380"/>
      <c r="N3055" s="380"/>
      <c r="O3055" s="380"/>
      <c r="P3055" s="380"/>
      <c r="Q3055" s="380"/>
    </row>
    <row r="3056" spans="1:17" x14ac:dyDescent="0.2">
      <c r="A3056" s="334" t="s">
        <v>1726</v>
      </c>
      <c r="B3056" s="380"/>
      <c r="C3056" s="334" t="s">
        <v>1117</v>
      </c>
      <c r="D3056" s="377">
        <v>8400</v>
      </c>
      <c r="E3056" s="380"/>
      <c r="F3056" s="378"/>
      <c r="G3056" s="380"/>
      <c r="H3056" s="380"/>
      <c r="I3056" s="399"/>
      <c r="J3056" s="377">
        <v>7800</v>
      </c>
      <c r="K3056" s="380"/>
      <c r="L3056" s="378"/>
      <c r="M3056" s="380"/>
      <c r="N3056" s="380"/>
      <c r="O3056" s="380"/>
      <c r="P3056" s="380"/>
      <c r="Q3056" s="380"/>
    </row>
    <row r="3057" spans="1:17" x14ac:dyDescent="0.2">
      <c r="A3057" s="384" t="s">
        <v>1751</v>
      </c>
      <c r="B3057" s="380"/>
      <c r="C3057" s="334" t="s">
        <v>3138</v>
      </c>
      <c r="D3057" s="377"/>
      <c r="E3057" s="380"/>
      <c r="F3057" s="378"/>
      <c r="G3057" s="380"/>
      <c r="H3057" s="380"/>
      <c r="I3057" s="399"/>
      <c r="J3057" s="377"/>
      <c r="K3057" s="380"/>
      <c r="L3057" s="378"/>
      <c r="M3057" s="380"/>
      <c r="N3057" s="380"/>
      <c r="O3057" s="380"/>
      <c r="P3057" s="380"/>
      <c r="Q3057" s="380"/>
    </row>
    <row r="3058" spans="1:17" x14ac:dyDescent="0.2">
      <c r="A3058" s="334" t="s">
        <v>1577</v>
      </c>
      <c r="B3058" s="380"/>
      <c r="C3058" s="334" t="s">
        <v>1815</v>
      </c>
      <c r="D3058" s="377"/>
      <c r="E3058" s="380"/>
      <c r="F3058" s="378"/>
      <c r="G3058" s="380"/>
      <c r="H3058" s="380"/>
      <c r="I3058" s="399"/>
      <c r="J3058" s="377"/>
      <c r="K3058" s="380"/>
      <c r="L3058" s="378"/>
      <c r="M3058" s="380"/>
      <c r="N3058" s="380"/>
      <c r="O3058" s="380"/>
      <c r="P3058" s="380"/>
      <c r="Q3058" s="380"/>
    </row>
    <row r="3059" spans="1:17" x14ac:dyDescent="0.2">
      <c r="A3059" s="334" t="s">
        <v>1734</v>
      </c>
      <c r="B3059" s="380"/>
      <c r="C3059" s="334" t="s">
        <v>1746</v>
      </c>
      <c r="D3059" s="377"/>
      <c r="E3059" s="380"/>
      <c r="F3059" s="378"/>
      <c r="G3059" s="380"/>
      <c r="H3059" s="380"/>
      <c r="I3059" s="399"/>
      <c r="J3059" s="377">
        <v>200</v>
      </c>
      <c r="K3059" s="380"/>
      <c r="L3059" s="378"/>
      <c r="M3059" s="380"/>
      <c r="N3059" s="380"/>
      <c r="O3059" s="380"/>
      <c r="P3059" s="380"/>
      <c r="Q3059" s="380"/>
    </row>
    <row r="3060" spans="1:17" x14ac:dyDescent="0.2">
      <c r="A3060" s="334" t="s">
        <v>1571</v>
      </c>
      <c r="B3060" s="380"/>
      <c r="C3060" s="334" t="s">
        <v>3</v>
      </c>
      <c r="D3060" s="377"/>
      <c r="E3060" s="334" t="s">
        <v>342</v>
      </c>
      <c r="F3060" s="378"/>
      <c r="G3060" s="380"/>
      <c r="H3060" s="380"/>
      <c r="I3060" s="399"/>
      <c r="J3060" s="377"/>
      <c r="K3060" s="334" t="s">
        <v>342</v>
      </c>
      <c r="L3060" s="378"/>
      <c r="M3060" s="380"/>
      <c r="N3060" s="380"/>
      <c r="O3060" s="380"/>
      <c r="P3060" s="380"/>
      <c r="Q3060" s="380"/>
    </row>
    <row r="3061" spans="1:17" x14ac:dyDescent="0.2">
      <c r="A3061" s="334" t="s">
        <v>1578</v>
      </c>
      <c r="B3061" s="380"/>
      <c r="C3061" s="334" t="s">
        <v>22</v>
      </c>
      <c r="D3061" s="377">
        <v>1000</v>
      </c>
      <c r="E3061" s="380"/>
      <c r="F3061" s="378"/>
      <c r="G3061" s="380"/>
      <c r="H3061" s="380"/>
      <c r="I3061" s="399"/>
      <c r="J3061" s="377">
        <v>1000</v>
      </c>
      <c r="K3061" s="380"/>
      <c r="L3061" s="378"/>
      <c r="M3061" s="380"/>
      <c r="N3061" s="380"/>
      <c r="O3061" s="380"/>
      <c r="P3061" s="380"/>
      <c r="Q3061" s="380"/>
    </row>
    <row r="3062" spans="1:17" x14ac:dyDescent="0.2">
      <c r="A3062" s="334" t="s">
        <v>1738</v>
      </c>
      <c r="B3062" s="380"/>
      <c r="C3062" s="334" t="s">
        <v>1591</v>
      </c>
      <c r="D3062" s="377">
        <v>300</v>
      </c>
      <c r="E3062" s="380"/>
      <c r="F3062" s="378"/>
      <c r="G3062" s="380"/>
      <c r="H3062" s="380"/>
      <c r="I3062" s="399"/>
      <c r="J3062" s="377">
        <v>300</v>
      </c>
      <c r="K3062" s="380"/>
      <c r="L3062" s="378"/>
      <c r="M3062" s="380"/>
      <c r="N3062" s="380"/>
      <c r="O3062" s="380"/>
      <c r="P3062" s="380"/>
      <c r="Q3062" s="380"/>
    </row>
    <row r="3063" spans="1:17" x14ac:dyDescent="0.2">
      <c r="A3063" s="334" t="s">
        <v>1727</v>
      </c>
      <c r="B3063" s="380"/>
      <c r="C3063" s="334" t="s">
        <v>307</v>
      </c>
      <c r="D3063" s="377">
        <v>350</v>
      </c>
      <c r="E3063" s="380"/>
      <c r="F3063" s="378"/>
      <c r="G3063" s="380"/>
      <c r="H3063" s="380"/>
      <c r="I3063" s="399"/>
      <c r="J3063" s="377">
        <v>350</v>
      </c>
      <c r="K3063" s="380"/>
      <c r="L3063" s="378"/>
      <c r="M3063" s="380"/>
      <c r="N3063" s="380"/>
      <c r="O3063" s="380"/>
      <c r="P3063" s="380"/>
      <c r="Q3063" s="380"/>
    </row>
    <row r="3064" spans="1:17" x14ac:dyDescent="0.2">
      <c r="A3064" s="334" t="s">
        <v>1728</v>
      </c>
      <c r="B3064" s="380"/>
      <c r="C3064" s="334" t="s">
        <v>310</v>
      </c>
      <c r="D3064" s="377">
        <v>500</v>
      </c>
      <c r="E3064" s="380"/>
      <c r="F3064" s="378"/>
      <c r="G3064" s="380"/>
      <c r="H3064" s="380"/>
      <c r="I3064" s="399"/>
      <c r="J3064" s="377">
        <v>500</v>
      </c>
      <c r="K3064" s="380"/>
      <c r="L3064" s="378"/>
      <c r="M3064" s="380"/>
      <c r="N3064" s="380"/>
      <c r="O3064" s="380"/>
      <c r="P3064" s="380"/>
      <c r="Q3064" s="380"/>
    </row>
    <row r="3065" spans="1:17" x14ac:dyDescent="0.2">
      <c r="A3065" s="334" t="s">
        <v>1729</v>
      </c>
      <c r="B3065" s="380"/>
      <c r="C3065" s="380" t="s">
        <v>1551</v>
      </c>
      <c r="D3065" s="377">
        <v>-7170</v>
      </c>
      <c r="E3065" s="380"/>
      <c r="F3065" s="378"/>
      <c r="G3065" s="380"/>
      <c r="H3065" s="380"/>
      <c r="I3065" s="399"/>
      <c r="J3065" s="377">
        <v>100</v>
      </c>
      <c r="K3065" s="380"/>
      <c r="L3065" s="378"/>
      <c r="M3065" s="380"/>
      <c r="N3065" s="380"/>
      <c r="O3065" s="380"/>
      <c r="P3065" s="380"/>
      <c r="Q3065" s="380"/>
    </row>
    <row r="3066" spans="1:17" x14ac:dyDescent="0.2">
      <c r="A3066" s="334" t="s">
        <v>1735</v>
      </c>
      <c r="B3066" s="380"/>
      <c r="C3066" s="380" t="s">
        <v>194</v>
      </c>
      <c r="D3066" s="377"/>
      <c r="E3066" s="380"/>
      <c r="F3066" s="378"/>
      <c r="G3066" s="380"/>
      <c r="H3066" s="380"/>
      <c r="I3066" s="399"/>
      <c r="J3066" s="377">
        <v>100</v>
      </c>
      <c r="K3066" s="380"/>
      <c r="L3066" s="378"/>
      <c r="M3066" s="380"/>
      <c r="N3066" s="380"/>
      <c r="O3066" s="380"/>
      <c r="P3066" s="380"/>
      <c r="Q3066" s="380"/>
    </row>
    <row r="3067" spans="1:17" x14ac:dyDescent="0.2">
      <c r="A3067" s="384" t="s">
        <v>1754</v>
      </c>
      <c r="B3067" s="380"/>
      <c r="C3067" s="334" t="s">
        <v>1929</v>
      </c>
      <c r="D3067" s="377"/>
      <c r="E3067" s="380"/>
      <c r="F3067" s="378"/>
      <c r="G3067" s="380"/>
      <c r="H3067" s="380"/>
      <c r="I3067" s="399"/>
      <c r="J3067" s="377"/>
      <c r="K3067" s="380"/>
      <c r="L3067" s="378"/>
      <c r="M3067" s="380"/>
      <c r="N3067" s="380"/>
      <c r="O3067" s="380"/>
      <c r="P3067" s="380"/>
      <c r="Q3067" s="380"/>
    </row>
    <row r="3068" spans="1:17" x14ac:dyDescent="0.2">
      <c r="A3068" s="334" t="s">
        <v>1580</v>
      </c>
      <c r="B3068" s="380"/>
      <c r="C3068" s="334" t="s">
        <v>1935</v>
      </c>
      <c r="D3068" s="377"/>
      <c r="E3068" s="380"/>
      <c r="F3068" s="378"/>
      <c r="G3068" s="380"/>
      <c r="H3068" s="380"/>
      <c r="I3068" s="399"/>
      <c r="J3068" s="377"/>
      <c r="K3068" s="380"/>
      <c r="L3068" s="378"/>
      <c r="M3068" s="380"/>
      <c r="N3068" s="380"/>
      <c r="O3068" s="380"/>
      <c r="P3068" s="380"/>
      <c r="Q3068" s="380"/>
    </row>
    <row r="3069" spans="1:17" x14ac:dyDescent="0.2">
      <c r="A3069" s="334" t="s">
        <v>1572</v>
      </c>
      <c r="B3069" s="380"/>
      <c r="C3069" s="334" t="s">
        <v>3134</v>
      </c>
      <c r="D3069" s="377">
        <v>100</v>
      </c>
      <c r="E3069" s="380"/>
      <c r="F3069" s="378"/>
      <c r="G3069" s="380"/>
      <c r="H3069" s="380"/>
      <c r="I3069" s="399"/>
      <c r="J3069" s="377">
        <v>100</v>
      </c>
      <c r="K3069" s="380"/>
      <c r="L3069" s="378"/>
      <c r="M3069" s="380"/>
      <c r="N3069" s="380"/>
      <c r="O3069" s="380"/>
      <c r="P3069" s="380"/>
      <c r="Q3069" s="380"/>
    </row>
    <row r="3070" spans="1:17" x14ac:dyDescent="0.2">
      <c r="A3070" s="384" t="s">
        <v>1730</v>
      </c>
      <c r="B3070" s="380"/>
      <c r="C3070" s="334" t="s">
        <v>1985</v>
      </c>
      <c r="D3070" s="377">
        <v>1000</v>
      </c>
      <c r="E3070" s="380"/>
      <c r="F3070" s="378"/>
      <c r="G3070" s="380"/>
      <c r="H3070" s="380"/>
      <c r="I3070" s="399"/>
      <c r="J3070" s="377">
        <v>1000</v>
      </c>
      <c r="K3070" s="380"/>
      <c r="L3070" s="378"/>
      <c r="M3070" s="380"/>
      <c r="N3070" s="380"/>
      <c r="O3070" s="380"/>
      <c r="P3070" s="380"/>
      <c r="Q3070" s="380"/>
    </row>
    <row r="3071" spans="1:17" x14ac:dyDescent="0.2">
      <c r="A3071" s="334" t="s">
        <v>1566</v>
      </c>
      <c r="B3071" s="380"/>
      <c r="C3071" s="334" t="s">
        <v>366</v>
      </c>
      <c r="D3071" s="377">
        <v>1600</v>
      </c>
      <c r="E3071" s="380"/>
      <c r="F3071" s="378"/>
      <c r="G3071" s="380"/>
      <c r="H3071" s="380"/>
      <c r="I3071" s="399"/>
      <c r="J3071" s="377">
        <v>1600</v>
      </c>
      <c r="K3071" s="380"/>
      <c r="L3071" s="378"/>
      <c r="M3071" s="380"/>
      <c r="N3071" s="380"/>
      <c r="O3071" s="380"/>
      <c r="P3071" s="380"/>
      <c r="Q3071" s="380"/>
    </row>
    <row r="3072" spans="1:17" x14ac:dyDescent="0.2">
      <c r="A3072" s="384" t="s">
        <v>1755</v>
      </c>
      <c r="B3072" s="380"/>
      <c r="C3072" s="380" t="s">
        <v>1986</v>
      </c>
      <c r="D3072" s="377">
        <v>1500</v>
      </c>
      <c r="E3072" s="380"/>
      <c r="F3072" s="378"/>
      <c r="G3072" s="380"/>
      <c r="H3072" s="380"/>
      <c r="I3072" s="399"/>
      <c r="J3072" s="377">
        <v>1500</v>
      </c>
      <c r="K3072" s="380"/>
      <c r="L3072" s="378"/>
      <c r="M3072" s="380"/>
      <c r="N3072" s="380"/>
      <c r="O3072" s="380"/>
      <c r="P3072" s="380"/>
      <c r="Q3072" s="380"/>
    </row>
    <row r="3073" spans="1:17" x14ac:dyDescent="0.2">
      <c r="A3073" s="384" t="s">
        <v>1587</v>
      </c>
      <c r="B3073" s="380"/>
      <c r="C3073" s="334" t="s">
        <v>34</v>
      </c>
      <c r="D3073" s="377"/>
      <c r="E3073" s="380"/>
      <c r="F3073" s="378"/>
      <c r="G3073" s="380"/>
      <c r="H3073" s="380"/>
      <c r="I3073" s="399"/>
      <c r="J3073" s="377"/>
      <c r="K3073" s="380"/>
      <c r="L3073" s="378"/>
      <c r="M3073" s="380"/>
      <c r="N3073" s="380"/>
      <c r="O3073" s="380"/>
      <c r="P3073" s="380"/>
      <c r="Q3073" s="380"/>
    </row>
    <row r="3074" spans="1:17" x14ac:dyDescent="0.2">
      <c r="A3074" s="384" t="s">
        <v>1962</v>
      </c>
      <c r="B3074" s="380"/>
      <c r="C3074" s="380" t="s">
        <v>572</v>
      </c>
      <c r="D3074" s="377">
        <v>6000</v>
      </c>
      <c r="E3074" s="380"/>
      <c r="F3074" s="378"/>
      <c r="G3074" s="380"/>
      <c r="H3074" s="380"/>
      <c r="I3074" s="399"/>
      <c r="J3074" s="377">
        <v>6200</v>
      </c>
      <c r="K3074" s="380"/>
      <c r="L3074" s="378"/>
      <c r="M3074" s="380"/>
      <c r="N3074" s="380"/>
      <c r="O3074" s="380"/>
      <c r="P3074" s="380"/>
      <c r="Q3074" s="380"/>
    </row>
    <row r="3075" spans="1:17" x14ac:dyDescent="0.2">
      <c r="A3075" s="334" t="s">
        <v>342</v>
      </c>
      <c r="B3075" s="380"/>
      <c r="C3075" s="334" t="s">
        <v>342</v>
      </c>
      <c r="D3075" s="410" t="s">
        <v>342</v>
      </c>
      <c r="E3075" s="380"/>
      <c r="F3075" s="378"/>
      <c r="G3075" s="380"/>
      <c r="H3075" s="380"/>
      <c r="I3075" s="385"/>
      <c r="J3075" s="410" t="s">
        <v>342</v>
      </c>
      <c r="K3075" s="380"/>
      <c r="L3075" s="378"/>
      <c r="M3075" s="380"/>
      <c r="N3075" s="380"/>
      <c r="O3075" s="380"/>
      <c r="P3075" s="380"/>
      <c r="Q3075" s="380"/>
    </row>
    <row r="3076" spans="1:17" x14ac:dyDescent="0.2">
      <c r="A3076" s="334" t="s">
        <v>342</v>
      </c>
      <c r="B3076" s="380"/>
      <c r="C3076" s="334" t="s">
        <v>342</v>
      </c>
      <c r="D3076" s="334">
        <f>SUM(D3047:D3074)</f>
        <v>28680</v>
      </c>
      <c r="E3076" s="380"/>
      <c r="F3076" s="378"/>
      <c r="G3076" s="380"/>
      <c r="H3076" s="380"/>
      <c r="I3076" s="385"/>
      <c r="J3076" s="334">
        <f>SUM(J3047:J3074)</f>
        <v>34050</v>
      </c>
      <c r="K3076" s="380"/>
      <c r="L3076" s="378"/>
      <c r="M3076" s="380"/>
      <c r="N3076" s="380"/>
      <c r="O3076" s="380"/>
      <c r="P3076" s="380"/>
      <c r="Q3076" s="380"/>
    </row>
    <row r="3077" spans="1:17" ht="15.75" thickTop="1" x14ac:dyDescent="0.2">
      <c r="A3077" s="334" t="s">
        <v>342</v>
      </c>
      <c r="B3077" s="380"/>
      <c r="C3077" s="334" t="s">
        <v>342</v>
      </c>
      <c r="D3077" s="400" t="s">
        <v>342</v>
      </c>
      <c r="E3077" s="380"/>
      <c r="F3077" s="378"/>
      <c r="G3077" s="380"/>
      <c r="H3077" s="380"/>
      <c r="I3077" s="385"/>
      <c r="J3077" s="400" t="s">
        <v>342</v>
      </c>
      <c r="K3077" s="380"/>
      <c r="L3077" s="378"/>
      <c r="M3077" s="380"/>
      <c r="N3077" s="380"/>
      <c r="O3077" s="380"/>
      <c r="P3077" s="380"/>
      <c r="Q3077" s="380"/>
    </row>
    <row r="3078" spans="1:17" x14ac:dyDescent="0.2">
      <c r="A3078" s="334" t="s">
        <v>342</v>
      </c>
      <c r="B3078" s="380"/>
      <c r="C3078" s="334" t="s">
        <v>342</v>
      </c>
      <c r="D3078" s="334" t="s">
        <v>342</v>
      </c>
      <c r="E3078" s="380"/>
      <c r="F3078" s="378"/>
      <c r="G3078" s="380"/>
      <c r="H3078" s="380"/>
      <c r="I3078" s="385"/>
      <c r="J3078" s="334" t="s">
        <v>342</v>
      </c>
      <c r="K3078" s="380"/>
      <c r="L3078" s="378"/>
      <c r="M3078" s="380"/>
      <c r="N3078" s="380"/>
      <c r="O3078" s="380"/>
      <c r="P3078" s="380"/>
      <c r="Q3078" s="380"/>
    </row>
    <row r="3079" spans="1:17" x14ac:dyDescent="0.2">
      <c r="A3079" s="334" t="s">
        <v>342</v>
      </c>
      <c r="B3079" s="380"/>
      <c r="C3079" s="334" t="s">
        <v>342</v>
      </c>
      <c r="D3079" s="334" t="s">
        <v>342</v>
      </c>
      <c r="E3079" s="380"/>
      <c r="F3079" s="378"/>
      <c r="G3079" s="380"/>
      <c r="H3079" s="380"/>
      <c r="I3079" s="385"/>
      <c r="J3079" s="334" t="s">
        <v>342</v>
      </c>
      <c r="K3079" s="380"/>
      <c r="L3079" s="378"/>
      <c r="M3079" s="380"/>
      <c r="N3079" s="380"/>
      <c r="O3079" s="380"/>
      <c r="P3079" s="380"/>
      <c r="Q3079" s="380"/>
    </row>
    <row r="3080" spans="1:17" x14ac:dyDescent="0.2">
      <c r="A3080" s="334" t="s">
        <v>1669</v>
      </c>
      <c r="B3080" s="377"/>
      <c r="C3080" s="377"/>
      <c r="D3080" s="334" t="s">
        <v>985</v>
      </c>
      <c r="E3080" s="334" t="s">
        <v>230</v>
      </c>
      <c r="F3080" s="378"/>
      <c r="G3080" s="377"/>
      <c r="H3080" s="377"/>
      <c r="I3080" s="385"/>
      <c r="J3080" s="334" t="s">
        <v>985</v>
      </c>
      <c r="K3080" s="334" t="s">
        <v>230</v>
      </c>
      <c r="L3080" s="378"/>
      <c r="M3080" s="377"/>
      <c r="N3080" s="377"/>
      <c r="O3080" s="380"/>
      <c r="P3080" s="380"/>
      <c r="Q3080" s="380"/>
    </row>
    <row r="3081" spans="1:17" x14ac:dyDescent="0.2">
      <c r="A3081" s="334" t="s">
        <v>342</v>
      </c>
      <c r="B3081" s="380"/>
      <c r="C3081" s="384" t="s">
        <v>2150</v>
      </c>
      <c r="D3081" s="380"/>
      <c r="E3081" s="334">
        <v>12101300</v>
      </c>
      <c r="F3081" s="378"/>
      <c r="G3081" s="380"/>
      <c r="H3081" s="380"/>
      <c r="I3081" s="382"/>
      <c r="J3081" s="380"/>
      <c r="K3081" s="334">
        <v>12101300</v>
      </c>
      <c r="L3081" s="378"/>
      <c r="M3081" s="380"/>
      <c r="N3081" s="380"/>
      <c r="O3081" s="380"/>
      <c r="P3081" s="380"/>
      <c r="Q3081" s="380"/>
    </row>
    <row r="3082" spans="1:17" ht="15.75" x14ac:dyDescent="0.25">
      <c r="A3082" s="334" t="s">
        <v>342</v>
      </c>
      <c r="B3082" s="380"/>
      <c r="C3082" s="334" t="s">
        <v>342</v>
      </c>
      <c r="D3082" s="506" t="s">
        <v>2939</v>
      </c>
      <c r="E3082" s="506"/>
      <c r="F3082" s="506"/>
      <c r="G3082" s="380"/>
      <c r="H3082" s="380"/>
      <c r="I3082" s="385"/>
      <c r="J3082" s="334" t="s">
        <v>342</v>
      </c>
      <c r="K3082" s="380"/>
      <c r="L3082" s="378"/>
      <c r="M3082" s="380"/>
      <c r="N3082" s="380"/>
      <c r="O3082" s="380"/>
      <c r="P3082" s="380"/>
      <c r="Q3082" s="380"/>
    </row>
    <row r="3083" spans="1:17" x14ac:dyDescent="0.2">
      <c r="A3083" s="334" t="s">
        <v>1723</v>
      </c>
      <c r="B3083" s="380"/>
      <c r="C3083" s="334" t="s">
        <v>1880</v>
      </c>
      <c r="D3083" s="334" t="s">
        <v>181</v>
      </c>
      <c r="E3083" s="380" t="s">
        <v>181</v>
      </c>
      <c r="F3083" s="378" t="s">
        <v>343</v>
      </c>
      <c r="G3083" s="380"/>
      <c r="H3083" s="380"/>
      <c r="I3083" s="385"/>
      <c r="J3083" s="334" t="s">
        <v>181</v>
      </c>
      <c r="K3083" s="380" t="s">
        <v>181</v>
      </c>
      <c r="L3083" s="378" t="s">
        <v>343</v>
      </c>
      <c r="M3083" s="380"/>
      <c r="N3083" s="380"/>
      <c r="O3083" s="380"/>
      <c r="P3083" s="380"/>
      <c r="Q3083" s="380"/>
    </row>
    <row r="3084" spans="1:17" x14ac:dyDescent="0.2">
      <c r="A3084" s="334" t="s">
        <v>342</v>
      </c>
      <c r="B3084" s="380"/>
      <c r="C3084" s="334" t="s">
        <v>342</v>
      </c>
      <c r="D3084" s="334" t="s">
        <v>342</v>
      </c>
      <c r="E3084" s="380"/>
      <c r="F3084" s="378"/>
      <c r="G3084" s="380"/>
      <c r="H3084" s="380"/>
      <c r="I3084" s="385"/>
      <c r="J3084" s="334" t="s">
        <v>342</v>
      </c>
      <c r="K3084" s="380"/>
      <c r="L3084" s="378"/>
      <c r="M3084" s="380"/>
      <c r="N3084" s="380"/>
      <c r="O3084" s="380"/>
      <c r="P3084" s="380"/>
      <c r="Q3084" s="380"/>
    </row>
    <row r="3085" spans="1:17" x14ac:dyDescent="0.2">
      <c r="A3085" s="334" t="s">
        <v>1726</v>
      </c>
      <c r="B3085" s="380"/>
      <c r="C3085" s="334" t="s">
        <v>1117</v>
      </c>
      <c r="D3085" s="377"/>
      <c r="E3085" s="377"/>
      <c r="F3085" s="378"/>
      <c r="G3085" s="377"/>
      <c r="H3085" s="380"/>
      <c r="I3085" s="399"/>
      <c r="J3085" s="377"/>
      <c r="K3085" s="377"/>
      <c r="L3085" s="378"/>
      <c r="M3085" s="377"/>
      <c r="N3085" s="380"/>
      <c r="O3085" s="380"/>
      <c r="P3085" s="380"/>
      <c r="Q3085" s="380"/>
    </row>
    <row r="3086" spans="1:17" x14ac:dyDescent="0.2">
      <c r="A3086" s="334" t="s">
        <v>1734</v>
      </c>
      <c r="B3086" s="380"/>
      <c r="C3086" s="334" t="s">
        <v>1746</v>
      </c>
      <c r="D3086" s="377"/>
      <c r="E3086" s="377"/>
      <c r="F3086" s="378"/>
      <c r="G3086" s="377"/>
      <c r="H3086" s="380"/>
      <c r="I3086" s="399"/>
      <c r="J3086" s="377"/>
      <c r="K3086" s="377"/>
      <c r="L3086" s="378"/>
      <c r="M3086" s="377"/>
      <c r="N3086" s="380"/>
      <c r="O3086" s="380"/>
      <c r="P3086" s="380"/>
      <c r="Q3086" s="380"/>
    </row>
    <row r="3087" spans="1:17" x14ac:dyDescent="0.2">
      <c r="A3087" s="334" t="s">
        <v>1738</v>
      </c>
      <c r="B3087" s="380"/>
      <c r="C3087" s="334" t="s">
        <v>1591</v>
      </c>
      <c r="D3087" s="377"/>
      <c r="E3087" s="377"/>
      <c r="F3087" s="378"/>
      <c r="G3087" s="377"/>
      <c r="H3087" s="380"/>
      <c r="I3087" s="399"/>
      <c r="J3087" s="377"/>
      <c r="K3087" s="377"/>
      <c r="L3087" s="378"/>
      <c r="M3087" s="377"/>
      <c r="N3087" s="380"/>
      <c r="O3087" s="380"/>
      <c r="P3087" s="380"/>
      <c r="Q3087" s="380"/>
    </row>
    <row r="3088" spans="1:17" x14ac:dyDescent="0.2">
      <c r="A3088" s="334" t="s">
        <v>1727</v>
      </c>
      <c r="B3088" s="380"/>
      <c r="C3088" s="334" t="s">
        <v>307</v>
      </c>
      <c r="D3088" s="377"/>
      <c r="E3088" s="377"/>
      <c r="F3088" s="378"/>
      <c r="G3088" s="377"/>
      <c r="H3088" s="380"/>
      <c r="I3088" s="399"/>
      <c r="J3088" s="377"/>
      <c r="K3088" s="377"/>
      <c r="L3088" s="378"/>
      <c r="M3088" s="377"/>
      <c r="N3088" s="380"/>
      <c r="O3088" s="380"/>
      <c r="P3088" s="380"/>
      <c r="Q3088" s="380"/>
    </row>
    <row r="3089" spans="1:17" x14ac:dyDescent="0.2">
      <c r="A3089" s="334" t="s">
        <v>1728</v>
      </c>
      <c r="B3089" s="380"/>
      <c r="C3089" s="334" t="s">
        <v>310</v>
      </c>
      <c r="D3089" s="377"/>
      <c r="E3089" s="377"/>
      <c r="F3089" s="378"/>
      <c r="G3089" s="377"/>
      <c r="H3089" s="380"/>
      <c r="I3089" s="399"/>
      <c r="J3089" s="377"/>
      <c r="K3089" s="377"/>
      <c r="L3089" s="378"/>
      <c r="M3089" s="377"/>
      <c r="N3089" s="380"/>
      <c r="O3089" s="380"/>
      <c r="P3089" s="380"/>
      <c r="Q3089" s="380"/>
    </row>
    <row r="3090" spans="1:17" x14ac:dyDescent="0.2">
      <c r="A3090" s="334" t="s">
        <v>1729</v>
      </c>
      <c r="B3090" s="380"/>
      <c r="C3090" s="380" t="s">
        <v>1551</v>
      </c>
      <c r="D3090" s="377"/>
      <c r="E3090" s="377"/>
      <c r="F3090" s="378"/>
      <c r="G3090" s="377"/>
      <c r="H3090" s="380"/>
      <c r="I3090" s="399"/>
      <c r="J3090" s="377"/>
      <c r="K3090" s="377"/>
      <c r="L3090" s="378"/>
      <c r="M3090" s="377"/>
      <c r="N3090" s="380"/>
      <c r="O3090" s="380"/>
      <c r="P3090" s="380"/>
      <c r="Q3090" s="380"/>
    </row>
    <row r="3091" spans="1:17" x14ac:dyDescent="0.2">
      <c r="A3091" s="334" t="s">
        <v>1735</v>
      </c>
      <c r="B3091" s="380"/>
      <c r="C3091" s="380" t="s">
        <v>194</v>
      </c>
      <c r="D3091" s="377"/>
      <c r="E3091" s="377"/>
      <c r="F3091" s="378"/>
      <c r="G3091" s="377"/>
      <c r="H3091" s="380"/>
      <c r="I3091" s="399"/>
      <c r="J3091" s="377"/>
      <c r="K3091" s="377"/>
      <c r="L3091" s="378"/>
      <c r="M3091" s="377"/>
      <c r="N3091" s="380"/>
      <c r="O3091" s="380"/>
      <c r="P3091" s="380"/>
      <c r="Q3091" s="380"/>
    </row>
    <row r="3092" spans="1:17" x14ac:dyDescent="0.2">
      <c r="A3092" s="334" t="s">
        <v>1742</v>
      </c>
      <c r="B3092" s="380"/>
      <c r="C3092" s="334" t="s">
        <v>1553</v>
      </c>
      <c r="D3092" s="377"/>
      <c r="E3092" s="377"/>
      <c r="F3092" s="378"/>
      <c r="G3092" s="377"/>
      <c r="H3092" s="380"/>
      <c r="I3092" s="399"/>
      <c r="J3092" s="377"/>
      <c r="K3092" s="377"/>
      <c r="L3092" s="378"/>
      <c r="M3092" s="377"/>
      <c r="N3092" s="380"/>
      <c r="O3092" s="380"/>
      <c r="P3092" s="380"/>
      <c r="Q3092" s="380"/>
    </row>
    <row r="3093" spans="1:17" x14ac:dyDescent="0.2">
      <c r="A3093" s="334" t="s">
        <v>1566</v>
      </c>
      <c r="B3093" s="380"/>
      <c r="C3093" s="334" t="s">
        <v>366</v>
      </c>
      <c r="D3093" s="377"/>
      <c r="E3093" s="377"/>
      <c r="F3093" s="378"/>
      <c r="G3093" s="377"/>
      <c r="H3093" s="380"/>
      <c r="I3093" s="399"/>
      <c r="J3093" s="377"/>
      <c r="K3093" s="377"/>
      <c r="L3093" s="378"/>
      <c r="M3093" s="377"/>
      <c r="N3093" s="380"/>
      <c r="O3093" s="380"/>
      <c r="P3093" s="380"/>
      <c r="Q3093" s="380"/>
    </row>
    <row r="3094" spans="1:17" x14ac:dyDescent="0.2">
      <c r="A3094" s="334" t="s">
        <v>1567</v>
      </c>
      <c r="B3094" s="380"/>
      <c r="C3094" s="334" t="s">
        <v>3142</v>
      </c>
      <c r="D3094" s="334"/>
      <c r="E3094" s="334"/>
      <c r="F3094" s="378"/>
      <c r="G3094" s="377"/>
      <c r="H3094" s="380"/>
      <c r="I3094" s="385"/>
      <c r="J3094" s="334"/>
      <c r="K3094" s="334"/>
      <c r="L3094" s="378"/>
      <c r="M3094" s="377"/>
      <c r="N3094" s="380"/>
      <c r="O3094" s="380"/>
      <c r="P3094" s="380"/>
      <c r="Q3094" s="380"/>
    </row>
    <row r="3095" spans="1:17" x14ac:dyDescent="0.2">
      <c r="A3095" s="334" t="s">
        <v>342</v>
      </c>
      <c r="B3095" s="380"/>
      <c r="C3095" s="334" t="s">
        <v>342</v>
      </c>
      <c r="D3095" s="410" t="s">
        <v>342</v>
      </c>
      <c r="E3095" s="410" t="s">
        <v>342</v>
      </c>
      <c r="F3095" s="413"/>
      <c r="G3095" s="399"/>
      <c r="H3095" s="380"/>
      <c r="I3095" s="385"/>
      <c r="J3095" s="410" t="s">
        <v>342</v>
      </c>
      <c r="K3095" s="410" t="s">
        <v>342</v>
      </c>
      <c r="L3095" s="413"/>
      <c r="M3095" s="399"/>
      <c r="N3095" s="380"/>
      <c r="O3095" s="380"/>
      <c r="P3095" s="380"/>
      <c r="Q3095" s="380"/>
    </row>
    <row r="3096" spans="1:17" x14ac:dyDescent="0.2">
      <c r="A3096" s="380"/>
      <c r="B3096" s="380"/>
      <c r="C3096" s="334" t="s">
        <v>342</v>
      </c>
      <c r="D3096" s="334">
        <f>SUM(D3085:D3094)</f>
        <v>0</v>
      </c>
      <c r="E3096" s="334">
        <f>SUM(E3085:E3094)</f>
        <v>0</v>
      </c>
      <c r="F3096" s="412">
        <f>SUM(F3085:F3094)</f>
        <v>0</v>
      </c>
      <c r="G3096" s="334"/>
      <c r="H3096" s="380"/>
      <c r="I3096" s="385"/>
      <c r="J3096" s="334">
        <f>SUM(J3085:J3094)</f>
        <v>0</v>
      </c>
      <c r="K3096" s="334">
        <f>SUM(K3085:K3094)</f>
        <v>0</v>
      </c>
      <c r="L3096" s="412">
        <f>SUM(L3085:L3094)</f>
        <v>0</v>
      </c>
      <c r="M3096" s="334"/>
      <c r="N3096" s="380"/>
      <c r="O3096" s="380"/>
      <c r="P3096" s="380"/>
      <c r="Q3096" s="380"/>
    </row>
    <row r="3097" spans="1:17" ht="15.75" thickTop="1" x14ac:dyDescent="0.2">
      <c r="A3097" s="380"/>
      <c r="B3097" s="380"/>
      <c r="C3097" s="380"/>
      <c r="D3097" s="395"/>
      <c r="E3097" s="395"/>
      <c r="F3097" s="401"/>
      <c r="G3097" s="399"/>
      <c r="H3097" s="380"/>
      <c r="I3097" s="399"/>
      <c r="J3097" s="395"/>
      <c r="K3097" s="395"/>
      <c r="L3097" s="401"/>
      <c r="M3097" s="399"/>
      <c r="N3097" s="380"/>
      <c r="O3097" s="380"/>
      <c r="P3097" s="380"/>
      <c r="Q3097" s="380"/>
    </row>
    <row r="3098" spans="1:17" x14ac:dyDescent="0.2">
      <c r="A3098" s="380"/>
      <c r="B3098" s="380"/>
      <c r="C3098" s="380"/>
      <c r="D3098" s="380"/>
      <c r="E3098" s="380"/>
      <c r="F3098" s="378"/>
      <c r="G3098" s="380"/>
      <c r="H3098" s="380"/>
      <c r="I3098" s="382"/>
      <c r="J3098" s="380"/>
      <c r="K3098" s="380"/>
      <c r="L3098" s="378"/>
      <c r="M3098" s="380"/>
      <c r="N3098" s="380"/>
      <c r="O3098" s="380"/>
      <c r="P3098" s="380"/>
      <c r="Q3098" s="380"/>
    </row>
    <row r="3099" spans="1:17" x14ac:dyDescent="0.2">
      <c r="A3099" s="380"/>
      <c r="B3099" s="380"/>
      <c r="C3099" s="380"/>
      <c r="D3099" s="380"/>
      <c r="E3099" s="380"/>
      <c r="F3099" s="378"/>
      <c r="G3099" s="380"/>
      <c r="H3099" s="380"/>
      <c r="I3099" s="382"/>
      <c r="J3099" s="382"/>
      <c r="K3099" s="382"/>
      <c r="L3099" s="380"/>
      <c r="M3099" s="380"/>
      <c r="N3099" s="380"/>
      <c r="O3099" s="380"/>
      <c r="P3099" s="380"/>
      <c r="Q3099" s="380"/>
    </row>
    <row r="3100" spans="1:17" x14ac:dyDescent="0.2">
      <c r="A3100" s="334" t="s">
        <v>1670</v>
      </c>
      <c r="B3100" s="377"/>
      <c r="C3100" s="377"/>
      <c r="D3100" s="334" t="s">
        <v>342</v>
      </c>
      <c r="E3100" s="377"/>
      <c r="F3100" s="378"/>
      <c r="G3100" s="377"/>
      <c r="H3100" s="377"/>
      <c r="I3100" s="385"/>
      <c r="J3100" s="382"/>
      <c r="K3100" s="382"/>
      <c r="L3100" s="380"/>
      <c r="M3100" s="380"/>
      <c r="N3100" s="380"/>
      <c r="O3100" s="380"/>
      <c r="P3100" s="380"/>
      <c r="Q3100" s="380"/>
    </row>
    <row r="3101" spans="1:17" x14ac:dyDescent="0.2">
      <c r="A3101" s="334" t="s">
        <v>342</v>
      </c>
      <c r="B3101" s="380"/>
      <c r="C3101" s="384" t="s">
        <v>2151</v>
      </c>
      <c r="D3101" s="380"/>
      <c r="E3101" s="380"/>
      <c r="F3101" s="378"/>
      <c r="G3101" s="380"/>
      <c r="H3101" s="380"/>
      <c r="I3101" s="382"/>
      <c r="J3101" s="382"/>
      <c r="K3101" s="382"/>
      <c r="L3101" s="380"/>
      <c r="M3101" s="380"/>
      <c r="N3101" s="380"/>
      <c r="O3101" s="380"/>
      <c r="P3101" s="380"/>
      <c r="Q3101" s="380"/>
    </row>
    <row r="3102" spans="1:17" x14ac:dyDescent="0.2">
      <c r="A3102" s="380"/>
      <c r="B3102" s="380"/>
      <c r="C3102" s="380"/>
      <c r="D3102" s="380"/>
      <c r="E3102" s="380"/>
      <c r="F3102" s="378"/>
      <c r="G3102" s="380"/>
      <c r="H3102" s="380"/>
      <c r="I3102" s="382"/>
      <c r="J3102" s="382"/>
      <c r="K3102" s="382"/>
      <c r="L3102" s="380"/>
      <c r="M3102" s="380"/>
      <c r="N3102" s="380"/>
      <c r="O3102" s="380"/>
      <c r="P3102" s="380"/>
      <c r="Q3102" s="380"/>
    </row>
    <row r="3103" spans="1:17" x14ac:dyDescent="0.2">
      <c r="A3103" s="334" t="s">
        <v>1723</v>
      </c>
      <c r="B3103" s="380"/>
      <c r="C3103" s="334" t="s">
        <v>1880</v>
      </c>
      <c r="D3103" s="334" t="s">
        <v>181</v>
      </c>
      <c r="E3103" s="380"/>
      <c r="F3103" s="378"/>
      <c r="G3103" s="380"/>
      <c r="H3103" s="380"/>
      <c r="I3103" s="385"/>
      <c r="J3103" s="334" t="s">
        <v>181</v>
      </c>
      <c r="K3103" s="380"/>
      <c r="L3103" s="378"/>
      <c r="M3103" s="380"/>
      <c r="N3103" s="380"/>
      <c r="O3103" s="380"/>
      <c r="P3103" s="380"/>
      <c r="Q3103" s="380"/>
    </row>
    <row r="3104" spans="1:17" x14ac:dyDescent="0.2">
      <c r="A3104" s="380"/>
      <c r="B3104" s="380"/>
      <c r="C3104" s="380"/>
      <c r="D3104" s="380"/>
      <c r="E3104" s="380"/>
      <c r="F3104" s="378"/>
      <c r="G3104" s="380"/>
      <c r="H3104" s="380"/>
      <c r="I3104" s="382"/>
      <c r="J3104" s="380"/>
      <c r="K3104" s="380"/>
      <c r="L3104" s="378"/>
      <c r="M3104" s="380"/>
      <c r="N3104" s="380"/>
      <c r="O3104" s="380"/>
      <c r="P3104" s="380"/>
      <c r="Q3104" s="380"/>
    </row>
    <row r="3105" spans="1:17" x14ac:dyDescent="0.2">
      <c r="A3105" s="334" t="s">
        <v>1724</v>
      </c>
      <c r="B3105" s="380"/>
      <c r="C3105" s="334" t="s">
        <v>1881</v>
      </c>
      <c r="D3105" s="377">
        <v>16025</v>
      </c>
      <c r="E3105" s="380"/>
      <c r="F3105" s="378"/>
      <c r="G3105" s="380"/>
      <c r="H3105" s="380"/>
      <c r="I3105" s="399"/>
      <c r="J3105" s="377">
        <v>8000</v>
      </c>
      <c r="K3105" s="380"/>
      <c r="L3105" s="378"/>
      <c r="M3105" s="380"/>
      <c r="N3105" s="380"/>
      <c r="O3105" s="380"/>
      <c r="P3105" s="380"/>
      <c r="Q3105" s="380"/>
    </row>
    <row r="3106" spans="1:17" x14ac:dyDescent="0.2">
      <c r="A3106" s="334" t="s">
        <v>1736</v>
      </c>
      <c r="B3106" s="380"/>
      <c r="C3106" s="334" t="s">
        <v>1747</v>
      </c>
      <c r="D3106" s="377">
        <v>1550</v>
      </c>
      <c r="E3106" s="380"/>
      <c r="F3106" s="378"/>
      <c r="G3106" s="380"/>
      <c r="H3106" s="380"/>
      <c r="I3106" s="399"/>
      <c r="J3106" s="377">
        <v>1050</v>
      </c>
      <c r="K3106" s="380"/>
      <c r="L3106" s="378"/>
      <c r="M3106" s="380"/>
      <c r="N3106" s="380"/>
      <c r="O3106" s="380"/>
      <c r="P3106" s="380"/>
      <c r="Q3106" s="380"/>
    </row>
    <row r="3107" spans="1:17" x14ac:dyDescent="0.2">
      <c r="A3107" s="334" t="s">
        <v>1744</v>
      </c>
      <c r="B3107" s="380"/>
      <c r="C3107" s="334" t="s">
        <v>1254</v>
      </c>
      <c r="D3107" s="377">
        <v>675</v>
      </c>
      <c r="E3107" s="380"/>
      <c r="F3107" s="378"/>
      <c r="G3107" s="380"/>
      <c r="H3107" s="380"/>
      <c r="I3107" s="399"/>
      <c r="J3107" s="377">
        <v>525</v>
      </c>
      <c r="K3107" s="380"/>
      <c r="L3107" s="378"/>
      <c r="M3107" s="380"/>
      <c r="N3107" s="380"/>
      <c r="O3107" s="380"/>
      <c r="P3107" s="380"/>
      <c r="Q3107" s="380"/>
    </row>
    <row r="3108" spans="1:17" x14ac:dyDescent="0.2">
      <c r="A3108" s="334" t="s">
        <v>1582</v>
      </c>
      <c r="B3108" s="380"/>
      <c r="C3108" s="334" t="s">
        <v>3135</v>
      </c>
      <c r="D3108" s="377">
        <v>18000</v>
      </c>
      <c r="E3108" s="380"/>
      <c r="F3108" s="378"/>
      <c r="G3108" s="380"/>
      <c r="H3108" s="380"/>
      <c r="I3108" s="399"/>
      <c r="J3108" s="377">
        <v>11800</v>
      </c>
      <c r="K3108" s="380"/>
      <c r="L3108" s="378"/>
      <c r="M3108" s="380"/>
      <c r="N3108" s="380"/>
      <c r="O3108" s="380"/>
      <c r="P3108" s="380"/>
      <c r="Q3108" s="380"/>
    </row>
    <row r="3109" spans="1:17" x14ac:dyDescent="0.2">
      <c r="A3109" s="334" t="s">
        <v>1575</v>
      </c>
      <c r="B3109" s="380"/>
      <c r="C3109" s="334" t="s">
        <v>1889</v>
      </c>
      <c r="D3109" s="377">
        <v>200</v>
      </c>
      <c r="E3109" s="380"/>
      <c r="F3109" s="378"/>
      <c r="G3109" s="380"/>
      <c r="H3109" s="380"/>
      <c r="I3109" s="399"/>
      <c r="J3109" s="377">
        <v>7500</v>
      </c>
      <c r="K3109" s="380"/>
      <c r="L3109" s="378"/>
      <c r="M3109" s="380"/>
      <c r="N3109" s="380"/>
      <c r="O3109" s="380"/>
      <c r="P3109" s="380"/>
      <c r="Q3109" s="380"/>
    </row>
    <row r="3110" spans="1:17" x14ac:dyDescent="0.2">
      <c r="A3110" s="334" t="s">
        <v>1725</v>
      </c>
      <c r="B3110" s="380"/>
      <c r="C3110" s="334" t="s">
        <v>1890</v>
      </c>
      <c r="D3110" s="377">
        <v>1250</v>
      </c>
      <c r="E3110" s="380"/>
      <c r="F3110" s="378"/>
      <c r="G3110" s="380"/>
      <c r="H3110" s="380"/>
      <c r="I3110" s="399"/>
      <c r="J3110" s="377">
        <v>900</v>
      </c>
      <c r="K3110" s="380"/>
      <c r="L3110" s="378"/>
      <c r="M3110" s="380"/>
      <c r="N3110" s="380"/>
      <c r="O3110" s="380"/>
      <c r="P3110" s="380"/>
      <c r="Q3110" s="380"/>
    </row>
    <row r="3111" spans="1:17" x14ac:dyDescent="0.2">
      <c r="A3111" s="384" t="s">
        <v>1745</v>
      </c>
      <c r="B3111" s="380"/>
      <c r="C3111" s="334" t="s">
        <v>1887</v>
      </c>
      <c r="D3111" s="377">
        <v>75</v>
      </c>
      <c r="E3111" s="380"/>
      <c r="F3111" s="378"/>
      <c r="G3111" s="380"/>
      <c r="H3111" s="380"/>
      <c r="I3111" s="399"/>
      <c r="J3111" s="377">
        <v>75</v>
      </c>
      <c r="K3111" s="380"/>
      <c r="L3111" s="378"/>
      <c r="M3111" s="380"/>
      <c r="N3111" s="380"/>
      <c r="O3111" s="380"/>
      <c r="P3111" s="380"/>
      <c r="Q3111" s="380"/>
    </row>
    <row r="3112" spans="1:17" x14ac:dyDescent="0.2">
      <c r="A3112" s="334" t="s">
        <v>1737</v>
      </c>
      <c r="B3112" s="380"/>
      <c r="C3112" s="334" t="s">
        <v>1984</v>
      </c>
      <c r="D3112" s="377">
        <v>650</v>
      </c>
      <c r="E3112" s="380"/>
      <c r="F3112" s="378"/>
      <c r="G3112" s="380"/>
      <c r="H3112" s="380"/>
      <c r="I3112" s="399"/>
      <c r="J3112" s="377">
        <v>450</v>
      </c>
      <c r="K3112" s="380"/>
      <c r="L3112" s="378"/>
      <c r="M3112" s="380"/>
      <c r="N3112" s="380"/>
      <c r="O3112" s="380"/>
      <c r="P3112" s="380"/>
      <c r="Q3112" s="380"/>
    </row>
    <row r="3113" spans="1:17" x14ac:dyDescent="0.2">
      <c r="A3113" s="384" t="s">
        <v>1751</v>
      </c>
      <c r="B3113" s="380"/>
      <c r="C3113" s="334" t="s">
        <v>3138</v>
      </c>
      <c r="D3113" s="377"/>
      <c r="E3113" s="380"/>
      <c r="F3113" s="378"/>
      <c r="G3113" s="380"/>
      <c r="H3113" s="380"/>
      <c r="I3113" s="399"/>
      <c r="J3113" s="377"/>
      <c r="K3113" s="380"/>
      <c r="L3113" s="378"/>
      <c r="M3113" s="380"/>
      <c r="N3113" s="380"/>
      <c r="O3113" s="380"/>
      <c r="P3113" s="380"/>
      <c r="Q3113" s="380"/>
    </row>
    <row r="3114" spans="1:17" x14ac:dyDescent="0.2">
      <c r="A3114" s="334" t="s">
        <v>1577</v>
      </c>
      <c r="B3114" s="380"/>
      <c r="C3114" s="334" t="s">
        <v>1815</v>
      </c>
      <c r="D3114" s="377"/>
      <c r="E3114" s="380"/>
      <c r="F3114" s="378"/>
      <c r="G3114" s="380"/>
      <c r="H3114" s="380"/>
      <c r="I3114" s="399"/>
      <c r="J3114" s="377"/>
      <c r="K3114" s="380"/>
      <c r="L3114" s="378"/>
      <c r="M3114" s="380"/>
      <c r="N3114" s="380"/>
      <c r="O3114" s="380"/>
      <c r="P3114" s="380"/>
      <c r="Q3114" s="380"/>
    </row>
    <row r="3115" spans="1:17" x14ac:dyDescent="0.2">
      <c r="A3115" s="334" t="s">
        <v>1734</v>
      </c>
      <c r="B3115" s="380"/>
      <c r="C3115" s="334" t="s">
        <v>1746</v>
      </c>
      <c r="D3115" s="377">
        <v>1650</v>
      </c>
      <c r="E3115" s="380"/>
      <c r="F3115" s="378"/>
      <c r="G3115" s="380"/>
      <c r="H3115" s="380"/>
      <c r="I3115" s="399"/>
      <c r="J3115" s="377">
        <v>1500</v>
      </c>
      <c r="K3115" s="380"/>
      <c r="L3115" s="378"/>
      <c r="M3115" s="380"/>
      <c r="N3115" s="380"/>
      <c r="O3115" s="380"/>
      <c r="P3115" s="380"/>
      <c r="Q3115" s="380"/>
    </row>
    <row r="3116" spans="1:17" x14ac:dyDescent="0.2">
      <c r="A3116" s="334" t="s">
        <v>1578</v>
      </c>
      <c r="B3116" s="380"/>
      <c r="C3116" s="334" t="s">
        <v>22</v>
      </c>
      <c r="D3116" s="377"/>
      <c r="E3116" s="380"/>
      <c r="F3116" s="378"/>
      <c r="G3116" s="380"/>
      <c r="H3116" s="380"/>
      <c r="I3116" s="399"/>
      <c r="J3116" s="377"/>
      <c r="K3116" s="380"/>
      <c r="L3116" s="378"/>
      <c r="M3116" s="380"/>
      <c r="N3116" s="380"/>
      <c r="O3116" s="380"/>
      <c r="P3116" s="380"/>
      <c r="Q3116" s="380"/>
    </row>
    <row r="3117" spans="1:17" x14ac:dyDescent="0.2">
      <c r="A3117" s="334" t="s">
        <v>1738</v>
      </c>
      <c r="B3117" s="380"/>
      <c r="C3117" s="334" t="s">
        <v>1591</v>
      </c>
      <c r="D3117" s="377">
        <v>775</v>
      </c>
      <c r="E3117" s="380"/>
      <c r="F3117" s="378"/>
      <c r="G3117" s="380"/>
      <c r="H3117" s="380"/>
      <c r="I3117" s="399"/>
      <c r="J3117" s="377">
        <v>875</v>
      </c>
      <c r="K3117" s="380"/>
      <c r="L3117" s="378"/>
      <c r="M3117" s="380"/>
      <c r="N3117" s="380"/>
      <c r="O3117" s="380"/>
      <c r="P3117" s="380"/>
      <c r="Q3117" s="380"/>
    </row>
    <row r="3118" spans="1:17" x14ac:dyDescent="0.2">
      <c r="A3118" s="334" t="s">
        <v>1727</v>
      </c>
      <c r="B3118" s="380"/>
      <c r="C3118" s="334" t="s">
        <v>307</v>
      </c>
      <c r="D3118" s="377">
        <v>575</v>
      </c>
      <c r="E3118" s="380"/>
      <c r="F3118" s="378"/>
      <c r="G3118" s="380"/>
      <c r="H3118" s="380"/>
      <c r="I3118" s="399"/>
      <c r="J3118" s="377">
        <v>625</v>
      </c>
      <c r="K3118" s="380"/>
      <c r="L3118" s="378"/>
      <c r="M3118" s="380"/>
      <c r="N3118" s="380"/>
      <c r="O3118" s="380"/>
      <c r="P3118" s="380"/>
      <c r="Q3118" s="380"/>
    </row>
    <row r="3119" spans="1:17" x14ac:dyDescent="0.2">
      <c r="A3119" s="334" t="s">
        <v>1728</v>
      </c>
      <c r="B3119" s="380"/>
      <c r="C3119" s="334" t="s">
        <v>310</v>
      </c>
      <c r="D3119" s="377">
        <v>1300</v>
      </c>
      <c r="E3119" s="380"/>
      <c r="F3119" s="378"/>
      <c r="G3119" s="380"/>
      <c r="H3119" s="380"/>
      <c r="I3119" s="399"/>
      <c r="J3119" s="377">
        <v>1100</v>
      </c>
      <c r="K3119" s="380"/>
      <c r="L3119" s="378"/>
      <c r="M3119" s="380"/>
      <c r="N3119" s="380"/>
      <c r="O3119" s="380"/>
      <c r="P3119" s="380"/>
      <c r="Q3119" s="380"/>
    </row>
    <row r="3120" spans="1:17" x14ac:dyDescent="0.2">
      <c r="A3120" s="334" t="s">
        <v>1729</v>
      </c>
      <c r="B3120" s="380"/>
      <c r="C3120" s="380" t="s">
        <v>1551</v>
      </c>
      <c r="D3120" s="377">
        <f>-14807.4-30000</f>
        <v>-44807.4</v>
      </c>
      <c r="E3120" s="380"/>
      <c r="F3120" s="378"/>
      <c r="G3120" s="380"/>
      <c r="H3120" s="380"/>
      <c r="I3120" s="399"/>
      <c r="J3120" s="377">
        <v>25</v>
      </c>
      <c r="K3120" s="380"/>
      <c r="L3120" s="378"/>
      <c r="M3120" s="380"/>
      <c r="N3120" s="380"/>
      <c r="O3120" s="380"/>
      <c r="P3120" s="380"/>
      <c r="Q3120" s="380"/>
    </row>
    <row r="3121" spans="1:17" x14ac:dyDescent="0.2">
      <c r="A3121" s="334" t="s">
        <v>1735</v>
      </c>
      <c r="B3121" s="380"/>
      <c r="C3121" s="380" t="s">
        <v>194</v>
      </c>
      <c r="D3121" s="377"/>
      <c r="E3121" s="380"/>
      <c r="F3121" s="378"/>
      <c r="G3121" s="380"/>
      <c r="H3121" s="380"/>
      <c r="I3121" s="399"/>
      <c r="J3121" s="377">
        <v>20</v>
      </c>
      <c r="K3121" s="380"/>
      <c r="L3121" s="378"/>
      <c r="M3121" s="380"/>
      <c r="N3121" s="380"/>
      <c r="O3121" s="380"/>
      <c r="P3121" s="380"/>
      <c r="Q3121" s="380"/>
    </row>
    <row r="3122" spans="1:17" x14ac:dyDescent="0.2">
      <c r="A3122" s="384" t="s">
        <v>1754</v>
      </c>
      <c r="B3122" s="380"/>
      <c r="C3122" s="334" t="s">
        <v>1929</v>
      </c>
      <c r="D3122" s="377"/>
      <c r="E3122" s="380"/>
      <c r="F3122" s="378"/>
      <c r="G3122" s="380"/>
      <c r="H3122" s="380"/>
      <c r="I3122" s="399"/>
      <c r="J3122" s="377"/>
      <c r="K3122" s="380"/>
      <c r="L3122" s="378"/>
      <c r="M3122" s="380"/>
      <c r="N3122" s="380"/>
      <c r="O3122" s="380"/>
      <c r="P3122" s="380"/>
      <c r="Q3122" s="380"/>
    </row>
    <row r="3123" spans="1:17" x14ac:dyDescent="0.2">
      <c r="A3123" s="334" t="s">
        <v>1584</v>
      </c>
      <c r="B3123" s="380"/>
      <c r="C3123" s="334" t="s">
        <v>0</v>
      </c>
      <c r="D3123" s="377"/>
      <c r="E3123" s="380"/>
      <c r="F3123" s="378"/>
      <c r="G3123" s="380"/>
      <c r="H3123" s="380"/>
      <c r="I3123" s="399"/>
      <c r="J3123" s="377">
        <v>0</v>
      </c>
      <c r="K3123" s="380"/>
      <c r="L3123" s="378"/>
      <c r="M3123" s="380"/>
      <c r="N3123" s="380"/>
      <c r="O3123" s="380"/>
      <c r="P3123" s="380"/>
      <c r="Q3123" s="380"/>
    </row>
    <row r="3124" spans="1:17" x14ac:dyDescent="0.2">
      <c r="A3124" s="334" t="s">
        <v>1572</v>
      </c>
      <c r="B3124" s="380"/>
      <c r="C3124" s="334" t="s">
        <v>3134</v>
      </c>
      <c r="D3124" s="377">
        <v>50</v>
      </c>
      <c r="E3124" s="380"/>
      <c r="F3124" s="378"/>
      <c r="G3124" s="380"/>
      <c r="H3124" s="380"/>
      <c r="I3124" s="399"/>
      <c r="J3124" s="377"/>
      <c r="K3124" s="380"/>
      <c r="L3124" s="378"/>
      <c r="M3124" s="380"/>
      <c r="N3124" s="380"/>
      <c r="O3124" s="380"/>
      <c r="P3124" s="380"/>
      <c r="Q3124" s="380"/>
    </row>
    <row r="3125" spans="1:17" x14ac:dyDescent="0.2">
      <c r="A3125" s="384" t="s">
        <v>1730</v>
      </c>
      <c r="B3125" s="380"/>
      <c r="C3125" s="334" t="s">
        <v>1985</v>
      </c>
      <c r="D3125" s="377">
        <v>250</v>
      </c>
      <c r="E3125" s="380"/>
      <c r="F3125" s="378"/>
      <c r="G3125" s="380"/>
      <c r="H3125" s="380"/>
      <c r="I3125" s="399"/>
      <c r="J3125" s="377">
        <v>250</v>
      </c>
      <c r="K3125" s="380"/>
      <c r="L3125" s="378"/>
      <c r="M3125" s="380"/>
      <c r="N3125" s="380"/>
      <c r="O3125" s="380"/>
      <c r="P3125" s="380"/>
      <c r="Q3125" s="380"/>
    </row>
    <row r="3126" spans="1:17" x14ac:dyDescent="0.2">
      <c r="A3126" s="334" t="s">
        <v>1566</v>
      </c>
      <c r="B3126" s="380"/>
      <c r="C3126" s="334" t="s">
        <v>366</v>
      </c>
      <c r="D3126" s="377">
        <v>2650</v>
      </c>
      <c r="E3126" s="380"/>
      <c r="F3126" s="378"/>
      <c r="G3126" s="380"/>
      <c r="H3126" s="380"/>
      <c r="I3126" s="399"/>
      <c r="J3126" s="377">
        <v>2000</v>
      </c>
      <c r="K3126" s="380"/>
      <c r="L3126" s="378"/>
      <c r="M3126" s="380"/>
      <c r="N3126" s="380"/>
      <c r="O3126" s="380"/>
      <c r="P3126" s="380"/>
      <c r="Q3126" s="380"/>
    </row>
    <row r="3127" spans="1:17" x14ac:dyDescent="0.2">
      <c r="A3127" s="384" t="s">
        <v>1755</v>
      </c>
      <c r="B3127" s="380"/>
      <c r="C3127" s="380" t="s">
        <v>1986</v>
      </c>
      <c r="D3127" s="377">
        <v>400</v>
      </c>
      <c r="E3127" s="380"/>
      <c r="F3127" s="378"/>
      <c r="G3127" s="380"/>
      <c r="H3127" s="380"/>
      <c r="I3127" s="399"/>
      <c r="J3127" s="377">
        <v>400</v>
      </c>
      <c r="K3127" s="380"/>
      <c r="L3127" s="378"/>
      <c r="M3127" s="380"/>
      <c r="N3127" s="380"/>
      <c r="O3127" s="380"/>
      <c r="P3127" s="380"/>
      <c r="Q3127" s="380"/>
    </row>
    <row r="3128" spans="1:17" x14ac:dyDescent="0.2">
      <c r="A3128" s="384" t="s">
        <v>1962</v>
      </c>
      <c r="B3128" s="380"/>
      <c r="C3128" s="380" t="s">
        <v>572</v>
      </c>
      <c r="D3128" s="377">
        <f>49962-22000</f>
        <v>27962</v>
      </c>
      <c r="E3128" s="380"/>
      <c r="F3128" s="389" t="s">
        <v>3195</v>
      </c>
      <c r="G3128" s="380"/>
      <c r="H3128" s="380"/>
      <c r="I3128" s="399"/>
      <c r="J3128" s="377">
        <v>1500</v>
      </c>
      <c r="K3128" s="380"/>
      <c r="L3128" s="378"/>
      <c r="M3128" s="380"/>
      <c r="N3128" s="380"/>
      <c r="O3128" s="380"/>
      <c r="P3128" s="380"/>
      <c r="Q3128" s="380"/>
    </row>
    <row r="3129" spans="1:17" x14ac:dyDescent="0.2">
      <c r="A3129" s="384" t="s">
        <v>1567</v>
      </c>
      <c r="B3129" s="380"/>
      <c r="C3129" s="334" t="s">
        <v>3142</v>
      </c>
      <c r="D3129" s="377">
        <v>0</v>
      </c>
      <c r="E3129" s="380"/>
      <c r="F3129" s="389" t="s">
        <v>3193</v>
      </c>
      <c r="G3129" s="380"/>
      <c r="H3129" s="380"/>
      <c r="I3129" s="399"/>
      <c r="J3129" s="377"/>
      <c r="K3129" s="380"/>
      <c r="L3129" s="378"/>
      <c r="M3129" s="380"/>
      <c r="N3129" s="380"/>
      <c r="O3129" s="380"/>
      <c r="P3129" s="380"/>
      <c r="Q3129" s="380"/>
    </row>
    <row r="3130" spans="1:17" x14ac:dyDescent="0.2">
      <c r="A3130" s="380"/>
      <c r="B3130" s="380"/>
      <c r="C3130" s="380"/>
      <c r="D3130" s="410" t="s">
        <v>342</v>
      </c>
      <c r="E3130" s="380"/>
      <c r="F3130" s="412" t="s">
        <v>3194</v>
      </c>
      <c r="G3130" s="380"/>
      <c r="H3130" s="380"/>
      <c r="I3130" s="385"/>
      <c r="J3130" s="410" t="s">
        <v>342</v>
      </c>
      <c r="K3130" s="380"/>
      <c r="L3130" s="378"/>
      <c r="M3130" s="380"/>
      <c r="N3130" s="380"/>
      <c r="O3130" s="380"/>
      <c r="P3130" s="380"/>
      <c r="Q3130" s="380"/>
    </row>
    <row r="3131" spans="1:17" x14ac:dyDescent="0.2">
      <c r="A3131" s="380"/>
      <c r="B3131" s="380"/>
      <c r="C3131" s="380"/>
      <c r="D3131" s="334">
        <f>SUM(D3105:D3129)</f>
        <v>29229.599999999999</v>
      </c>
      <c r="E3131" s="380"/>
      <c r="F3131" s="378"/>
      <c r="G3131" s="380"/>
      <c r="H3131" s="380"/>
      <c r="I3131" s="385"/>
      <c r="J3131" s="334">
        <f>SUM(J3105:J3129)</f>
        <v>38595</v>
      </c>
      <c r="K3131" s="380"/>
      <c r="L3131" s="378"/>
      <c r="M3131" s="380"/>
      <c r="N3131" s="380"/>
      <c r="O3131" s="380"/>
      <c r="P3131" s="380"/>
      <c r="Q3131" s="380"/>
    </row>
    <row r="3132" spans="1:17" ht="15.75" thickTop="1" x14ac:dyDescent="0.2">
      <c r="A3132" s="380"/>
      <c r="B3132" s="380"/>
      <c r="C3132" s="380"/>
      <c r="D3132" s="395"/>
      <c r="E3132" s="380"/>
      <c r="F3132" s="378"/>
      <c r="G3132" s="380"/>
      <c r="H3132" s="380"/>
      <c r="I3132" s="399"/>
      <c r="J3132" s="395"/>
      <c r="K3132" s="380"/>
      <c r="L3132" s="378"/>
      <c r="M3132" s="380"/>
      <c r="N3132" s="380"/>
      <c r="O3132" s="380"/>
      <c r="P3132" s="380"/>
      <c r="Q3132" s="380"/>
    </row>
    <row r="3133" spans="1:17" x14ac:dyDescent="0.2">
      <c r="A3133" s="380"/>
      <c r="B3133" s="380"/>
      <c r="C3133" s="380"/>
      <c r="D3133" s="380"/>
      <c r="E3133" s="380"/>
      <c r="F3133" s="378"/>
      <c r="G3133" s="377"/>
      <c r="H3133" s="380"/>
      <c r="I3133" s="382"/>
      <c r="J3133" s="380"/>
      <c r="K3133" s="380"/>
      <c r="L3133" s="378"/>
      <c r="M3133" s="377"/>
      <c r="N3133" s="380"/>
      <c r="O3133" s="380"/>
      <c r="P3133" s="380"/>
      <c r="Q3133" s="380"/>
    </row>
    <row r="3134" spans="1:17" x14ac:dyDescent="0.2">
      <c r="A3134" s="380"/>
      <c r="B3134" s="380"/>
      <c r="C3134" s="380"/>
      <c r="D3134" s="380"/>
      <c r="E3134" s="380"/>
      <c r="F3134" s="378"/>
      <c r="G3134" s="380"/>
      <c r="H3134" s="380"/>
      <c r="I3134" s="382"/>
      <c r="J3134" s="380"/>
      <c r="K3134" s="380"/>
      <c r="L3134" s="378"/>
      <c r="M3134" s="380"/>
      <c r="N3134" s="380"/>
      <c r="O3134" s="380"/>
      <c r="P3134" s="380"/>
      <c r="Q3134" s="380"/>
    </row>
    <row r="3135" spans="1:17" x14ac:dyDescent="0.2">
      <c r="A3135" s="334" t="s">
        <v>1671</v>
      </c>
      <c r="B3135" s="377"/>
      <c r="C3135" s="377"/>
      <c r="D3135" s="334" t="s">
        <v>342</v>
      </c>
      <c r="E3135" s="377"/>
      <c r="F3135" s="378"/>
      <c r="G3135" s="377"/>
      <c r="H3135" s="377"/>
      <c r="I3135" s="385"/>
      <c r="J3135" s="334" t="s">
        <v>342</v>
      </c>
      <c r="K3135" s="377"/>
      <c r="L3135" s="378"/>
      <c r="M3135" s="377"/>
      <c r="N3135" s="377"/>
      <c r="O3135" s="380"/>
      <c r="P3135" s="380"/>
      <c r="Q3135" s="380"/>
    </row>
    <row r="3136" spans="1:17" x14ac:dyDescent="0.2">
      <c r="A3136" s="334" t="s">
        <v>342</v>
      </c>
      <c r="B3136" s="380"/>
      <c r="C3136" s="384" t="s">
        <v>2152</v>
      </c>
      <c r="D3136" s="380"/>
      <c r="E3136" s="377"/>
      <c r="F3136" s="378"/>
      <c r="G3136" s="380"/>
      <c r="H3136" s="380"/>
      <c r="I3136" s="382"/>
      <c r="J3136" s="380"/>
      <c r="K3136" s="377"/>
      <c r="L3136" s="378"/>
      <c r="M3136" s="380"/>
      <c r="N3136" s="380"/>
      <c r="O3136" s="380"/>
      <c r="P3136" s="380"/>
      <c r="Q3136" s="380"/>
    </row>
    <row r="3137" spans="1:17" x14ac:dyDescent="0.2">
      <c r="A3137" s="334" t="s">
        <v>342</v>
      </c>
      <c r="B3137" s="380"/>
      <c r="C3137" s="334" t="s">
        <v>342</v>
      </c>
      <c r="D3137" s="334" t="s">
        <v>342</v>
      </c>
      <c r="E3137" s="380"/>
      <c r="F3137" s="378"/>
      <c r="G3137" s="380"/>
      <c r="H3137" s="380"/>
      <c r="I3137" s="385"/>
      <c r="J3137" s="334" t="s">
        <v>342</v>
      </c>
      <c r="K3137" s="380"/>
      <c r="L3137" s="378"/>
      <c r="M3137" s="380"/>
      <c r="N3137" s="380"/>
      <c r="O3137" s="380"/>
      <c r="P3137" s="380"/>
      <c r="Q3137" s="380"/>
    </row>
    <row r="3138" spans="1:17" x14ac:dyDescent="0.2">
      <c r="A3138" s="334" t="s">
        <v>1723</v>
      </c>
      <c r="B3138" s="380"/>
      <c r="C3138" s="334" t="s">
        <v>1880</v>
      </c>
      <c r="D3138" s="334" t="s">
        <v>181</v>
      </c>
      <c r="E3138" s="380"/>
      <c r="F3138" s="378"/>
      <c r="G3138" s="380"/>
      <c r="H3138" s="380"/>
      <c r="I3138" s="385"/>
      <c r="J3138" s="334" t="s">
        <v>181</v>
      </c>
      <c r="K3138" s="380"/>
      <c r="L3138" s="378"/>
      <c r="M3138" s="380"/>
      <c r="N3138" s="380"/>
      <c r="O3138" s="380"/>
      <c r="P3138" s="380"/>
      <c r="Q3138" s="380"/>
    </row>
    <row r="3139" spans="1:17" x14ac:dyDescent="0.2">
      <c r="A3139" s="334" t="s">
        <v>342</v>
      </c>
      <c r="B3139" s="380"/>
      <c r="C3139" s="334" t="s">
        <v>342</v>
      </c>
      <c r="D3139" s="334" t="s">
        <v>342</v>
      </c>
      <c r="E3139" s="334" t="s">
        <v>342</v>
      </c>
      <c r="F3139" s="378"/>
      <c r="G3139" s="380"/>
      <c r="H3139" s="380"/>
      <c r="I3139" s="385"/>
      <c r="J3139" s="334" t="s">
        <v>342</v>
      </c>
      <c r="K3139" s="334" t="s">
        <v>342</v>
      </c>
      <c r="L3139" s="378"/>
      <c r="M3139" s="380"/>
      <c r="N3139" s="380"/>
      <c r="O3139" s="380"/>
      <c r="P3139" s="380"/>
      <c r="Q3139" s="380"/>
    </row>
    <row r="3140" spans="1:17" x14ac:dyDescent="0.2">
      <c r="A3140" s="334" t="s">
        <v>1724</v>
      </c>
      <c r="B3140" s="380"/>
      <c r="C3140" s="334" t="s">
        <v>1881</v>
      </c>
      <c r="D3140" s="377">
        <v>400</v>
      </c>
      <c r="E3140" s="380"/>
      <c r="F3140" s="378"/>
      <c r="G3140" s="380"/>
      <c r="H3140" s="380"/>
      <c r="I3140" s="399"/>
      <c r="J3140" s="377">
        <v>400</v>
      </c>
      <c r="K3140" s="380"/>
      <c r="L3140" s="378"/>
      <c r="M3140" s="380"/>
      <c r="N3140" s="380"/>
      <c r="O3140" s="380"/>
      <c r="P3140" s="380"/>
      <c r="Q3140" s="380"/>
    </row>
    <row r="3141" spans="1:17" x14ac:dyDescent="0.2">
      <c r="A3141" s="334" t="s">
        <v>1736</v>
      </c>
      <c r="B3141" s="380"/>
      <c r="C3141" s="334" t="s">
        <v>1747</v>
      </c>
      <c r="D3141" s="377">
        <v>400</v>
      </c>
      <c r="E3141" s="380"/>
      <c r="F3141" s="378"/>
      <c r="G3141" s="380"/>
      <c r="H3141" s="380"/>
      <c r="I3141" s="399"/>
      <c r="J3141" s="377">
        <v>400</v>
      </c>
      <c r="K3141" s="380"/>
      <c r="L3141" s="378"/>
      <c r="M3141" s="380"/>
      <c r="N3141" s="380"/>
      <c r="O3141" s="380"/>
      <c r="P3141" s="380"/>
      <c r="Q3141" s="380"/>
    </row>
    <row r="3142" spans="1:17" x14ac:dyDescent="0.2">
      <c r="A3142" s="334" t="s">
        <v>1744</v>
      </c>
      <c r="B3142" s="380"/>
      <c r="C3142" s="334" t="s">
        <v>1254</v>
      </c>
      <c r="D3142" s="377">
        <v>100</v>
      </c>
      <c r="E3142" s="380"/>
      <c r="F3142" s="378"/>
      <c r="G3142" s="380"/>
      <c r="H3142" s="380"/>
      <c r="I3142" s="399"/>
      <c r="J3142" s="377">
        <v>100</v>
      </c>
      <c r="K3142" s="380"/>
      <c r="L3142" s="378"/>
      <c r="M3142" s="380"/>
      <c r="N3142" s="380"/>
      <c r="O3142" s="380"/>
      <c r="P3142" s="380"/>
      <c r="Q3142" s="380"/>
    </row>
    <row r="3143" spans="1:17" x14ac:dyDescent="0.2">
      <c r="A3143" s="334" t="s">
        <v>1582</v>
      </c>
      <c r="B3143" s="380"/>
      <c r="C3143" s="334" t="s">
        <v>3135</v>
      </c>
      <c r="D3143" s="377">
        <v>900</v>
      </c>
      <c r="E3143" s="380"/>
      <c r="F3143" s="378"/>
      <c r="G3143" s="380"/>
      <c r="H3143" s="380"/>
      <c r="I3143" s="399"/>
      <c r="J3143" s="377">
        <v>600</v>
      </c>
      <c r="K3143" s="380"/>
      <c r="L3143" s="378"/>
      <c r="M3143" s="380"/>
      <c r="N3143" s="380"/>
      <c r="O3143" s="380"/>
      <c r="P3143" s="380"/>
      <c r="Q3143" s="380"/>
    </row>
    <row r="3144" spans="1:17" x14ac:dyDescent="0.2">
      <c r="A3144" s="334" t="s">
        <v>1725</v>
      </c>
      <c r="B3144" s="380"/>
      <c r="C3144" s="334" t="s">
        <v>1890</v>
      </c>
      <c r="D3144" s="377">
        <v>200</v>
      </c>
      <c r="E3144" s="380"/>
      <c r="F3144" s="378"/>
      <c r="G3144" s="380"/>
      <c r="H3144" s="380"/>
      <c r="I3144" s="399"/>
      <c r="J3144" s="377">
        <v>200</v>
      </c>
      <c r="K3144" s="380"/>
      <c r="L3144" s="378"/>
      <c r="M3144" s="380"/>
      <c r="N3144" s="380"/>
      <c r="O3144" s="380"/>
      <c r="P3144" s="380"/>
      <c r="Q3144" s="380"/>
    </row>
    <row r="3145" spans="1:17" x14ac:dyDescent="0.2">
      <c r="A3145" s="334" t="s">
        <v>1737</v>
      </c>
      <c r="B3145" s="380"/>
      <c r="C3145" s="334" t="s">
        <v>1984</v>
      </c>
      <c r="D3145" s="377">
        <v>1000</v>
      </c>
      <c r="E3145" s="380"/>
      <c r="F3145" s="378"/>
      <c r="G3145" s="380"/>
      <c r="H3145" s="380"/>
      <c r="I3145" s="399"/>
      <c r="J3145" s="377">
        <v>1000</v>
      </c>
      <c r="K3145" s="380"/>
      <c r="L3145" s="378"/>
      <c r="M3145" s="380"/>
      <c r="N3145" s="380"/>
      <c r="O3145" s="380"/>
      <c r="P3145" s="380"/>
      <c r="Q3145" s="380"/>
    </row>
    <row r="3146" spans="1:17" x14ac:dyDescent="0.2">
      <c r="A3146" s="334" t="s">
        <v>1734</v>
      </c>
      <c r="B3146" s="380"/>
      <c r="C3146" s="334" t="s">
        <v>1746</v>
      </c>
      <c r="D3146" s="377">
        <v>200</v>
      </c>
      <c r="E3146" s="380"/>
      <c r="F3146" s="378"/>
      <c r="G3146" s="380"/>
      <c r="H3146" s="380"/>
      <c r="I3146" s="399"/>
      <c r="J3146" s="377">
        <v>200</v>
      </c>
      <c r="K3146" s="380"/>
      <c r="L3146" s="378"/>
      <c r="M3146" s="380"/>
      <c r="N3146" s="380"/>
      <c r="O3146" s="380"/>
      <c r="P3146" s="380"/>
      <c r="Q3146" s="380"/>
    </row>
    <row r="3147" spans="1:17" x14ac:dyDescent="0.2">
      <c r="A3147" s="334" t="s">
        <v>1578</v>
      </c>
      <c r="B3147" s="380"/>
      <c r="C3147" s="334" t="s">
        <v>22</v>
      </c>
      <c r="D3147" s="377"/>
      <c r="E3147" s="380"/>
      <c r="F3147" s="378"/>
      <c r="G3147" s="380"/>
      <c r="H3147" s="380"/>
      <c r="I3147" s="399"/>
      <c r="J3147" s="377"/>
      <c r="K3147" s="380"/>
      <c r="L3147" s="378"/>
      <c r="M3147" s="380"/>
      <c r="N3147" s="380"/>
      <c r="O3147" s="380"/>
      <c r="P3147" s="380"/>
      <c r="Q3147" s="380"/>
    </row>
    <row r="3148" spans="1:17" x14ac:dyDescent="0.2">
      <c r="A3148" s="334" t="s">
        <v>1738</v>
      </c>
      <c r="B3148" s="380"/>
      <c r="C3148" s="334" t="s">
        <v>1591</v>
      </c>
      <c r="D3148" s="377">
        <v>600</v>
      </c>
      <c r="E3148" s="380"/>
      <c r="F3148" s="378"/>
      <c r="G3148" s="380"/>
      <c r="H3148" s="380"/>
      <c r="I3148" s="399"/>
      <c r="J3148" s="377">
        <v>600</v>
      </c>
      <c r="K3148" s="380"/>
      <c r="L3148" s="378"/>
      <c r="M3148" s="380"/>
      <c r="N3148" s="380"/>
      <c r="O3148" s="380"/>
      <c r="P3148" s="380"/>
      <c r="Q3148" s="380"/>
    </row>
    <row r="3149" spans="1:17" x14ac:dyDescent="0.2">
      <c r="A3149" s="334" t="s">
        <v>1727</v>
      </c>
      <c r="B3149" s="380"/>
      <c r="C3149" s="334" t="s">
        <v>307</v>
      </c>
      <c r="D3149" s="377">
        <v>200</v>
      </c>
      <c r="E3149" s="380"/>
      <c r="F3149" s="378"/>
      <c r="G3149" s="380"/>
      <c r="H3149" s="380"/>
      <c r="I3149" s="399"/>
      <c r="J3149" s="377">
        <v>200</v>
      </c>
      <c r="K3149" s="380"/>
      <c r="L3149" s="378"/>
      <c r="M3149" s="380"/>
      <c r="N3149" s="380"/>
      <c r="O3149" s="380"/>
      <c r="P3149" s="380"/>
      <c r="Q3149" s="380"/>
    </row>
    <row r="3150" spans="1:17" x14ac:dyDescent="0.2">
      <c r="A3150" s="334" t="s">
        <v>1728</v>
      </c>
      <c r="B3150" s="380"/>
      <c r="C3150" s="334" t="s">
        <v>310</v>
      </c>
      <c r="D3150" s="377">
        <v>500</v>
      </c>
      <c r="E3150" s="380"/>
      <c r="F3150" s="378"/>
      <c r="G3150" s="380"/>
      <c r="H3150" s="380"/>
      <c r="I3150" s="399"/>
      <c r="J3150" s="377">
        <v>500</v>
      </c>
      <c r="K3150" s="380"/>
      <c r="L3150" s="378"/>
      <c r="M3150" s="380"/>
      <c r="N3150" s="380"/>
      <c r="O3150" s="380"/>
      <c r="P3150" s="380"/>
      <c r="Q3150" s="380"/>
    </row>
    <row r="3151" spans="1:17" x14ac:dyDescent="0.2">
      <c r="A3151" s="334" t="s">
        <v>1729</v>
      </c>
      <c r="B3151" s="380"/>
      <c r="C3151" s="380" t="s">
        <v>1551</v>
      </c>
      <c r="D3151" s="377">
        <f>-1380-1000</f>
        <v>-2380</v>
      </c>
      <c r="E3151" s="380"/>
      <c r="F3151" s="378"/>
      <c r="G3151" s="380"/>
      <c r="H3151" s="380"/>
      <c r="I3151" s="399"/>
      <c r="J3151" s="377">
        <v>100</v>
      </c>
      <c r="K3151" s="380"/>
      <c r="L3151" s="378"/>
      <c r="M3151" s="380"/>
      <c r="N3151" s="380"/>
      <c r="O3151" s="380"/>
      <c r="P3151" s="380"/>
      <c r="Q3151" s="380"/>
    </row>
    <row r="3152" spans="1:17" x14ac:dyDescent="0.2">
      <c r="A3152" s="384" t="s">
        <v>1735</v>
      </c>
      <c r="B3152" s="380"/>
      <c r="C3152" s="380" t="s">
        <v>194</v>
      </c>
      <c r="D3152" s="377"/>
      <c r="E3152" s="380"/>
      <c r="F3152" s="378"/>
      <c r="G3152" s="380"/>
      <c r="H3152" s="380"/>
      <c r="I3152" s="399"/>
      <c r="J3152" s="377">
        <v>100</v>
      </c>
      <c r="K3152" s="380"/>
      <c r="L3152" s="378"/>
      <c r="M3152" s="380"/>
      <c r="N3152" s="380"/>
      <c r="O3152" s="380"/>
      <c r="P3152" s="380"/>
      <c r="Q3152" s="380"/>
    </row>
    <row r="3153" spans="1:17" x14ac:dyDescent="0.2">
      <c r="A3153" s="334" t="s">
        <v>1572</v>
      </c>
      <c r="B3153" s="380"/>
      <c r="C3153" s="334" t="s">
        <v>3134</v>
      </c>
      <c r="D3153" s="377">
        <v>200</v>
      </c>
      <c r="E3153" s="380"/>
      <c r="F3153" s="378"/>
      <c r="G3153" s="380"/>
      <c r="H3153" s="380"/>
      <c r="I3153" s="399"/>
      <c r="J3153" s="377">
        <v>200</v>
      </c>
      <c r="K3153" s="380"/>
      <c r="L3153" s="378"/>
      <c r="M3153" s="380"/>
      <c r="N3153" s="380"/>
      <c r="O3153" s="380"/>
      <c r="P3153" s="380"/>
      <c r="Q3153" s="380"/>
    </row>
    <row r="3154" spans="1:17" x14ac:dyDescent="0.2">
      <c r="A3154" s="334" t="s">
        <v>1566</v>
      </c>
      <c r="B3154" s="380"/>
      <c r="C3154" s="334" t="s">
        <v>366</v>
      </c>
      <c r="D3154" s="377">
        <v>2200</v>
      </c>
      <c r="E3154" s="380"/>
      <c r="F3154" s="378"/>
      <c r="G3154" s="380"/>
      <c r="H3154" s="380"/>
      <c r="I3154" s="399"/>
      <c r="J3154" s="377">
        <v>2200</v>
      </c>
      <c r="K3154" s="380"/>
      <c r="L3154" s="378"/>
      <c r="M3154" s="380"/>
      <c r="N3154" s="380"/>
      <c r="O3154" s="380"/>
      <c r="P3154" s="380"/>
      <c r="Q3154" s="380"/>
    </row>
    <row r="3155" spans="1:17" x14ac:dyDescent="0.2">
      <c r="A3155" s="384" t="s">
        <v>1962</v>
      </c>
      <c r="B3155" s="380"/>
      <c r="C3155" s="380" t="s">
        <v>572</v>
      </c>
      <c r="D3155" s="377"/>
      <c r="E3155" s="380"/>
      <c r="F3155" s="378"/>
      <c r="G3155" s="380"/>
      <c r="H3155" s="380"/>
      <c r="I3155" s="399"/>
      <c r="J3155" s="377"/>
      <c r="K3155" s="380"/>
      <c r="L3155" s="378"/>
      <c r="M3155" s="380"/>
      <c r="N3155" s="380"/>
      <c r="O3155" s="380"/>
      <c r="P3155" s="380"/>
      <c r="Q3155" s="380"/>
    </row>
    <row r="3156" spans="1:17" x14ac:dyDescent="0.2">
      <c r="A3156" s="384" t="s">
        <v>1567</v>
      </c>
      <c r="B3156" s="380"/>
      <c r="C3156" s="334" t="s">
        <v>3142</v>
      </c>
      <c r="D3156" s="377"/>
      <c r="E3156" s="380"/>
      <c r="F3156" s="378"/>
      <c r="G3156" s="380"/>
      <c r="H3156" s="380"/>
      <c r="I3156" s="399"/>
      <c r="J3156" s="377"/>
      <c r="K3156" s="380"/>
      <c r="L3156" s="378"/>
      <c r="M3156" s="380"/>
      <c r="N3156" s="380"/>
      <c r="O3156" s="380"/>
      <c r="P3156" s="380"/>
      <c r="Q3156" s="380"/>
    </row>
    <row r="3157" spans="1:17" x14ac:dyDescent="0.2">
      <c r="A3157" s="334" t="s">
        <v>342</v>
      </c>
      <c r="B3157" s="380"/>
      <c r="C3157" s="334" t="s">
        <v>342</v>
      </c>
      <c r="D3157" s="410" t="s">
        <v>342</v>
      </c>
      <c r="E3157" s="380"/>
      <c r="F3157" s="378"/>
      <c r="G3157" s="380"/>
      <c r="H3157" s="380"/>
      <c r="I3157" s="385"/>
      <c r="J3157" s="410" t="s">
        <v>342</v>
      </c>
      <c r="K3157" s="380"/>
      <c r="L3157" s="378"/>
      <c r="M3157" s="380"/>
      <c r="N3157" s="380"/>
      <c r="O3157" s="380"/>
      <c r="P3157" s="380"/>
      <c r="Q3157" s="380"/>
    </row>
    <row r="3158" spans="1:17" x14ac:dyDescent="0.2">
      <c r="A3158" s="380"/>
      <c r="B3158" s="380"/>
      <c r="C3158" s="334" t="s">
        <v>342</v>
      </c>
      <c r="D3158" s="334">
        <f>SUM(D3140:D3156)</f>
        <v>4520</v>
      </c>
      <c r="E3158" s="380"/>
      <c r="F3158" s="378"/>
      <c r="G3158" s="380"/>
      <c r="H3158" s="380"/>
      <c r="I3158" s="385"/>
      <c r="J3158" s="334">
        <f>SUM(J3140:J3156)</f>
        <v>6800</v>
      </c>
      <c r="K3158" s="380"/>
      <c r="L3158" s="378"/>
      <c r="M3158" s="380"/>
      <c r="N3158" s="380"/>
      <c r="O3158" s="380"/>
      <c r="P3158" s="380"/>
      <c r="Q3158" s="380"/>
    </row>
    <row r="3159" spans="1:17" ht="15.75" thickTop="1" x14ac:dyDescent="0.2">
      <c r="A3159" s="380"/>
      <c r="B3159" s="380"/>
      <c r="C3159" s="380"/>
      <c r="D3159" s="395"/>
      <c r="E3159" s="380"/>
      <c r="F3159" s="378"/>
      <c r="G3159" s="380"/>
      <c r="H3159" s="380"/>
      <c r="I3159" s="399"/>
      <c r="J3159" s="395"/>
      <c r="K3159" s="380"/>
      <c r="L3159" s="378"/>
      <c r="M3159" s="380"/>
      <c r="N3159" s="380"/>
      <c r="O3159" s="380"/>
      <c r="P3159" s="380"/>
      <c r="Q3159" s="380"/>
    </row>
    <row r="3160" spans="1:17" x14ac:dyDescent="0.2">
      <c r="A3160" s="334" t="s">
        <v>342</v>
      </c>
      <c r="B3160" s="380"/>
      <c r="C3160" s="334" t="s">
        <v>342</v>
      </c>
      <c r="D3160" s="380"/>
      <c r="E3160" s="380"/>
      <c r="F3160" s="378"/>
      <c r="G3160" s="380"/>
      <c r="H3160" s="380"/>
      <c r="I3160" s="382"/>
      <c r="J3160" s="380"/>
      <c r="K3160" s="380"/>
      <c r="L3160" s="378"/>
      <c r="M3160" s="380"/>
      <c r="N3160" s="380"/>
      <c r="O3160" s="380"/>
      <c r="P3160" s="380"/>
      <c r="Q3160" s="380"/>
    </row>
    <row r="3161" spans="1:17" x14ac:dyDescent="0.2">
      <c r="A3161" s="380"/>
      <c r="B3161" s="380"/>
      <c r="C3161" s="334" t="s">
        <v>342</v>
      </c>
      <c r="D3161" s="334" t="s">
        <v>342</v>
      </c>
      <c r="E3161" s="380"/>
      <c r="F3161" s="378"/>
      <c r="G3161" s="380"/>
      <c r="H3161" s="380"/>
      <c r="I3161" s="385"/>
      <c r="J3161" s="334" t="s">
        <v>342</v>
      </c>
      <c r="K3161" s="380"/>
      <c r="L3161" s="378"/>
      <c r="M3161" s="380"/>
      <c r="N3161" s="380"/>
      <c r="O3161" s="380"/>
      <c r="P3161" s="380"/>
      <c r="Q3161" s="380"/>
    </row>
    <row r="3162" spans="1:17" x14ac:dyDescent="0.2">
      <c r="A3162" s="334" t="s">
        <v>1672</v>
      </c>
      <c r="B3162" s="377"/>
      <c r="C3162" s="377"/>
      <c r="D3162" s="334" t="s">
        <v>342</v>
      </c>
      <c r="E3162" s="377"/>
      <c r="F3162" s="378"/>
      <c r="G3162" s="377"/>
      <c r="H3162" s="377"/>
      <c r="I3162" s="385"/>
      <c r="J3162" s="334" t="s">
        <v>342</v>
      </c>
      <c r="K3162" s="377"/>
      <c r="L3162" s="378"/>
      <c r="M3162" s="377"/>
      <c r="N3162" s="377"/>
      <c r="O3162" s="380"/>
      <c r="P3162" s="380"/>
      <c r="Q3162" s="380"/>
    </row>
    <row r="3163" spans="1:17" x14ac:dyDescent="0.2">
      <c r="A3163" s="334" t="s">
        <v>342</v>
      </c>
      <c r="B3163" s="380"/>
      <c r="C3163" s="384" t="s">
        <v>2153</v>
      </c>
      <c r="D3163" s="380"/>
      <c r="E3163" s="380"/>
      <c r="F3163" s="378"/>
      <c r="G3163" s="380"/>
      <c r="H3163" s="380"/>
      <c r="I3163" s="382"/>
      <c r="J3163" s="380"/>
      <c r="K3163" s="380"/>
      <c r="L3163" s="378"/>
      <c r="M3163" s="380"/>
      <c r="N3163" s="380"/>
      <c r="O3163" s="380"/>
      <c r="P3163" s="380"/>
      <c r="Q3163" s="380"/>
    </row>
    <row r="3164" spans="1:17" x14ac:dyDescent="0.2">
      <c r="A3164" s="334" t="s">
        <v>342</v>
      </c>
      <c r="B3164" s="380"/>
      <c r="C3164" s="334" t="s">
        <v>342</v>
      </c>
      <c r="D3164" s="334" t="s">
        <v>342</v>
      </c>
      <c r="E3164" s="380"/>
      <c r="F3164" s="378"/>
      <c r="G3164" s="380"/>
      <c r="H3164" s="380"/>
      <c r="I3164" s="385"/>
      <c r="J3164" s="334" t="s">
        <v>342</v>
      </c>
      <c r="K3164" s="380"/>
      <c r="L3164" s="378"/>
      <c r="M3164" s="380"/>
      <c r="N3164" s="380"/>
      <c r="O3164" s="380"/>
      <c r="P3164" s="380"/>
      <c r="Q3164" s="380"/>
    </row>
    <row r="3165" spans="1:17" x14ac:dyDescent="0.2">
      <c r="A3165" s="334" t="s">
        <v>1723</v>
      </c>
      <c r="B3165" s="380"/>
      <c r="C3165" s="334" t="s">
        <v>1880</v>
      </c>
      <c r="D3165" s="334" t="s">
        <v>181</v>
      </c>
      <c r="E3165" s="380"/>
      <c r="F3165" s="378"/>
      <c r="G3165" s="380"/>
      <c r="H3165" s="380"/>
      <c r="I3165" s="385"/>
      <c r="J3165" s="334" t="s">
        <v>181</v>
      </c>
      <c r="K3165" s="380"/>
      <c r="L3165" s="378"/>
      <c r="M3165" s="380"/>
      <c r="N3165" s="380"/>
      <c r="O3165" s="380"/>
      <c r="P3165" s="380"/>
      <c r="Q3165" s="380"/>
    </row>
    <row r="3166" spans="1:17" x14ac:dyDescent="0.2">
      <c r="A3166" s="334" t="s">
        <v>342</v>
      </c>
      <c r="B3166" s="380"/>
      <c r="C3166" s="334" t="s">
        <v>342</v>
      </c>
      <c r="D3166" s="334" t="s">
        <v>342</v>
      </c>
      <c r="E3166" s="380"/>
      <c r="F3166" s="378"/>
      <c r="G3166" s="380"/>
      <c r="H3166" s="380"/>
      <c r="I3166" s="385"/>
      <c r="J3166" s="334" t="s">
        <v>342</v>
      </c>
      <c r="K3166" s="380"/>
      <c r="L3166" s="378"/>
      <c r="M3166" s="380"/>
      <c r="N3166" s="380"/>
      <c r="O3166" s="380"/>
      <c r="P3166" s="380"/>
      <c r="Q3166" s="380"/>
    </row>
    <row r="3167" spans="1:17" x14ac:dyDescent="0.2">
      <c r="A3167" s="334" t="s">
        <v>1724</v>
      </c>
      <c r="B3167" s="380"/>
      <c r="C3167" s="334" t="s">
        <v>1881</v>
      </c>
      <c r="D3167" s="377">
        <v>1000</v>
      </c>
      <c r="E3167" s="380"/>
      <c r="F3167" s="378"/>
      <c r="G3167" s="380"/>
      <c r="H3167" s="380"/>
      <c r="I3167" s="399"/>
      <c r="J3167" s="377">
        <v>1000</v>
      </c>
      <c r="K3167" s="380"/>
      <c r="L3167" s="378"/>
      <c r="M3167" s="380"/>
      <c r="N3167" s="380"/>
      <c r="O3167" s="380"/>
      <c r="P3167" s="380"/>
      <c r="Q3167" s="380"/>
    </row>
    <row r="3168" spans="1:17" x14ac:dyDescent="0.2">
      <c r="A3168" s="334" t="s">
        <v>1725</v>
      </c>
      <c r="B3168" s="380"/>
      <c r="C3168" s="334" t="s">
        <v>1890</v>
      </c>
      <c r="D3168" s="377">
        <v>50</v>
      </c>
      <c r="E3168" s="380"/>
      <c r="F3168" s="378"/>
      <c r="G3168" s="380"/>
      <c r="H3168" s="380"/>
      <c r="I3168" s="399"/>
      <c r="J3168" s="377">
        <v>50</v>
      </c>
      <c r="K3168" s="380"/>
      <c r="L3168" s="378"/>
      <c r="M3168" s="380"/>
      <c r="N3168" s="380"/>
      <c r="O3168" s="380"/>
      <c r="P3168" s="380"/>
      <c r="Q3168" s="380"/>
    </row>
    <row r="3169" spans="1:17" x14ac:dyDescent="0.2">
      <c r="A3169" s="334" t="s">
        <v>1737</v>
      </c>
      <c r="B3169" s="380"/>
      <c r="C3169" s="334" t="s">
        <v>1984</v>
      </c>
      <c r="D3169" s="377">
        <v>200</v>
      </c>
      <c r="E3169" s="380"/>
      <c r="F3169" s="378"/>
      <c r="G3169" s="380"/>
      <c r="H3169" s="380"/>
      <c r="I3169" s="399"/>
      <c r="J3169" s="377">
        <v>200</v>
      </c>
      <c r="K3169" s="380"/>
      <c r="L3169" s="378"/>
      <c r="M3169" s="380"/>
      <c r="N3169" s="380"/>
      <c r="O3169" s="380"/>
      <c r="P3169" s="380"/>
      <c r="Q3169" s="380"/>
    </row>
    <row r="3170" spans="1:17" x14ac:dyDescent="0.2">
      <c r="A3170" s="334" t="s">
        <v>1726</v>
      </c>
      <c r="B3170" s="380"/>
      <c r="C3170" s="334" t="s">
        <v>1117</v>
      </c>
      <c r="D3170" s="377"/>
      <c r="E3170" s="380"/>
      <c r="F3170" s="378"/>
      <c r="G3170" s="380"/>
      <c r="H3170" s="380"/>
      <c r="I3170" s="399"/>
      <c r="J3170" s="377"/>
      <c r="K3170" s="380"/>
      <c r="L3170" s="378"/>
      <c r="M3170" s="380"/>
      <c r="N3170" s="380"/>
      <c r="O3170" s="380"/>
      <c r="P3170" s="380"/>
      <c r="Q3170" s="380"/>
    </row>
    <row r="3171" spans="1:17" x14ac:dyDescent="0.2">
      <c r="A3171" s="384" t="s">
        <v>1751</v>
      </c>
      <c r="B3171" s="380"/>
      <c r="C3171" s="334" t="s">
        <v>3138</v>
      </c>
      <c r="D3171" s="377"/>
      <c r="E3171" s="380"/>
      <c r="F3171" s="378"/>
      <c r="G3171" s="380"/>
      <c r="H3171" s="380"/>
      <c r="I3171" s="399"/>
      <c r="J3171" s="377"/>
      <c r="K3171" s="380"/>
      <c r="L3171" s="378"/>
      <c r="M3171" s="380"/>
      <c r="N3171" s="380"/>
      <c r="O3171" s="380"/>
      <c r="P3171" s="380"/>
      <c r="Q3171" s="380"/>
    </row>
    <row r="3172" spans="1:17" x14ac:dyDescent="0.2">
      <c r="A3172" s="334" t="s">
        <v>1734</v>
      </c>
      <c r="B3172" s="380"/>
      <c r="C3172" s="334" t="s">
        <v>1746</v>
      </c>
      <c r="D3172" s="377"/>
      <c r="E3172" s="334" t="s">
        <v>342</v>
      </c>
      <c r="F3172" s="378"/>
      <c r="G3172" s="380"/>
      <c r="H3172" s="380"/>
      <c r="I3172" s="399"/>
      <c r="J3172" s="377"/>
      <c r="K3172" s="334" t="s">
        <v>342</v>
      </c>
      <c r="L3172" s="378"/>
      <c r="M3172" s="380"/>
      <c r="N3172" s="380"/>
      <c r="O3172" s="380"/>
      <c r="P3172" s="380"/>
      <c r="Q3172" s="380"/>
    </row>
    <row r="3173" spans="1:17" x14ac:dyDescent="0.2">
      <c r="A3173" s="334" t="s">
        <v>1738</v>
      </c>
      <c r="B3173" s="380"/>
      <c r="C3173" s="334" t="s">
        <v>1591</v>
      </c>
      <c r="D3173" s="377">
        <v>300</v>
      </c>
      <c r="E3173" s="380"/>
      <c r="F3173" s="378"/>
      <c r="G3173" s="380"/>
      <c r="H3173" s="380"/>
      <c r="I3173" s="399"/>
      <c r="J3173" s="377">
        <v>300</v>
      </c>
      <c r="K3173" s="380"/>
      <c r="L3173" s="378"/>
      <c r="M3173" s="380"/>
      <c r="N3173" s="380"/>
      <c r="O3173" s="380"/>
      <c r="P3173" s="380"/>
      <c r="Q3173" s="380"/>
    </row>
    <row r="3174" spans="1:17" x14ac:dyDescent="0.2">
      <c r="A3174" s="334" t="s">
        <v>1727</v>
      </c>
      <c r="B3174" s="380"/>
      <c r="C3174" s="334" t="s">
        <v>307</v>
      </c>
      <c r="D3174" s="377">
        <v>25</v>
      </c>
      <c r="E3174" s="380"/>
      <c r="F3174" s="378"/>
      <c r="G3174" s="380"/>
      <c r="H3174" s="380"/>
      <c r="I3174" s="399"/>
      <c r="J3174" s="377">
        <v>25</v>
      </c>
      <c r="K3174" s="380"/>
      <c r="L3174" s="378"/>
      <c r="M3174" s="380"/>
      <c r="N3174" s="380"/>
      <c r="O3174" s="380"/>
      <c r="P3174" s="380"/>
      <c r="Q3174" s="380"/>
    </row>
    <row r="3175" spans="1:17" x14ac:dyDescent="0.2">
      <c r="A3175" s="334" t="s">
        <v>1728</v>
      </c>
      <c r="B3175" s="380"/>
      <c r="C3175" s="334" t="s">
        <v>310</v>
      </c>
      <c r="D3175" s="377">
        <v>20</v>
      </c>
      <c r="E3175" s="380"/>
      <c r="F3175" s="378"/>
      <c r="G3175" s="380"/>
      <c r="H3175" s="380"/>
      <c r="I3175" s="399"/>
      <c r="J3175" s="377">
        <v>20</v>
      </c>
      <c r="K3175" s="380"/>
      <c r="L3175" s="378"/>
      <c r="M3175" s="380"/>
      <c r="N3175" s="380"/>
      <c r="O3175" s="380"/>
      <c r="P3175" s="380"/>
      <c r="Q3175" s="380"/>
    </row>
    <row r="3176" spans="1:17" x14ac:dyDescent="0.2">
      <c r="A3176" s="334" t="s">
        <v>1729</v>
      </c>
      <c r="B3176" s="380"/>
      <c r="C3176" s="380" t="s">
        <v>1551</v>
      </c>
      <c r="D3176" s="377">
        <f>-999-2000</f>
        <v>-2999</v>
      </c>
      <c r="E3176" s="380"/>
      <c r="F3176" s="378"/>
      <c r="G3176" s="380"/>
      <c r="H3176" s="380"/>
      <c r="I3176" s="399"/>
      <c r="J3176" s="377">
        <v>10</v>
      </c>
      <c r="K3176" s="380"/>
      <c r="L3176" s="378"/>
      <c r="M3176" s="380"/>
      <c r="N3176" s="380"/>
      <c r="O3176" s="380"/>
      <c r="P3176" s="380"/>
      <c r="Q3176" s="380"/>
    </row>
    <row r="3177" spans="1:17" x14ac:dyDescent="0.2">
      <c r="A3177" s="334" t="s">
        <v>1735</v>
      </c>
      <c r="B3177" s="380"/>
      <c r="C3177" s="380" t="s">
        <v>194</v>
      </c>
      <c r="D3177" s="377"/>
      <c r="E3177" s="380"/>
      <c r="F3177" s="378"/>
      <c r="G3177" s="380"/>
      <c r="H3177" s="380"/>
      <c r="I3177" s="399"/>
      <c r="J3177" s="377"/>
      <c r="K3177" s="380"/>
      <c r="L3177" s="378"/>
      <c r="M3177" s="380"/>
      <c r="N3177" s="380"/>
      <c r="O3177" s="380"/>
      <c r="P3177" s="380"/>
      <c r="Q3177" s="380"/>
    </row>
    <row r="3178" spans="1:17" x14ac:dyDescent="0.2">
      <c r="A3178" s="384" t="s">
        <v>1580</v>
      </c>
      <c r="B3178" s="380"/>
      <c r="C3178" s="334" t="s">
        <v>1935</v>
      </c>
      <c r="D3178" s="377"/>
      <c r="E3178" s="380"/>
      <c r="F3178" s="378"/>
      <c r="G3178" s="380"/>
      <c r="H3178" s="380"/>
      <c r="I3178" s="399"/>
      <c r="J3178" s="377"/>
      <c r="K3178" s="380"/>
      <c r="L3178" s="378"/>
      <c r="M3178" s="380"/>
      <c r="N3178" s="380"/>
      <c r="O3178" s="380"/>
      <c r="P3178" s="380"/>
      <c r="Q3178" s="380"/>
    </row>
    <row r="3179" spans="1:17" x14ac:dyDescent="0.2">
      <c r="A3179" s="334" t="s">
        <v>1572</v>
      </c>
      <c r="B3179" s="380"/>
      <c r="C3179" s="334" t="s">
        <v>3134</v>
      </c>
      <c r="D3179" s="377"/>
      <c r="E3179" s="380"/>
      <c r="F3179" s="378"/>
      <c r="G3179" s="380"/>
      <c r="H3179" s="380"/>
      <c r="I3179" s="399"/>
      <c r="J3179" s="377"/>
      <c r="K3179" s="380"/>
      <c r="L3179" s="378"/>
      <c r="M3179" s="380"/>
      <c r="N3179" s="380"/>
      <c r="O3179" s="380"/>
      <c r="P3179" s="380"/>
      <c r="Q3179" s="380"/>
    </row>
    <row r="3180" spans="1:17" x14ac:dyDescent="0.2">
      <c r="A3180" s="334" t="s">
        <v>1566</v>
      </c>
      <c r="B3180" s="380"/>
      <c r="C3180" s="334" t="s">
        <v>366</v>
      </c>
      <c r="D3180" s="377">
        <v>400</v>
      </c>
      <c r="E3180" s="380"/>
      <c r="F3180" s="378"/>
      <c r="G3180" s="380"/>
      <c r="H3180" s="380"/>
      <c r="I3180" s="399"/>
      <c r="J3180" s="377">
        <v>400</v>
      </c>
      <c r="K3180" s="380"/>
      <c r="L3180" s="378"/>
      <c r="M3180" s="380"/>
      <c r="N3180" s="380"/>
      <c r="O3180" s="380"/>
      <c r="P3180" s="380"/>
      <c r="Q3180" s="380"/>
    </row>
    <row r="3181" spans="1:17" x14ac:dyDescent="0.2">
      <c r="A3181" s="334" t="s">
        <v>1755</v>
      </c>
      <c r="B3181" s="380"/>
      <c r="C3181" s="380" t="s">
        <v>1986</v>
      </c>
      <c r="D3181" s="377"/>
      <c r="E3181" s="380"/>
      <c r="F3181" s="378"/>
      <c r="G3181" s="380"/>
      <c r="H3181" s="380"/>
      <c r="I3181" s="399"/>
      <c r="J3181" s="377"/>
      <c r="K3181" s="380"/>
      <c r="L3181" s="378"/>
      <c r="M3181" s="380"/>
      <c r="N3181" s="380"/>
      <c r="O3181" s="380"/>
      <c r="P3181" s="380"/>
      <c r="Q3181" s="380"/>
    </row>
    <row r="3182" spans="1:17" x14ac:dyDescent="0.2">
      <c r="A3182" s="334" t="s">
        <v>1903</v>
      </c>
      <c r="B3182" s="380"/>
      <c r="C3182" s="334" t="s">
        <v>35</v>
      </c>
      <c r="D3182" s="377"/>
      <c r="E3182" s="380"/>
      <c r="F3182" s="378"/>
      <c r="G3182" s="380"/>
      <c r="H3182" s="380"/>
      <c r="I3182" s="399"/>
      <c r="J3182" s="377"/>
      <c r="K3182" s="380"/>
      <c r="L3182" s="378"/>
      <c r="M3182" s="380"/>
      <c r="N3182" s="380"/>
      <c r="O3182" s="380"/>
      <c r="P3182" s="380"/>
      <c r="Q3182" s="380"/>
    </row>
    <row r="3183" spans="1:17" x14ac:dyDescent="0.2">
      <c r="A3183" s="384" t="s">
        <v>1962</v>
      </c>
      <c r="B3183" s="380"/>
      <c r="C3183" s="380" t="s">
        <v>572</v>
      </c>
      <c r="D3183" s="377">
        <v>3000</v>
      </c>
      <c r="E3183" s="380"/>
      <c r="F3183" s="378"/>
      <c r="G3183" s="380"/>
      <c r="H3183" s="380"/>
      <c r="I3183" s="399"/>
      <c r="J3183" s="377">
        <v>3000</v>
      </c>
      <c r="K3183" s="380"/>
      <c r="L3183" s="378"/>
      <c r="M3183" s="380"/>
      <c r="N3183" s="380"/>
      <c r="O3183" s="380"/>
      <c r="P3183" s="380"/>
      <c r="Q3183" s="380"/>
    </row>
    <row r="3184" spans="1:17" x14ac:dyDescent="0.2">
      <c r="A3184" s="334" t="s">
        <v>342</v>
      </c>
      <c r="B3184" s="380"/>
      <c r="C3184" s="334" t="s">
        <v>342</v>
      </c>
      <c r="D3184" s="410" t="s">
        <v>342</v>
      </c>
      <c r="E3184" s="380"/>
      <c r="F3184" s="378"/>
      <c r="G3184" s="380"/>
      <c r="H3184" s="380"/>
      <c r="I3184" s="385"/>
      <c r="J3184" s="410" t="s">
        <v>342</v>
      </c>
      <c r="K3184" s="380"/>
      <c r="L3184" s="378"/>
      <c r="M3184" s="380"/>
      <c r="N3184" s="380"/>
      <c r="O3184" s="380"/>
      <c r="P3184" s="380"/>
      <c r="Q3184" s="380"/>
    </row>
    <row r="3185" spans="1:17" x14ac:dyDescent="0.2">
      <c r="A3185" s="380"/>
      <c r="B3185" s="380"/>
      <c r="C3185" s="334" t="s">
        <v>342</v>
      </c>
      <c r="D3185" s="334">
        <f>SUM(D3167:D3183)</f>
        <v>1996</v>
      </c>
      <c r="E3185" s="380"/>
      <c r="F3185" s="378"/>
      <c r="G3185" s="380"/>
      <c r="H3185" s="380"/>
      <c r="I3185" s="385"/>
      <c r="J3185" s="334">
        <f>SUM(J3167:J3183)</f>
        <v>5005</v>
      </c>
      <c r="K3185" s="380"/>
      <c r="L3185" s="378"/>
      <c r="M3185" s="380"/>
      <c r="N3185" s="380"/>
      <c r="O3185" s="380"/>
      <c r="P3185" s="380"/>
      <c r="Q3185" s="380"/>
    </row>
    <row r="3186" spans="1:17" ht="15.75" thickTop="1" x14ac:dyDescent="0.2">
      <c r="A3186" s="380"/>
      <c r="B3186" s="380"/>
      <c r="C3186" s="380"/>
      <c r="D3186" s="395"/>
      <c r="E3186" s="380"/>
      <c r="F3186" s="378"/>
      <c r="G3186" s="380"/>
      <c r="H3186" s="380"/>
      <c r="I3186" s="399"/>
      <c r="J3186" s="395"/>
      <c r="K3186" s="380"/>
      <c r="L3186" s="378"/>
      <c r="M3186" s="380"/>
      <c r="N3186" s="380"/>
      <c r="O3186" s="380"/>
      <c r="P3186" s="380"/>
      <c r="Q3186" s="380"/>
    </row>
    <row r="3187" spans="1:17" x14ac:dyDescent="0.2">
      <c r="A3187" s="380"/>
      <c r="B3187" s="380"/>
      <c r="C3187" s="380"/>
      <c r="D3187" s="380"/>
      <c r="E3187" s="380"/>
      <c r="F3187" s="378"/>
      <c r="G3187" s="380"/>
      <c r="H3187" s="380"/>
      <c r="I3187" s="382"/>
      <c r="J3187" s="380"/>
      <c r="K3187" s="380"/>
      <c r="L3187" s="378"/>
      <c r="M3187" s="380"/>
      <c r="N3187" s="380"/>
      <c r="O3187" s="380"/>
      <c r="P3187" s="380"/>
      <c r="Q3187" s="380"/>
    </row>
    <row r="3188" spans="1:17" x14ac:dyDescent="0.2">
      <c r="A3188" s="380"/>
      <c r="B3188" s="380"/>
      <c r="C3188" s="380"/>
      <c r="D3188" s="380"/>
      <c r="E3188" s="380"/>
      <c r="F3188" s="378"/>
      <c r="G3188" s="380"/>
      <c r="H3188" s="380"/>
      <c r="I3188" s="382"/>
      <c r="J3188" s="380"/>
      <c r="K3188" s="380"/>
      <c r="L3188" s="378"/>
      <c r="M3188" s="380"/>
      <c r="N3188" s="380"/>
      <c r="O3188" s="380"/>
      <c r="P3188" s="380"/>
      <c r="Q3188" s="380"/>
    </row>
    <row r="3189" spans="1:17" x14ac:dyDescent="0.2">
      <c r="A3189" s="334" t="s">
        <v>1673</v>
      </c>
      <c r="B3189" s="377"/>
      <c r="C3189" s="377"/>
      <c r="D3189" s="334" t="s">
        <v>342</v>
      </c>
      <c r="E3189" s="377"/>
      <c r="F3189" s="378"/>
      <c r="G3189" s="377"/>
      <c r="H3189" s="377"/>
      <c r="I3189" s="385"/>
      <c r="J3189" s="334" t="s">
        <v>342</v>
      </c>
      <c r="K3189" s="377"/>
      <c r="L3189" s="378"/>
      <c r="M3189" s="377"/>
      <c r="N3189" s="377"/>
      <c r="O3189" s="380"/>
      <c r="P3189" s="380"/>
      <c r="Q3189" s="380"/>
    </row>
    <row r="3190" spans="1:17" x14ac:dyDescent="0.2">
      <c r="A3190" s="334" t="s">
        <v>342</v>
      </c>
      <c r="B3190" s="380"/>
      <c r="C3190" s="384" t="s">
        <v>2154</v>
      </c>
      <c r="D3190" s="380"/>
      <c r="E3190" s="380"/>
      <c r="F3190" s="378"/>
      <c r="G3190" s="380"/>
      <c r="H3190" s="380"/>
      <c r="I3190" s="382"/>
      <c r="J3190" s="380"/>
      <c r="K3190" s="380"/>
      <c r="L3190" s="378"/>
      <c r="M3190" s="380"/>
      <c r="N3190" s="380"/>
      <c r="O3190" s="380"/>
      <c r="P3190" s="380"/>
      <c r="Q3190" s="380"/>
    </row>
    <row r="3191" spans="1:17" x14ac:dyDescent="0.2">
      <c r="A3191" s="380"/>
      <c r="B3191" s="380"/>
      <c r="C3191" s="380"/>
      <c r="D3191" s="380"/>
      <c r="E3191" s="380"/>
      <c r="F3191" s="378"/>
      <c r="G3191" s="380"/>
      <c r="H3191" s="380"/>
      <c r="I3191" s="382"/>
      <c r="J3191" s="380"/>
      <c r="K3191" s="380"/>
      <c r="L3191" s="378"/>
      <c r="M3191" s="380"/>
      <c r="N3191" s="380"/>
      <c r="O3191" s="380"/>
      <c r="P3191" s="380"/>
      <c r="Q3191" s="380"/>
    </row>
    <row r="3192" spans="1:17" x14ac:dyDescent="0.2">
      <c r="A3192" s="334" t="s">
        <v>1723</v>
      </c>
      <c r="B3192" s="380"/>
      <c r="C3192" s="334" t="s">
        <v>1880</v>
      </c>
      <c r="D3192" s="334" t="s">
        <v>181</v>
      </c>
      <c r="E3192" s="380"/>
      <c r="F3192" s="378"/>
      <c r="G3192" s="380"/>
      <c r="H3192" s="380"/>
      <c r="I3192" s="385"/>
      <c r="J3192" s="334" t="s">
        <v>181</v>
      </c>
      <c r="K3192" s="380"/>
      <c r="L3192" s="378"/>
      <c r="M3192" s="380"/>
      <c r="N3192" s="380"/>
      <c r="O3192" s="380"/>
      <c r="P3192" s="380"/>
      <c r="Q3192" s="380"/>
    </row>
    <row r="3193" spans="1:17" x14ac:dyDescent="0.2">
      <c r="A3193" s="380"/>
      <c r="B3193" s="380"/>
      <c r="C3193" s="380"/>
      <c r="D3193" s="380"/>
      <c r="E3193" s="380"/>
      <c r="F3193" s="378"/>
      <c r="G3193" s="380"/>
      <c r="H3193" s="380"/>
      <c r="I3193" s="382"/>
      <c r="J3193" s="380"/>
      <c r="K3193" s="380"/>
      <c r="L3193" s="378"/>
      <c r="M3193" s="380"/>
      <c r="N3193" s="380"/>
      <c r="O3193" s="380"/>
      <c r="P3193" s="380"/>
      <c r="Q3193" s="380"/>
    </row>
    <row r="3194" spans="1:17" x14ac:dyDescent="0.2">
      <c r="A3194" s="334" t="s">
        <v>1724</v>
      </c>
      <c r="B3194" s="380"/>
      <c r="C3194" s="334" t="s">
        <v>1881</v>
      </c>
      <c r="D3194" s="377"/>
      <c r="E3194" s="380"/>
      <c r="F3194" s="378"/>
      <c r="G3194" s="380"/>
      <c r="H3194" s="380"/>
      <c r="I3194" s="399"/>
      <c r="J3194" s="377">
        <v>0</v>
      </c>
      <c r="K3194" s="380"/>
      <c r="L3194" s="378"/>
      <c r="M3194" s="380"/>
      <c r="N3194" s="380"/>
      <c r="O3194" s="380"/>
      <c r="P3194" s="380"/>
      <c r="Q3194" s="380"/>
    </row>
    <row r="3195" spans="1:17" x14ac:dyDescent="0.2">
      <c r="A3195" s="334" t="s">
        <v>1736</v>
      </c>
      <c r="B3195" s="380"/>
      <c r="C3195" s="334" t="s">
        <v>1747</v>
      </c>
      <c r="D3195" s="377"/>
      <c r="E3195" s="380"/>
      <c r="F3195" s="378"/>
      <c r="G3195" s="380"/>
      <c r="H3195" s="380"/>
      <c r="I3195" s="399"/>
      <c r="J3195" s="377">
        <v>0</v>
      </c>
      <c r="K3195" s="380"/>
      <c r="L3195" s="378"/>
      <c r="M3195" s="380"/>
      <c r="N3195" s="380"/>
      <c r="O3195" s="380"/>
      <c r="P3195" s="380"/>
      <c r="Q3195" s="380"/>
    </row>
    <row r="3196" spans="1:17" x14ac:dyDescent="0.2">
      <c r="A3196" s="334" t="s">
        <v>1582</v>
      </c>
      <c r="B3196" s="380"/>
      <c r="C3196" s="334" t="s">
        <v>3135</v>
      </c>
      <c r="D3196" s="377"/>
      <c r="E3196" s="380"/>
      <c r="F3196" s="378"/>
      <c r="G3196" s="380"/>
      <c r="H3196" s="380"/>
      <c r="I3196" s="399"/>
      <c r="J3196" s="377">
        <v>0</v>
      </c>
      <c r="K3196" s="380"/>
      <c r="L3196" s="378"/>
      <c r="M3196" s="380"/>
      <c r="N3196" s="380"/>
      <c r="O3196" s="380"/>
      <c r="P3196" s="380"/>
      <c r="Q3196" s="380"/>
    </row>
    <row r="3197" spans="1:17" x14ac:dyDescent="0.2">
      <c r="A3197" s="334" t="s">
        <v>1725</v>
      </c>
      <c r="B3197" s="380"/>
      <c r="C3197" s="334" t="s">
        <v>1890</v>
      </c>
      <c r="D3197" s="377"/>
      <c r="E3197" s="380"/>
      <c r="F3197" s="378"/>
      <c r="G3197" s="380"/>
      <c r="H3197" s="380"/>
      <c r="I3197" s="399"/>
      <c r="J3197" s="377">
        <v>0</v>
      </c>
      <c r="K3197" s="380"/>
      <c r="L3197" s="378"/>
      <c r="M3197" s="380"/>
      <c r="N3197" s="380"/>
      <c r="O3197" s="380"/>
      <c r="P3197" s="380"/>
      <c r="Q3197" s="380"/>
    </row>
    <row r="3198" spans="1:17" x14ac:dyDescent="0.2">
      <c r="A3198" s="334" t="s">
        <v>1737</v>
      </c>
      <c r="B3198" s="380"/>
      <c r="C3198" s="334" t="s">
        <v>1984</v>
      </c>
      <c r="D3198" s="377"/>
      <c r="E3198" s="380"/>
      <c r="F3198" s="378"/>
      <c r="G3198" s="380"/>
      <c r="H3198" s="380"/>
      <c r="I3198" s="399"/>
      <c r="J3198" s="377">
        <v>0</v>
      </c>
      <c r="K3198" s="380"/>
      <c r="L3198" s="378"/>
      <c r="M3198" s="380"/>
      <c r="N3198" s="380"/>
      <c r="O3198" s="380"/>
      <c r="P3198" s="380"/>
      <c r="Q3198" s="380"/>
    </row>
    <row r="3199" spans="1:17" x14ac:dyDescent="0.2">
      <c r="A3199" s="334" t="s">
        <v>1726</v>
      </c>
      <c r="B3199" s="380"/>
      <c r="C3199" s="334" t="s">
        <v>1117</v>
      </c>
      <c r="D3199" s="377"/>
      <c r="E3199" s="380"/>
      <c r="F3199" s="378"/>
      <c r="G3199" s="380"/>
      <c r="H3199" s="380"/>
      <c r="I3199" s="399"/>
      <c r="J3199" s="377">
        <v>0</v>
      </c>
      <c r="K3199" s="380"/>
      <c r="L3199" s="378"/>
      <c r="M3199" s="380"/>
      <c r="N3199" s="380"/>
      <c r="O3199" s="380"/>
      <c r="P3199" s="380"/>
      <c r="Q3199" s="380"/>
    </row>
    <row r="3200" spans="1:17" x14ac:dyDescent="0.2">
      <c r="A3200" s="384" t="s">
        <v>1751</v>
      </c>
      <c r="B3200" s="380"/>
      <c r="C3200" s="334" t="s">
        <v>3138</v>
      </c>
      <c r="D3200" s="377"/>
      <c r="E3200" s="380"/>
      <c r="F3200" s="378"/>
      <c r="G3200" s="380"/>
      <c r="H3200" s="380"/>
      <c r="I3200" s="399"/>
      <c r="J3200" s="377">
        <v>0</v>
      </c>
      <c r="K3200" s="380"/>
      <c r="L3200" s="378"/>
      <c r="M3200" s="380"/>
      <c r="N3200" s="380"/>
      <c r="O3200" s="380"/>
      <c r="P3200" s="380"/>
      <c r="Q3200" s="380"/>
    </row>
    <row r="3201" spans="1:17" x14ac:dyDescent="0.2">
      <c r="A3201" s="384" t="s">
        <v>1571</v>
      </c>
      <c r="B3201" s="380"/>
      <c r="C3201" s="334" t="s">
        <v>3</v>
      </c>
      <c r="D3201" s="377"/>
      <c r="E3201" s="380"/>
      <c r="F3201" s="378"/>
      <c r="G3201" s="380"/>
      <c r="H3201" s="380"/>
      <c r="I3201" s="399"/>
      <c r="J3201" s="377">
        <v>0</v>
      </c>
      <c r="K3201" s="380"/>
      <c r="L3201" s="378"/>
      <c r="M3201" s="380"/>
      <c r="N3201" s="380"/>
      <c r="O3201" s="380"/>
      <c r="P3201" s="380"/>
      <c r="Q3201" s="380"/>
    </row>
    <row r="3202" spans="1:17" x14ac:dyDescent="0.2">
      <c r="A3202" s="334" t="s">
        <v>1578</v>
      </c>
      <c r="B3202" s="380"/>
      <c r="C3202" s="334" t="s">
        <v>22</v>
      </c>
      <c r="D3202" s="377"/>
      <c r="E3202" s="380"/>
      <c r="F3202" s="378"/>
      <c r="G3202" s="380"/>
      <c r="H3202" s="380"/>
      <c r="I3202" s="399"/>
      <c r="J3202" s="377">
        <v>0</v>
      </c>
      <c r="K3202" s="380"/>
      <c r="L3202" s="378"/>
      <c r="M3202" s="380"/>
      <c r="N3202" s="380"/>
      <c r="O3202" s="380"/>
      <c r="P3202" s="380"/>
      <c r="Q3202" s="380"/>
    </row>
    <row r="3203" spans="1:17" x14ac:dyDescent="0.2">
      <c r="A3203" s="334" t="s">
        <v>1738</v>
      </c>
      <c r="B3203" s="380"/>
      <c r="C3203" s="334" t="s">
        <v>1591</v>
      </c>
      <c r="D3203" s="377"/>
      <c r="E3203" s="380"/>
      <c r="F3203" s="378"/>
      <c r="G3203" s="380"/>
      <c r="H3203" s="380"/>
      <c r="I3203" s="399"/>
      <c r="J3203" s="377">
        <v>0</v>
      </c>
      <c r="K3203" s="380"/>
      <c r="L3203" s="378"/>
      <c r="M3203" s="380"/>
      <c r="N3203" s="380"/>
      <c r="O3203" s="380"/>
      <c r="P3203" s="380"/>
      <c r="Q3203" s="380"/>
    </row>
    <row r="3204" spans="1:17" x14ac:dyDescent="0.2">
      <c r="A3204" s="334" t="s">
        <v>1727</v>
      </c>
      <c r="B3204" s="380"/>
      <c r="C3204" s="334" t="s">
        <v>307</v>
      </c>
      <c r="D3204" s="377"/>
      <c r="E3204" s="380"/>
      <c r="F3204" s="378"/>
      <c r="G3204" s="380"/>
      <c r="H3204" s="380"/>
      <c r="I3204" s="399"/>
      <c r="J3204" s="377">
        <v>0</v>
      </c>
      <c r="K3204" s="380"/>
      <c r="L3204" s="378"/>
      <c r="M3204" s="380"/>
      <c r="N3204" s="380"/>
      <c r="O3204" s="380"/>
      <c r="P3204" s="380"/>
      <c r="Q3204" s="380"/>
    </row>
    <row r="3205" spans="1:17" x14ac:dyDescent="0.2">
      <c r="A3205" s="334" t="s">
        <v>1728</v>
      </c>
      <c r="B3205" s="380"/>
      <c r="C3205" s="334" t="s">
        <v>310</v>
      </c>
      <c r="D3205" s="377"/>
      <c r="E3205" s="380"/>
      <c r="F3205" s="378"/>
      <c r="G3205" s="380"/>
      <c r="H3205" s="380"/>
      <c r="I3205" s="399"/>
      <c r="J3205" s="377">
        <v>0</v>
      </c>
      <c r="K3205" s="380"/>
      <c r="L3205" s="378"/>
      <c r="M3205" s="380"/>
      <c r="N3205" s="380"/>
      <c r="O3205" s="380"/>
      <c r="P3205" s="380"/>
      <c r="Q3205" s="380"/>
    </row>
    <row r="3206" spans="1:17" x14ac:dyDescent="0.2">
      <c r="A3206" s="334" t="s">
        <v>1729</v>
      </c>
      <c r="B3206" s="380"/>
      <c r="C3206" s="380" t="s">
        <v>1551</v>
      </c>
      <c r="D3206" s="377"/>
      <c r="E3206" s="380"/>
      <c r="F3206" s="378"/>
      <c r="G3206" s="380"/>
      <c r="H3206" s="334" t="s">
        <v>342</v>
      </c>
      <c r="I3206" s="399"/>
      <c r="J3206" s="377">
        <v>0</v>
      </c>
      <c r="K3206" s="380"/>
      <c r="L3206" s="378"/>
      <c r="M3206" s="380"/>
      <c r="N3206" s="334" t="s">
        <v>342</v>
      </c>
      <c r="O3206" s="380"/>
      <c r="P3206" s="380"/>
      <c r="Q3206" s="380"/>
    </row>
    <row r="3207" spans="1:17" x14ac:dyDescent="0.2">
      <c r="A3207" s="334" t="s">
        <v>1735</v>
      </c>
      <c r="B3207" s="380"/>
      <c r="C3207" s="380" t="s">
        <v>194</v>
      </c>
      <c r="D3207" s="377"/>
      <c r="E3207" s="380"/>
      <c r="F3207" s="378"/>
      <c r="G3207" s="380"/>
      <c r="H3207" s="334" t="s">
        <v>342</v>
      </c>
      <c r="I3207" s="399"/>
      <c r="J3207" s="377">
        <v>0</v>
      </c>
      <c r="K3207" s="380"/>
      <c r="L3207" s="378"/>
      <c r="M3207" s="380"/>
      <c r="N3207" s="334" t="s">
        <v>342</v>
      </c>
      <c r="O3207" s="380"/>
      <c r="P3207" s="380"/>
      <c r="Q3207" s="380"/>
    </row>
    <row r="3208" spans="1:17" x14ac:dyDescent="0.2">
      <c r="A3208" s="334" t="s">
        <v>1580</v>
      </c>
      <c r="B3208" s="380"/>
      <c r="C3208" s="334" t="s">
        <v>1935</v>
      </c>
      <c r="D3208" s="377"/>
      <c r="E3208" s="380"/>
      <c r="F3208" s="378"/>
      <c r="G3208" s="380"/>
      <c r="H3208" s="334"/>
      <c r="I3208" s="399"/>
      <c r="J3208" s="377">
        <v>0</v>
      </c>
      <c r="K3208" s="380"/>
      <c r="L3208" s="378"/>
      <c r="M3208" s="380"/>
      <c r="N3208" s="334"/>
      <c r="O3208" s="380"/>
      <c r="P3208" s="380"/>
      <c r="Q3208" s="380"/>
    </row>
    <row r="3209" spans="1:17" x14ac:dyDescent="0.2">
      <c r="A3209" s="334" t="s">
        <v>1572</v>
      </c>
      <c r="B3209" s="380"/>
      <c r="C3209" s="334" t="s">
        <v>3134</v>
      </c>
      <c r="D3209" s="377"/>
      <c r="E3209" s="380"/>
      <c r="F3209" s="378"/>
      <c r="G3209" s="380"/>
      <c r="H3209" s="334"/>
      <c r="I3209" s="399"/>
      <c r="J3209" s="377">
        <v>0</v>
      </c>
      <c r="K3209" s="380"/>
      <c r="L3209" s="378"/>
      <c r="M3209" s="380"/>
      <c r="N3209" s="334"/>
      <c r="O3209" s="380"/>
      <c r="P3209" s="380"/>
      <c r="Q3209" s="380"/>
    </row>
    <row r="3210" spans="1:17" x14ac:dyDescent="0.2">
      <c r="A3210" s="384" t="s">
        <v>1730</v>
      </c>
      <c r="B3210" s="380"/>
      <c r="C3210" s="334" t="s">
        <v>1985</v>
      </c>
      <c r="D3210" s="377"/>
      <c r="E3210" s="380"/>
      <c r="F3210" s="378"/>
      <c r="G3210" s="380"/>
      <c r="H3210" s="334"/>
      <c r="I3210" s="399"/>
      <c r="J3210" s="377">
        <v>0</v>
      </c>
      <c r="K3210" s="380"/>
      <c r="L3210" s="378"/>
      <c r="M3210" s="380"/>
      <c r="N3210" s="334"/>
      <c r="O3210" s="380"/>
      <c r="P3210" s="380"/>
      <c r="Q3210" s="380"/>
    </row>
    <row r="3211" spans="1:17" x14ac:dyDescent="0.2">
      <c r="A3211" s="334" t="s">
        <v>1566</v>
      </c>
      <c r="B3211" s="380"/>
      <c r="C3211" s="334" t="s">
        <v>366</v>
      </c>
      <c r="D3211" s="377"/>
      <c r="E3211" s="380"/>
      <c r="F3211" s="378"/>
      <c r="G3211" s="380"/>
      <c r="H3211" s="380"/>
      <c r="I3211" s="399"/>
      <c r="J3211" s="377">
        <v>0</v>
      </c>
      <c r="K3211" s="380"/>
      <c r="L3211" s="378"/>
      <c r="M3211" s="380"/>
      <c r="N3211" s="380"/>
      <c r="O3211" s="380"/>
      <c r="P3211" s="380"/>
      <c r="Q3211" s="380"/>
    </row>
    <row r="3212" spans="1:17" x14ac:dyDescent="0.2">
      <c r="A3212" s="384" t="s">
        <v>1962</v>
      </c>
      <c r="B3212" s="380"/>
      <c r="C3212" s="380" t="s">
        <v>572</v>
      </c>
      <c r="D3212" s="377"/>
      <c r="E3212" s="380"/>
      <c r="F3212" s="378"/>
      <c r="G3212" s="380"/>
      <c r="H3212" s="380"/>
      <c r="I3212" s="399"/>
      <c r="J3212" s="377">
        <v>0</v>
      </c>
      <c r="K3212" s="380"/>
      <c r="L3212" s="378"/>
      <c r="M3212" s="380"/>
      <c r="N3212" s="380"/>
      <c r="O3212" s="380"/>
      <c r="P3212" s="380"/>
      <c r="Q3212" s="380"/>
    </row>
    <row r="3213" spans="1:17" x14ac:dyDescent="0.2">
      <c r="A3213" s="384" t="s">
        <v>1567</v>
      </c>
      <c r="B3213" s="380"/>
      <c r="C3213" s="334" t="s">
        <v>3142</v>
      </c>
      <c r="D3213" s="377"/>
      <c r="E3213" s="380"/>
      <c r="F3213" s="378"/>
      <c r="G3213" s="380"/>
      <c r="H3213" s="380"/>
      <c r="I3213" s="399"/>
      <c r="J3213" s="377">
        <v>0</v>
      </c>
      <c r="K3213" s="380"/>
      <c r="L3213" s="378"/>
      <c r="M3213" s="380"/>
      <c r="N3213" s="380"/>
      <c r="O3213" s="380"/>
      <c r="P3213" s="380"/>
      <c r="Q3213" s="380"/>
    </row>
    <row r="3214" spans="1:17" x14ac:dyDescent="0.2">
      <c r="A3214" s="334" t="s">
        <v>342</v>
      </c>
      <c r="B3214" s="380"/>
      <c r="C3214" s="334" t="s">
        <v>342</v>
      </c>
      <c r="D3214" s="410" t="s">
        <v>342</v>
      </c>
      <c r="E3214" s="380"/>
      <c r="F3214" s="378"/>
      <c r="G3214" s="380"/>
      <c r="H3214" s="377"/>
      <c r="I3214" s="385"/>
      <c r="J3214" s="410" t="s">
        <v>342</v>
      </c>
      <c r="K3214" s="380"/>
      <c r="L3214" s="378"/>
      <c r="M3214" s="380"/>
      <c r="N3214" s="377"/>
      <c r="O3214" s="380"/>
      <c r="P3214" s="380"/>
      <c r="Q3214" s="380"/>
    </row>
    <row r="3215" spans="1:17" x14ac:dyDescent="0.2">
      <c r="A3215" s="380"/>
      <c r="B3215" s="380"/>
      <c r="C3215" s="334" t="s">
        <v>342</v>
      </c>
      <c r="D3215" s="334">
        <f>SUM(D3194:D3213)</f>
        <v>0</v>
      </c>
      <c r="E3215" s="380"/>
      <c r="F3215" s="378"/>
      <c r="G3215" s="380"/>
      <c r="H3215" s="377"/>
      <c r="I3215" s="385"/>
      <c r="J3215" s="334">
        <f>SUM(J3194:J3213)</f>
        <v>0</v>
      </c>
      <c r="K3215" s="380"/>
      <c r="L3215" s="378"/>
      <c r="M3215" s="380"/>
      <c r="N3215" s="377"/>
      <c r="O3215" s="380"/>
      <c r="P3215" s="380"/>
      <c r="Q3215" s="380"/>
    </row>
    <row r="3216" spans="1:17" ht="15.75" thickTop="1" x14ac:dyDescent="0.2">
      <c r="A3216" s="380"/>
      <c r="B3216" s="380"/>
      <c r="C3216" s="380"/>
      <c r="D3216" s="395"/>
      <c r="E3216" s="380"/>
      <c r="F3216" s="378"/>
      <c r="G3216" s="380"/>
      <c r="H3216" s="377"/>
      <c r="I3216" s="399"/>
      <c r="J3216" s="395"/>
      <c r="K3216" s="380"/>
      <c r="L3216" s="378"/>
      <c r="M3216" s="380"/>
      <c r="N3216" s="377"/>
      <c r="O3216" s="380"/>
      <c r="P3216" s="380"/>
      <c r="Q3216" s="380"/>
    </row>
    <row r="3217" spans="1:17" x14ac:dyDescent="0.2">
      <c r="A3217" s="380"/>
      <c r="B3217" s="380"/>
      <c r="C3217" s="380"/>
      <c r="D3217" s="380"/>
      <c r="E3217" s="380"/>
      <c r="F3217" s="378"/>
      <c r="G3217" s="380"/>
      <c r="H3217" s="377"/>
      <c r="I3217" s="382"/>
      <c r="J3217" s="380"/>
      <c r="K3217" s="380"/>
      <c r="L3217" s="378"/>
      <c r="M3217" s="380"/>
      <c r="N3217" s="377"/>
      <c r="O3217" s="380"/>
      <c r="P3217" s="380"/>
      <c r="Q3217" s="380"/>
    </row>
    <row r="3218" spans="1:17" x14ac:dyDescent="0.2">
      <c r="A3218" s="380"/>
      <c r="B3218" s="380"/>
      <c r="C3218" s="380"/>
      <c r="D3218" s="380"/>
      <c r="E3218" s="380"/>
      <c r="F3218" s="378"/>
      <c r="G3218" s="380"/>
      <c r="H3218" s="377"/>
      <c r="I3218" s="382"/>
      <c r="J3218" s="380"/>
      <c r="K3218" s="380"/>
      <c r="L3218" s="378"/>
      <c r="M3218" s="380"/>
      <c r="N3218" s="377"/>
      <c r="O3218" s="380"/>
      <c r="P3218" s="380"/>
      <c r="Q3218" s="380"/>
    </row>
    <row r="3219" spans="1:17" x14ac:dyDescent="0.2">
      <c r="A3219" s="334" t="s">
        <v>1819</v>
      </c>
      <c r="B3219" s="377"/>
      <c r="C3219" s="377"/>
      <c r="D3219" s="334" t="s">
        <v>342</v>
      </c>
      <c r="E3219" s="377"/>
      <c r="F3219" s="378"/>
      <c r="G3219" s="377"/>
      <c r="H3219" s="377"/>
      <c r="I3219" s="385"/>
      <c r="J3219" s="334" t="s">
        <v>342</v>
      </c>
      <c r="K3219" s="377"/>
      <c r="L3219" s="378"/>
      <c r="M3219" s="377"/>
      <c r="N3219" s="377"/>
      <c r="O3219" s="380"/>
      <c r="P3219" s="380"/>
      <c r="Q3219" s="380"/>
    </row>
    <row r="3220" spans="1:17" x14ac:dyDescent="0.2">
      <c r="A3220" s="334" t="s">
        <v>342</v>
      </c>
      <c r="B3220" s="380"/>
      <c r="C3220" s="384" t="s">
        <v>2155</v>
      </c>
      <c r="D3220" s="380"/>
      <c r="E3220" s="380"/>
      <c r="F3220" s="378"/>
      <c r="G3220" s="380"/>
      <c r="H3220" s="377"/>
      <c r="I3220" s="382"/>
      <c r="J3220" s="380"/>
      <c r="K3220" s="380"/>
      <c r="L3220" s="378"/>
      <c r="M3220" s="380"/>
      <c r="N3220" s="377"/>
      <c r="O3220" s="380"/>
      <c r="P3220" s="380"/>
      <c r="Q3220" s="380"/>
    </row>
    <row r="3221" spans="1:17" x14ac:dyDescent="0.2">
      <c r="A3221" s="380"/>
      <c r="B3221" s="380"/>
      <c r="C3221" s="380"/>
      <c r="D3221" s="380"/>
      <c r="E3221" s="380"/>
      <c r="F3221" s="378"/>
      <c r="G3221" s="380"/>
      <c r="H3221" s="377"/>
      <c r="I3221" s="382"/>
      <c r="J3221" s="380"/>
      <c r="K3221" s="380"/>
      <c r="L3221" s="378"/>
      <c r="M3221" s="380"/>
      <c r="N3221" s="377"/>
      <c r="O3221" s="380"/>
      <c r="P3221" s="380"/>
      <c r="Q3221" s="380"/>
    </row>
    <row r="3222" spans="1:17" x14ac:dyDescent="0.2">
      <c r="A3222" s="334" t="s">
        <v>1723</v>
      </c>
      <c r="B3222" s="380"/>
      <c r="C3222" s="334" t="s">
        <v>1880</v>
      </c>
      <c r="D3222" s="334" t="s">
        <v>181</v>
      </c>
      <c r="E3222" s="380"/>
      <c r="F3222" s="378"/>
      <c r="G3222" s="380"/>
      <c r="H3222" s="377"/>
      <c r="I3222" s="385"/>
      <c r="J3222" s="334" t="s">
        <v>181</v>
      </c>
      <c r="K3222" s="380"/>
      <c r="L3222" s="378"/>
      <c r="M3222" s="380"/>
      <c r="N3222" s="377"/>
      <c r="O3222" s="380"/>
      <c r="P3222" s="380"/>
      <c r="Q3222" s="380"/>
    </row>
    <row r="3223" spans="1:17" x14ac:dyDescent="0.2">
      <c r="A3223" s="380"/>
      <c r="B3223" s="380"/>
      <c r="C3223" s="380"/>
      <c r="D3223" s="380"/>
      <c r="E3223" s="380"/>
      <c r="F3223" s="378"/>
      <c r="G3223" s="380"/>
      <c r="H3223" s="377"/>
      <c r="I3223" s="382"/>
      <c r="J3223" s="380"/>
      <c r="K3223" s="380"/>
      <c r="L3223" s="378"/>
      <c r="M3223" s="380"/>
      <c r="N3223" s="377"/>
      <c r="O3223" s="380"/>
      <c r="P3223" s="380"/>
      <c r="Q3223" s="380"/>
    </row>
    <row r="3224" spans="1:17" x14ac:dyDescent="0.2">
      <c r="A3224" s="442" t="s">
        <v>1569</v>
      </c>
      <c r="B3224" s="380"/>
      <c r="C3224" s="334" t="s">
        <v>1888</v>
      </c>
      <c r="D3224" s="377"/>
      <c r="E3224" s="380"/>
      <c r="F3224" s="378"/>
      <c r="G3224" s="380"/>
      <c r="H3224" s="377"/>
      <c r="I3224" s="399"/>
      <c r="J3224" s="377"/>
      <c r="K3224" s="380"/>
      <c r="L3224" s="378"/>
      <c r="M3224" s="380"/>
      <c r="N3224" s="377"/>
      <c r="O3224" s="380"/>
      <c r="P3224" s="380"/>
      <c r="Q3224" s="380"/>
    </row>
    <row r="3225" spans="1:17" x14ac:dyDescent="0.2">
      <c r="A3225" s="334" t="s">
        <v>1724</v>
      </c>
      <c r="B3225" s="380"/>
      <c r="C3225" s="334" t="s">
        <v>1881</v>
      </c>
      <c r="D3225" s="377">
        <v>500</v>
      </c>
      <c r="E3225" s="380"/>
      <c r="F3225" s="378"/>
      <c r="G3225" s="380"/>
      <c r="H3225" s="377"/>
      <c r="I3225" s="399"/>
      <c r="J3225" s="377">
        <v>3575</v>
      </c>
      <c r="K3225" s="380"/>
      <c r="L3225" s="378"/>
      <c r="M3225" s="380"/>
      <c r="N3225" s="377"/>
      <c r="O3225" s="380"/>
      <c r="P3225" s="380"/>
      <c r="Q3225" s="380"/>
    </row>
    <row r="3226" spans="1:17" x14ac:dyDescent="0.2">
      <c r="A3226" s="384" t="s">
        <v>1736</v>
      </c>
      <c r="B3226" s="380"/>
      <c r="C3226" s="334" t="s">
        <v>1747</v>
      </c>
      <c r="D3226" s="377"/>
      <c r="E3226" s="380"/>
      <c r="F3226" s="378"/>
      <c r="G3226" s="380"/>
      <c r="H3226" s="377"/>
      <c r="I3226" s="399"/>
      <c r="J3226" s="377"/>
      <c r="K3226" s="380"/>
      <c r="L3226" s="378"/>
      <c r="M3226" s="380"/>
      <c r="N3226" s="377"/>
      <c r="O3226" s="380"/>
      <c r="P3226" s="380"/>
      <c r="Q3226" s="380"/>
    </row>
    <row r="3227" spans="1:17" x14ac:dyDescent="0.2">
      <c r="A3227" s="334" t="s">
        <v>1725</v>
      </c>
      <c r="B3227" s="380"/>
      <c r="C3227" s="334" t="s">
        <v>1890</v>
      </c>
      <c r="D3227" s="377">
        <v>300</v>
      </c>
      <c r="E3227" s="380"/>
      <c r="F3227" s="378"/>
      <c r="G3227" s="380"/>
      <c r="H3227" s="377"/>
      <c r="I3227" s="399"/>
      <c r="J3227" s="377"/>
      <c r="K3227" s="380"/>
      <c r="L3227" s="378"/>
      <c r="M3227" s="380"/>
      <c r="N3227" s="377"/>
      <c r="O3227" s="380"/>
      <c r="P3227" s="380"/>
      <c r="Q3227" s="380"/>
    </row>
    <row r="3228" spans="1:17" x14ac:dyDescent="0.2">
      <c r="A3228" s="334" t="s">
        <v>1737</v>
      </c>
      <c r="B3228" s="380"/>
      <c r="C3228" s="334" t="s">
        <v>1984</v>
      </c>
      <c r="D3228" s="377">
        <v>180</v>
      </c>
      <c r="E3228" s="380"/>
      <c r="F3228" s="378"/>
      <c r="G3228" s="380"/>
      <c r="H3228" s="377"/>
      <c r="I3228" s="399"/>
      <c r="J3228" s="377"/>
      <c r="K3228" s="380"/>
      <c r="L3228" s="378"/>
      <c r="M3228" s="380"/>
      <c r="N3228" s="377"/>
      <c r="O3228" s="380"/>
      <c r="P3228" s="380"/>
      <c r="Q3228" s="380"/>
    </row>
    <row r="3229" spans="1:17" x14ac:dyDescent="0.2">
      <c r="A3229" s="334" t="s">
        <v>1734</v>
      </c>
      <c r="B3229" s="380"/>
      <c r="C3229" s="334" t="s">
        <v>1746</v>
      </c>
      <c r="D3229" s="377"/>
      <c r="E3229" s="380"/>
      <c r="F3229" s="378"/>
      <c r="G3229" s="380"/>
      <c r="H3229" s="377"/>
      <c r="I3229" s="399"/>
      <c r="J3229" s="377"/>
      <c r="K3229" s="380"/>
      <c r="L3229" s="378"/>
      <c r="M3229" s="380"/>
      <c r="N3229" s="377"/>
      <c r="O3229" s="380"/>
      <c r="P3229" s="380"/>
      <c r="Q3229" s="380"/>
    </row>
    <row r="3230" spans="1:17" x14ac:dyDescent="0.2">
      <c r="A3230" s="384" t="s">
        <v>1571</v>
      </c>
      <c r="B3230" s="380"/>
      <c r="C3230" s="334" t="s">
        <v>3</v>
      </c>
      <c r="D3230" s="377"/>
      <c r="E3230" s="380"/>
      <c r="F3230" s="378"/>
      <c r="G3230" s="380"/>
      <c r="H3230" s="377"/>
      <c r="I3230" s="399"/>
      <c r="J3230" s="377"/>
      <c r="K3230" s="380"/>
      <c r="L3230" s="378"/>
      <c r="M3230" s="380"/>
      <c r="N3230" s="377"/>
      <c r="O3230" s="380"/>
      <c r="P3230" s="380"/>
      <c r="Q3230" s="380"/>
    </row>
    <row r="3231" spans="1:17" x14ac:dyDescent="0.2">
      <c r="A3231" s="334" t="s">
        <v>1738</v>
      </c>
      <c r="B3231" s="380"/>
      <c r="C3231" s="334" t="s">
        <v>1591</v>
      </c>
      <c r="D3231" s="377">
        <v>40</v>
      </c>
      <c r="E3231" s="380"/>
      <c r="F3231" s="378"/>
      <c r="G3231" s="380"/>
      <c r="H3231" s="334" t="s">
        <v>342</v>
      </c>
      <c r="I3231" s="399"/>
      <c r="J3231" s="377"/>
      <c r="K3231" s="380"/>
      <c r="L3231" s="378"/>
      <c r="M3231" s="380"/>
      <c r="N3231" s="334" t="s">
        <v>342</v>
      </c>
      <c r="O3231" s="380"/>
      <c r="P3231" s="380"/>
      <c r="Q3231" s="380"/>
    </row>
    <row r="3232" spans="1:17" x14ac:dyDescent="0.2">
      <c r="A3232" s="334" t="s">
        <v>1727</v>
      </c>
      <c r="B3232" s="380"/>
      <c r="C3232" s="334" t="s">
        <v>307</v>
      </c>
      <c r="D3232" s="377">
        <v>100</v>
      </c>
      <c r="E3232" s="380"/>
      <c r="F3232" s="378"/>
      <c r="G3232" s="380"/>
      <c r="H3232" s="377"/>
      <c r="I3232" s="399"/>
      <c r="J3232" s="377"/>
      <c r="K3232" s="380"/>
      <c r="L3232" s="378"/>
      <c r="M3232" s="380"/>
      <c r="N3232" s="377"/>
      <c r="O3232" s="380"/>
      <c r="P3232" s="380"/>
      <c r="Q3232" s="380"/>
    </row>
    <row r="3233" spans="1:17" x14ac:dyDescent="0.2">
      <c r="A3233" s="334" t="s">
        <v>1728</v>
      </c>
      <c r="B3233" s="380"/>
      <c r="C3233" s="334" t="s">
        <v>310</v>
      </c>
      <c r="D3233" s="377">
        <v>1200</v>
      </c>
      <c r="E3233" s="380"/>
      <c r="F3233" s="378"/>
      <c r="G3233" s="380"/>
      <c r="H3233" s="377"/>
      <c r="I3233" s="399"/>
      <c r="J3233" s="377"/>
      <c r="K3233" s="380"/>
      <c r="L3233" s="378"/>
      <c r="M3233" s="380"/>
      <c r="N3233" s="377"/>
      <c r="O3233" s="380"/>
      <c r="P3233" s="380"/>
      <c r="Q3233" s="380"/>
    </row>
    <row r="3234" spans="1:17" x14ac:dyDescent="0.2">
      <c r="A3234" s="334" t="s">
        <v>1729</v>
      </c>
      <c r="B3234" s="380"/>
      <c r="C3234" s="380" t="s">
        <v>1551</v>
      </c>
      <c r="D3234" s="377">
        <v>-710</v>
      </c>
      <c r="E3234" s="380"/>
      <c r="F3234" s="378"/>
      <c r="G3234" s="380"/>
      <c r="H3234" s="377"/>
      <c r="I3234" s="399"/>
      <c r="J3234" s="377"/>
      <c r="K3234" s="380"/>
      <c r="L3234" s="378"/>
      <c r="M3234" s="380"/>
      <c r="N3234" s="377"/>
      <c r="O3234" s="380"/>
      <c r="P3234" s="380"/>
      <c r="Q3234" s="380"/>
    </row>
    <row r="3235" spans="1:17" x14ac:dyDescent="0.2">
      <c r="A3235" s="334" t="s">
        <v>1735</v>
      </c>
      <c r="B3235" s="380"/>
      <c r="C3235" s="380" t="s">
        <v>194</v>
      </c>
      <c r="D3235" s="377"/>
      <c r="E3235" s="380"/>
      <c r="F3235" s="378"/>
      <c r="G3235" s="380"/>
      <c r="H3235" s="377"/>
      <c r="I3235" s="399"/>
      <c r="J3235" s="377"/>
      <c r="K3235" s="380"/>
      <c r="L3235" s="378"/>
      <c r="M3235" s="380"/>
      <c r="N3235" s="377"/>
      <c r="O3235" s="380"/>
      <c r="P3235" s="380"/>
      <c r="Q3235" s="380"/>
    </row>
    <row r="3236" spans="1:17" x14ac:dyDescent="0.2">
      <c r="A3236" s="334" t="s">
        <v>1580</v>
      </c>
      <c r="B3236" s="380"/>
      <c r="C3236" s="334" t="s">
        <v>1935</v>
      </c>
      <c r="D3236" s="377"/>
      <c r="E3236" s="380"/>
      <c r="F3236" s="378"/>
      <c r="G3236" s="380"/>
      <c r="H3236" s="377"/>
      <c r="I3236" s="399"/>
      <c r="J3236" s="377"/>
      <c r="K3236" s="380"/>
      <c r="L3236" s="378"/>
      <c r="M3236" s="380"/>
      <c r="N3236" s="377"/>
      <c r="O3236" s="380"/>
      <c r="P3236" s="380"/>
      <c r="Q3236" s="380"/>
    </row>
    <row r="3237" spans="1:17" x14ac:dyDescent="0.2">
      <c r="A3237" s="334" t="s">
        <v>1572</v>
      </c>
      <c r="B3237" s="380"/>
      <c r="C3237" s="334" t="s">
        <v>3134</v>
      </c>
      <c r="D3237" s="377">
        <v>30</v>
      </c>
      <c r="E3237" s="380"/>
      <c r="F3237" s="378"/>
      <c r="G3237" s="380"/>
      <c r="H3237" s="334" t="s">
        <v>342</v>
      </c>
      <c r="I3237" s="399"/>
      <c r="J3237" s="377"/>
      <c r="K3237" s="380"/>
      <c r="L3237" s="378"/>
      <c r="M3237" s="380"/>
      <c r="N3237" s="334" t="s">
        <v>342</v>
      </c>
      <c r="O3237" s="380"/>
      <c r="P3237" s="380"/>
      <c r="Q3237" s="380"/>
    </row>
    <row r="3238" spans="1:17" x14ac:dyDescent="0.2">
      <c r="A3238" s="334" t="s">
        <v>1566</v>
      </c>
      <c r="B3238" s="380"/>
      <c r="C3238" s="334" t="s">
        <v>366</v>
      </c>
      <c r="D3238" s="377">
        <v>1200</v>
      </c>
      <c r="E3238" s="382"/>
      <c r="F3238" s="416"/>
      <c r="G3238" s="380"/>
      <c r="H3238" s="377"/>
      <c r="I3238" s="399"/>
      <c r="J3238" s="377"/>
      <c r="K3238" s="380"/>
      <c r="L3238" s="378"/>
      <c r="M3238" s="380"/>
      <c r="N3238" s="377"/>
      <c r="O3238" s="380"/>
      <c r="P3238" s="380"/>
      <c r="Q3238" s="380"/>
    </row>
    <row r="3239" spans="1:17" x14ac:dyDescent="0.2">
      <c r="A3239" s="384" t="s">
        <v>1962</v>
      </c>
      <c r="B3239" s="380"/>
      <c r="C3239" s="380" t="s">
        <v>572</v>
      </c>
      <c r="D3239" s="377"/>
      <c r="E3239" s="382"/>
      <c r="F3239" s="416"/>
      <c r="G3239" s="382"/>
      <c r="H3239" s="377"/>
      <c r="I3239" s="399"/>
      <c r="J3239" s="377"/>
      <c r="K3239" s="459"/>
      <c r="L3239" s="422"/>
      <c r="M3239" s="382"/>
      <c r="N3239" s="377"/>
      <c r="O3239" s="380"/>
      <c r="P3239" s="380"/>
      <c r="Q3239" s="380"/>
    </row>
    <row r="3240" spans="1:17" x14ac:dyDescent="0.2">
      <c r="A3240" s="334" t="s">
        <v>342</v>
      </c>
      <c r="B3240" s="380"/>
      <c r="C3240" s="334" t="s">
        <v>342</v>
      </c>
      <c r="D3240" s="410" t="s">
        <v>342</v>
      </c>
      <c r="E3240" s="382"/>
      <c r="F3240" s="416"/>
      <c r="G3240" s="380"/>
      <c r="H3240" s="377"/>
      <c r="I3240" s="385"/>
      <c r="J3240" s="410" t="s">
        <v>342</v>
      </c>
      <c r="K3240" s="380"/>
      <c r="L3240" s="378"/>
      <c r="M3240" s="380"/>
      <c r="N3240" s="377"/>
      <c r="O3240" s="380"/>
      <c r="P3240" s="380"/>
      <c r="Q3240" s="380"/>
    </row>
    <row r="3241" spans="1:17" ht="15.75" thickBot="1" x14ac:dyDescent="0.25">
      <c r="A3241" s="380"/>
      <c r="B3241" s="380"/>
      <c r="C3241" s="334" t="s">
        <v>342</v>
      </c>
      <c r="D3241" s="334">
        <f>SUM(D3224:D3239)</f>
        <v>2840</v>
      </c>
      <c r="E3241" s="382"/>
      <c r="F3241" s="416"/>
      <c r="G3241" s="382"/>
      <c r="H3241" s="377"/>
      <c r="I3241" s="385"/>
      <c r="J3241" s="334">
        <f>SUM(J3224:J3239)</f>
        <v>3575</v>
      </c>
      <c r="K3241" s="460">
        <f>SUM(K3224:K3239)</f>
        <v>0</v>
      </c>
      <c r="L3241" s="461">
        <f>SUM(L3224:L3239)</f>
        <v>0</v>
      </c>
      <c r="M3241" s="382"/>
      <c r="N3241" s="377"/>
      <c r="O3241" s="380"/>
      <c r="P3241" s="380"/>
      <c r="Q3241" s="380"/>
    </row>
    <row r="3242" spans="1:17" ht="15.75" thickTop="1" x14ac:dyDescent="0.2">
      <c r="A3242" s="380"/>
      <c r="B3242" s="380"/>
      <c r="C3242" s="380"/>
      <c r="D3242" s="395"/>
      <c r="E3242" s="382"/>
      <c r="F3242" s="416"/>
      <c r="G3242" s="380"/>
      <c r="H3242" s="377"/>
      <c r="I3242" s="399"/>
      <c r="J3242" s="395"/>
      <c r="K3242" s="380"/>
      <c r="L3242" s="378"/>
      <c r="M3242" s="380"/>
      <c r="N3242" s="377"/>
      <c r="O3242" s="380"/>
      <c r="P3242" s="380"/>
      <c r="Q3242" s="380"/>
    </row>
    <row r="3243" spans="1:17" x14ac:dyDescent="0.2">
      <c r="A3243" s="380"/>
      <c r="B3243" s="380"/>
      <c r="C3243" s="380"/>
      <c r="D3243" s="380"/>
      <c r="E3243" s="380"/>
      <c r="F3243" s="378"/>
      <c r="G3243" s="380"/>
      <c r="H3243" s="334" t="s">
        <v>342</v>
      </c>
      <c r="I3243" s="382"/>
      <c r="J3243" s="380"/>
      <c r="K3243" s="380"/>
      <c r="L3243" s="378"/>
      <c r="M3243" s="380"/>
      <c r="N3243" s="334" t="s">
        <v>342</v>
      </c>
      <c r="O3243" s="380"/>
      <c r="P3243" s="380"/>
      <c r="Q3243" s="380"/>
    </row>
    <row r="3244" spans="1:17" x14ac:dyDescent="0.2">
      <c r="A3244" s="380"/>
      <c r="B3244" s="380"/>
      <c r="C3244" s="380"/>
      <c r="D3244" s="380"/>
      <c r="E3244" s="380"/>
      <c r="F3244" s="378"/>
      <c r="G3244" s="380"/>
      <c r="H3244" s="377"/>
      <c r="I3244" s="382"/>
      <c r="J3244" s="380"/>
      <c r="K3244" s="380"/>
      <c r="L3244" s="378"/>
      <c r="M3244" s="380"/>
      <c r="N3244" s="377"/>
      <c r="O3244" s="380"/>
      <c r="P3244" s="380"/>
      <c r="Q3244" s="380"/>
    </row>
    <row r="3245" spans="1:17" x14ac:dyDescent="0.2">
      <c r="A3245" s="334" t="s">
        <v>1820</v>
      </c>
      <c r="B3245" s="377"/>
      <c r="C3245" s="377"/>
      <c r="D3245" s="334" t="s">
        <v>342</v>
      </c>
      <c r="E3245" s="377"/>
      <c r="F3245" s="378"/>
      <c r="G3245" s="377"/>
      <c r="H3245" s="377"/>
      <c r="I3245" s="385"/>
      <c r="J3245" s="334" t="s">
        <v>342</v>
      </c>
      <c r="K3245" s="377"/>
      <c r="L3245" s="378"/>
      <c r="M3245" s="377"/>
      <c r="N3245" s="377"/>
      <c r="O3245" s="380"/>
      <c r="P3245" s="380"/>
      <c r="Q3245" s="380"/>
    </row>
    <row r="3246" spans="1:17" x14ac:dyDescent="0.2">
      <c r="A3246" s="334" t="s">
        <v>342</v>
      </c>
      <c r="B3246" s="380"/>
      <c r="C3246" s="384" t="s">
        <v>2156</v>
      </c>
      <c r="D3246" s="380"/>
      <c r="E3246" s="380"/>
      <c r="F3246" s="378"/>
      <c r="G3246" s="380"/>
      <c r="H3246" s="377"/>
      <c r="I3246" s="382"/>
      <c r="J3246" s="380"/>
      <c r="K3246" s="380"/>
      <c r="L3246" s="378"/>
      <c r="M3246" s="380"/>
      <c r="N3246" s="377"/>
      <c r="O3246" s="380"/>
      <c r="P3246" s="380"/>
      <c r="Q3246" s="380"/>
    </row>
    <row r="3247" spans="1:17" x14ac:dyDescent="0.2">
      <c r="A3247" s="380"/>
      <c r="B3247" s="380"/>
      <c r="C3247" s="380"/>
      <c r="D3247" s="380"/>
      <c r="E3247" s="380"/>
      <c r="F3247" s="378"/>
      <c r="G3247" s="380"/>
      <c r="H3247" s="377"/>
      <c r="I3247" s="382"/>
      <c r="J3247" s="380"/>
      <c r="K3247" s="380"/>
      <c r="L3247" s="378"/>
      <c r="M3247" s="380"/>
      <c r="N3247" s="377"/>
      <c r="O3247" s="380"/>
      <c r="P3247" s="380"/>
      <c r="Q3247" s="380"/>
    </row>
    <row r="3248" spans="1:17" x14ac:dyDescent="0.2">
      <c r="A3248" s="334" t="s">
        <v>1723</v>
      </c>
      <c r="B3248" s="380"/>
      <c r="C3248" s="334" t="s">
        <v>1880</v>
      </c>
      <c r="D3248" s="334" t="s">
        <v>181</v>
      </c>
      <c r="E3248" s="380"/>
      <c r="F3248" s="378"/>
      <c r="G3248" s="380"/>
      <c r="H3248" s="377"/>
      <c r="I3248" s="385"/>
      <c r="J3248" s="334" t="s">
        <v>181</v>
      </c>
      <c r="K3248" s="380"/>
      <c r="L3248" s="378"/>
      <c r="M3248" s="380"/>
      <c r="N3248" s="377"/>
      <c r="O3248" s="380"/>
      <c r="P3248" s="380"/>
      <c r="Q3248" s="380"/>
    </row>
    <row r="3249" spans="1:17" x14ac:dyDescent="0.2">
      <c r="A3249" s="380"/>
      <c r="B3249" s="380"/>
      <c r="C3249" s="380"/>
      <c r="D3249" s="380"/>
      <c r="E3249" s="380"/>
      <c r="F3249" s="378"/>
      <c r="G3249" s="380"/>
      <c r="H3249" s="334" t="s">
        <v>342</v>
      </c>
      <c r="I3249" s="382"/>
      <c r="J3249" s="380"/>
      <c r="K3249" s="380"/>
      <c r="L3249" s="378"/>
      <c r="M3249" s="380"/>
      <c r="N3249" s="334" t="s">
        <v>342</v>
      </c>
      <c r="O3249" s="380"/>
      <c r="P3249" s="380"/>
      <c r="Q3249" s="380"/>
    </row>
    <row r="3250" spans="1:17" x14ac:dyDescent="0.2">
      <c r="A3250" s="334" t="s">
        <v>1724</v>
      </c>
      <c r="B3250" s="380"/>
      <c r="C3250" s="334" t="s">
        <v>1881</v>
      </c>
      <c r="D3250" s="377">
        <v>600</v>
      </c>
      <c r="E3250" s="380"/>
      <c r="F3250" s="378"/>
      <c r="G3250" s="380"/>
      <c r="H3250" s="380"/>
      <c r="I3250" s="399"/>
      <c r="J3250" s="377">
        <v>600</v>
      </c>
      <c r="K3250" s="380"/>
      <c r="L3250" s="378"/>
      <c r="M3250" s="380"/>
      <c r="N3250" s="380"/>
      <c r="O3250" s="380"/>
      <c r="P3250" s="380"/>
      <c r="Q3250" s="380"/>
    </row>
    <row r="3251" spans="1:17" x14ac:dyDescent="0.2">
      <c r="A3251" s="384" t="s">
        <v>1736</v>
      </c>
      <c r="B3251" s="380"/>
      <c r="C3251" s="334" t="s">
        <v>1747</v>
      </c>
      <c r="D3251" s="377"/>
      <c r="E3251" s="380"/>
      <c r="F3251" s="378"/>
      <c r="G3251" s="380"/>
      <c r="H3251" s="380"/>
      <c r="I3251" s="399"/>
      <c r="J3251" s="377"/>
      <c r="K3251" s="380"/>
      <c r="L3251" s="378"/>
      <c r="M3251" s="380"/>
      <c r="N3251" s="380"/>
      <c r="O3251" s="380"/>
      <c r="P3251" s="380"/>
      <c r="Q3251" s="380"/>
    </row>
    <row r="3252" spans="1:17" x14ac:dyDescent="0.2">
      <c r="A3252" s="334" t="s">
        <v>1725</v>
      </c>
      <c r="B3252" s="380"/>
      <c r="C3252" s="334" t="s">
        <v>1890</v>
      </c>
      <c r="D3252" s="377"/>
      <c r="E3252" s="380"/>
      <c r="F3252" s="378"/>
      <c r="G3252" s="380"/>
      <c r="H3252" s="380"/>
      <c r="I3252" s="399"/>
      <c r="J3252" s="377"/>
      <c r="K3252" s="380"/>
      <c r="L3252" s="378"/>
      <c r="M3252" s="380"/>
      <c r="N3252" s="380"/>
      <c r="O3252" s="380"/>
      <c r="P3252" s="380"/>
      <c r="Q3252" s="380"/>
    </row>
    <row r="3253" spans="1:17" x14ac:dyDescent="0.2">
      <c r="A3253" s="334" t="s">
        <v>1737</v>
      </c>
      <c r="B3253" s="380"/>
      <c r="C3253" s="334" t="s">
        <v>1984</v>
      </c>
      <c r="D3253" s="377">
        <v>250</v>
      </c>
      <c r="E3253" s="380"/>
      <c r="F3253" s="378"/>
      <c r="G3253" s="380"/>
      <c r="H3253" s="380"/>
      <c r="I3253" s="399"/>
      <c r="J3253" s="377">
        <v>250</v>
      </c>
      <c r="K3253" s="380"/>
      <c r="L3253" s="378"/>
      <c r="M3253" s="380"/>
      <c r="N3253" s="380"/>
      <c r="O3253" s="380"/>
      <c r="P3253" s="380"/>
      <c r="Q3253" s="380"/>
    </row>
    <row r="3254" spans="1:17" x14ac:dyDescent="0.2">
      <c r="A3254" s="334" t="s">
        <v>1734</v>
      </c>
      <c r="B3254" s="380"/>
      <c r="C3254" s="334" t="s">
        <v>1746</v>
      </c>
      <c r="D3254" s="377"/>
      <c r="E3254" s="380"/>
      <c r="F3254" s="378"/>
      <c r="G3254" s="380"/>
      <c r="H3254" s="380"/>
      <c r="I3254" s="399"/>
      <c r="J3254" s="377"/>
      <c r="K3254" s="380"/>
      <c r="L3254" s="378"/>
      <c r="M3254" s="380"/>
      <c r="N3254" s="380"/>
      <c r="O3254" s="380"/>
      <c r="P3254" s="380"/>
      <c r="Q3254" s="380"/>
    </row>
    <row r="3255" spans="1:17" x14ac:dyDescent="0.2">
      <c r="A3255" s="384" t="s">
        <v>1571</v>
      </c>
      <c r="B3255" s="380"/>
      <c r="C3255" s="334" t="s">
        <v>3</v>
      </c>
      <c r="D3255" s="377"/>
      <c r="E3255" s="380"/>
      <c r="F3255" s="378"/>
      <c r="G3255" s="380"/>
      <c r="H3255" s="380"/>
      <c r="I3255" s="399"/>
      <c r="J3255" s="377"/>
      <c r="K3255" s="380"/>
      <c r="L3255" s="378"/>
      <c r="M3255" s="380"/>
      <c r="N3255" s="380"/>
      <c r="O3255" s="380"/>
      <c r="P3255" s="380"/>
      <c r="Q3255" s="380"/>
    </row>
    <row r="3256" spans="1:17" x14ac:dyDescent="0.2">
      <c r="A3256" s="334" t="s">
        <v>1738</v>
      </c>
      <c r="B3256" s="380"/>
      <c r="C3256" s="334" t="s">
        <v>1591</v>
      </c>
      <c r="D3256" s="377">
        <v>75</v>
      </c>
      <c r="E3256" s="380"/>
      <c r="F3256" s="378"/>
      <c r="G3256" s="380"/>
      <c r="H3256" s="380"/>
      <c r="I3256" s="399"/>
      <c r="J3256" s="377">
        <v>75</v>
      </c>
      <c r="K3256" s="380"/>
      <c r="L3256" s="378"/>
      <c r="M3256" s="380"/>
      <c r="N3256" s="380"/>
      <c r="O3256" s="380"/>
      <c r="P3256" s="380"/>
      <c r="Q3256" s="380"/>
    </row>
    <row r="3257" spans="1:17" x14ac:dyDescent="0.2">
      <c r="A3257" s="334" t="s">
        <v>1727</v>
      </c>
      <c r="B3257" s="380"/>
      <c r="C3257" s="334" t="s">
        <v>307</v>
      </c>
      <c r="D3257" s="377">
        <v>200</v>
      </c>
      <c r="E3257" s="380"/>
      <c r="F3257" s="378"/>
      <c r="G3257" s="380"/>
      <c r="H3257" s="380"/>
      <c r="I3257" s="399"/>
      <c r="J3257" s="377">
        <v>200</v>
      </c>
      <c r="K3257" s="380"/>
      <c r="L3257" s="378"/>
      <c r="M3257" s="380"/>
      <c r="N3257" s="380"/>
      <c r="O3257" s="380"/>
      <c r="P3257" s="380"/>
      <c r="Q3257" s="380"/>
    </row>
    <row r="3258" spans="1:17" x14ac:dyDescent="0.2">
      <c r="A3258" s="334" t="s">
        <v>1728</v>
      </c>
      <c r="B3258" s="380"/>
      <c r="C3258" s="334" t="s">
        <v>310</v>
      </c>
      <c r="D3258" s="377">
        <v>1000</v>
      </c>
      <c r="E3258" s="380"/>
      <c r="F3258" s="378"/>
      <c r="G3258" s="380"/>
      <c r="H3258" s="380"/>
      <c r="I3258" s="399"/>
      <c r="J3258" s="377">
        <v>1000</v>
      </c>
      <c r="K3258" s="380"/>
      <c r="L3258" s="378"/>
      <c r="M3258" s="380"/>
      <c r="N3258" s="380"/>
      <c r="O3258" s="380"/>
      <c r="P3258" s="380"/>
      <c r="Q3258" s="380"/>
    </row>
    <row r="3259" spans="1:17" x14ac:dyDescent="0.2">
      <c r="A3259" s="334" t="s">
        <v>1729</v>
      </c>
      <c r="B3259" s="380"/>
      <c r="C3259" s="380" t="s">
        <v>1551</v>
      </c>
      <c r="D3259" s="377">
        <v>-745</v>
      </c>
      <c r="E3259" s="380"/>
      <c r="F3259" s="378"/>
      <c r="G3259" s="380"/>
      <c r="H3259" s="380"/>
      <c r="I3259" s="399"/>
      <c r="J3259" s="377">
        <v>25</v>
      </c>
      <c r="K3259" s="380"/>
      <c r="L3259" s="378"/>
      <c r="M3259" s="380"/>
      <c r="N3259" s="380"/>
      <c r="O3259" s="380"/>
      <c r="P3259" s="380"/>
      <c r="Q3259" s="380"/>
    </row>
    <row r="3260" spans="1:17" x14ac:dyDescent="0.2">
      <c r="A3260" s="334" t="s">
        <v>1735</v>
      </c>
      <c r="B3260" s="380"/>
      <c r="C3260" s="380" t="s">
        <v>194</v>
      </c>
      <c r="D3260" s="377"/>
      <c r="E3260" s="380"/>
      <c r="F3260" s="378"/>
      <c r="G3260" s="380"/>
      <c r="H3260" s="380"/>
      <c r="I3260" s="399"/>
      <c r="J3260" s="377">
        <v>50</v>
      </c>
      <c r="K3260" s="380"/>
      <c r="L3260" s="378"/>
      <c r="M3260" s="380"/>
      <c r="N3260" s="380"/>
      <c r="O3260" s="380"/>
      <c r="P3260" s="380"/>
      <c r="Q3260" s="380"/>
    </row>
    <row r="3261" spans="1:17" x14ac:dyDescent="0.2">
      <c r="A3261" s="334" t="s">
        <v>1580</v>
      </c>
      <c r="B3261" s="380"/>
      <c r="C3261" s="334" t="s">
        <v>1935</v>
      </c>
      <c r="D3261" s="377"/>
      <c r="E3261" s="380"/>
      <c r="F3261" s="378"/>
      <c r="G3261" s="380"/>
      <c r="H3261" s="380"/>
      <c r="I3261" s="399"/>
      <c r="J3261" s="377">
        <v>100</v>
      </c>
      <c r="K3261" s="380"/>
      <c r="L3261" s="378"/>
      <c r="M3261" s="380"/>
      <c r="N3261" s="380"/>
      <c r="O3261" s="380"/>
      <c r="P3261" s="380"/>
      <c r="Q3261" s="380"/>
    </row>
    <row r="3262" spans="1:17" x14ac:dyDescent="0.2">
      <c r="A3262" s="334" t="s">
        <v>1572</v>
      </c>
      <c r="B3262" s="380"/>
      <c r="C3262" s="334" t="s">
        <v>3134</v>
      </c>
      <c r="D3262" s="377"/>
      <c r="E3262" s="380"/>
      <c r="F3262" s="378"/>
      <c r="G3262" s="380"/>
      <c r="H3262" s="380"/>
      <c r="I3262" s="399"/>
      <c r="J3262" s="377"/>
      <c r="K3262" s="380"/>
      <c r="L3262" s="378"/>
      <c r="M3262" s="380"/>
      <c r="N3262" s="380"/>
      <c r="O3262" s="380"/>
      <c r="P3262" s="380"/>
      <c r="Q3262" s="380"/>
    </row>
    <row r="3263" spans="1:17" x14ac:dyDescent="0.2">
      <c r="A3263" s="384" t="s">
        <v>1730</v>
      </c>
      <c r="B3263" s="380"/>
      <c r="C3263" s="334" t="s">
        <v>1985</v>
      </c>
      <c r="D3263" s="377"/>
      <c r="E3263" s="380"/>
      <c r="F3263" s="378"/>
      <c r="G3263" s="380"/>
      <c r="H3263" s="380"/>
      <c r="I3263" s="399"/>
      <c r="J3263" s="377"/>
      <c r="K3263" s="380"/>
      <c r="L3263" s="378"/>
      <c r="M3263" s="380"/>
      <c r="N3263" s="380"/>
      <c r="O3263" s="380"/>
      <c r="P3263" s="380"/>
      <c r="Q3263" s="380"/>
    </row>
    <row r="3264" spans="1:17" x14ac:dyDescent="0.2">
      <c r="A3264" s="334" t="s">
        <v>1566</v>
      </c>
      <c r="B3264" s="380"/>
      <c r="C3264" s="334" t="s">
        <v>366</v>
      </c>
      <c r="D3264" s="377">
        <v>1600</v>
      </c>
      <c r="E3264" s="380"/>
      <c r="F3264" s="378"/>
      <c r="G3264" s="380"/>
      <c r="H3264" s="380"/>
      <c r="I3264" s="399"/>
      <c r="J3264" s="377">
        <v>1600</v>
      </c>
      <c r="K3264" s="380"/>
      <c r="L3264" s="378"/>
      <c r="M3264" s="380"/>
      <c r="N3264" s="380"/>
      <c r="O3264" s="380"/>
      <c r="P3264" s="380"/>
      <c r="Q3264" s="380"/>
    </row>
    <row r="3265" spans="1:17" x14ac:dyDescent="0.2">
      <c r="A3265" s="334" t="s">
        <v>342</v>
      </c>
      <c r="B3265" s="380"/>
      <c r="C3265" s="334" t="s">
        <v>342</v>
      </c>
      <c r="D3265" s="410" t="s">
        <v>342</v>
      </c>
      <c r="E3265" s="380"/>
      <c r="F3265" s="378"/>
      <c r="G3265" s="380"/>
      <c r="H3265" s="380"/>
      <c r="I3265" s="385"/>
      <c r="J3265" s="410" t="s">
        <v>342</v>
      </c>
      <c r="K3265" s="380"/>
      <c r="L3265" s="378"/>
      <c r="M3265" s="380"/>
      <c r="N3265" s="380"/>
      <c r="O3265" s="380"/>
      <c r="P3265" s="380"/>
      <c r="Q3265" s="380"/>
    </row>
    <row r="3266" spans="1:17" x14ac:dyDescent="0.2">
      <c r="A3266" s="380"/>
      <c r="B3266" s="380"/>
      <c r="C3266" s="380"/>
      <c r="D3266" s="334">
        <f>SUM(D3250:D3264)</f>
        <v>2980</v>
      </c>
      <c r="E3266" s="380"/>
      <c r="F3266" s="378"/>
      <c r="G3266" s="380"/>
      <c r="H3266" s="380"/>
      <c r="I3266" s="385"/>
      <c r="J3266" s="334">
        <f>SUM(J3250:J3264)</f>
        <v>3900</v>
      </c>
      <c r="K3266" s="380"/>
      <c r="L3266" s="378"/>
      <c r="M3266" s="380"/>
      <c r="N3266" s="380"/>
      <c r="O3266" s="380"/>
      <c r="P3266" s="380"/>
      <c r="Q3266" s="380"/>
    </row>
    <row r="3267" spans="1:17" ht="15.75" thickTop="1" x14ac:dyDescent="0.2">
      <c r="A3267" s="380"/>
      <c r="B3267" s="380"/>
      <c r="C3267" s="380"/>
      <c r="D3267" s="395"/>
      <c r="E3267" s="380"/>
      <c r="F3267" s="378"/>
      <c r="G3267" s="380"/>
      <c r="H3267" s="380"/>
      <c r="I3267" s="399"/>
      <c r="J3267" s="395"/>
      <c r="K3267" s="380"/>
      <c r="L3267" s="378"/>
      <c r="M3267" s="380"/>
      <c r="N3267" s="380"/>
      <c r="O3267" s="380"/>
      <c r="P3267" s="380"/>
      <c r="Q3267" s="380"/>
    </row>
    <row r="3268" spans="1:17" x14ac:dyDescent="0.2">
      <c r="A3268" s="334" t="s">
        <v>342</v>
      </c>
      <c r="B3268" s="380"/>
      <c r="C3268" s="334" t="s">
        <v>342</v>
      </c>
      <c r="D3268" s="334" t="s">
        <v>342</v>
      </c>
      <c r="E3268" s="380"/>
      <c r="F3268" s="378"/>
      <c r="G3268" s="380"/>
      <c r="H3268" s="380"/>
      <c r="I3268" s="385"/>
      <c r="J3268" s="334" t="s">
        <v>342</v>
      </c>
      <c r="K3268" s="380"/>
      <c r="L3268" s="378"/>
      <c r="M3268" s="380"/>
      <c r="N3268" s="380"/>
      <c r="O3268" s="380"/>
      <c r="P3268" s="380"/>
      <c r="Q3268" s="380"/>
    </row>
    <row r="3269" spans="1:17" x14ac:dyDescent="0.2">
      <c r="A3269" s="334" t="s">
        <v>342</v>
      </c>
      <c r="B3269" s="380"/>
      <c r="C3269" s="334" t="s">
        <v>342</v>
      </c>
      <c r="D3269" s="334" t="s">
        <v>342</v>
      </c>
      <c r="E3269" s="380"/>
      <c r="F3269" s="378"/>
      <c r="G3269" s="380"/>
      <c r="H3269" s="380"/>
      <c r="I3269" s="385"/>
      <c r="J3269" s="334" t="s">
        <v>342</v>
      </c>
      <c r="K3269" s="380"/>
      <c r="L3269" s="378"/>
      <c r="M3269" s="380"/>
      <c r="N3269" s="380"/>
      <c r="O3269" s="380"/>
      <c r="P3269" s="380"/>
      <c r="Q3269" s="380"/>
    </row>
    <row r="3270" spans="1:17" x14ac:dyDescent="0.2">
      <c r="A3270" s="334" t="s">
        <v>1821</v>
      </c>
      <c r="B3270" s="377"/>
      <c r="C3270" s="377"/>
      <c r="D3270" s="334" t="s">
        <v>342</v>
      </c>
      <c r="E3270" s="377"/>
      <c r="F3270" s="378"/>
      <c r="G3270" s="377"/>
      <c r="H3270" s="377"/>
      <c r="I3270" s="385"/>
      <c r="J3270" s="334" t="s">
        <v>342</v>
      </c>
      <c r="K3270" s="377"/>
      <c r="L3270" s="378"/>
      <c r="M3270" s="377"/>
      <c r="N3270" s="377"/>
      <c r="O3270" s="380"/>
      <c r="P3270" s="380"/>
      <c r="Q3270" s="380"/>
    </row>
    <row r="3271" spans="1:17" x14ac:dyDescent="0.2">
      <c r="A3271" s="334" t="s">
        <v>342</v>
      </c>
      <c r="B3271" s="380"/>
      <c r="C3271" s="384" t="s">
        <v>2157</v>
      </c>
      <c r="D3271" s="380"/>
      <c r="E3271" s="380"/>
      <c r="F3271" s="378"/>
      <c r="G3271" s="380"/>
      <c r="H3271" s="380"/>
      <c r="I3271" s="382"/>
      <c r="J3271" s="380"/>
      <c r="K3271" s="380"/>
      <c r="L3271" s="378"/>
      <c r="M3271" s="380"/>
      <c r="N3271" s="380"/>
      <c r="O3271" s="380"/>
      <c r="P3271" s="380"/>
      <c r="Q3271" s="380"/>
    </row>
    <row r="3272" spans="1:17" x14ac:dyDescent="0.2">
      <c r="A3272" s="380"/>
      <c r="B3272" s="380"/>
      <c r="C3272" s="380"/>
      <c r="D3272" s="380"/>
      <c r="E3272" s="380"/>
      <c r="F3272" s="378"/>
      <c r="G3272" s="380"/>
      <c r="H3272" s="380"/>
      <c r="I3272" s="382"/>
      <c r="J3272" s="380"/>
      <c r="K3272" s="380"/>
      <c r="L3272" s="378"/>
      <c r="M3272" s="380"/>
      <c r="N3272" s="380"/>
      <c r="O3272" s="380"/>
      <c r="P3272" s="380"/>
      <c r="Q3272" s="380"/>
    </row>
    <row r="3273" spans="1:17" x14ac:dyDescent="0.2">
      <c r="A3273" s="334" t="s">
        <v>1723</v>
      </c>
      <c r="B3273" s="380"/>
      <c r="C3273" s="334" t="s">
        <v>1880</v>
      </c>
      <c r="D3273" s="334" t="s">
        <v>181</v>
      </c>
      <c r="E3273" s="380"/>
      <c r="F3273" s="378"/>
      <c r="G3273" s="380"/>
      <c r="H3273" s="380"/>
      <c r="I3273" s="385"/>
      <c r="J3273" s="334" t="s">
        <v>181</v>
      </c>
      <c r="K3273" s="380"/>
      <c r="L3273" s="378"/>
      <c r="M3273" s="380"/>
      <c r="N3273" s="380"/>
      <c r="O3273" s="380"/>
      <c r="P3273" s="380"/>
      <c r="Q3273" s="380"/>
    </row>
    <row r="3274" spans="1:17" x14ac:dyDescent="0.2">
      <c r="A3274" s="380"/>
      <c r="B3274" s="380"/>
      <c r="C3274" s="380"/>
      <c r="D3274" s="380"/>
      <c r="E3274" s="380"/>
      <c r="F3274" s="378"/>
      <c r="G3274" s="380"/>
      <c r="H3274" s="380"/>
      <c r="I3274" s="382"/>
      <c r="J3274" s="380"/>
      <c r="K3274" s="380"/>
      <c r="L3274" s="378"/>
      <c r="M3274" s="380"/>
      <c r="N3274" s="380"/>
      <c r="O3274" s="380"/>
      <c r="P3274" s="380"/>
      <c r="Q3274" s="380"/>
    </row>
    <row r="3275" spans="1:17" x14ac:dyDescent="0.2">
      <c r="A3275" s="334" t="s">
        <v>1724</v>
      </c>
      <c r="B3275" s="380"/>
      <c r="C3275" s="334" t="s">
        <v>1881</v>
      </c>
      <c r="D3275" s="377">
        <v>250</v>
      </c>
      <c r="E3275" s="380"/>
      <c r="F3275" s="378"/>
      <c r="G3275" s="380"/>
      <c r="H3275" s="380"/>
      <c r="I3275" s="399"/>
      <c r="J3275" s="377">
        <v>250</v>
      </c>
      <c r="K3275" s="380"/>
      <c r="L3275" s="378"/>
      <c r="M3275" s="380"/>
      <c r="N3275" s="380"/>
      <c r="O3275" s="380"/>
      <c r="P3275" s="380"/>
      <c r="Q3275" s="380"/>
    </row>
    <row r="3276" spans="1:17" x14ac:dyDescent="0.2">
      <c r="A3276" s="334" t="s">
        <v>1736</v>
      </c>
      <c r="B3276" s="380"/>
      <c r="C3276" s="334" t="s">
        <v>1747</v>
      </c>
      <c r="D3276" s="377">
        <v>250</v>
      </c>
      <c r="E3276" s="380"/>
      <c r="F3276" s="378"/>
      <c r="G3276" s="380"/>
      <c r="H3276" s="380"/>
      <c r="I3276" s="399"/>
      <c r="J3276" s="377">
        <v>250</v>
      </c>
      <c r="K3276" s="380"/>
      <c r="L3276" s="378"/>
      <c r="M3276" s="380"/>
      <c r="N3276" s="380"/>
      <c r="O3276" s="380"/>
      <c r="P3276" s="380"/>
      <c r="Q3276" s="380"/>
    </row>
    <row r="3277" spans="1:17" x14ac:dyDescent="0.2">
      <c r="A3277" s="384" t="s">
        <v>1582</v>
      </c>
      <c r="B3277" s="380"/>
      <c r="C3277" s="334" t="s">
        <v>3135</v>
      </c>
      <c r="D3277" s="377"/>
      <c r="E3277" s="380"/>
      <c r="F3277" s="378"/>
      <c r="G3277" s="380"/>
      <c r="H3277" s="380"/>
      <c r="I3277" s="399"/>
      <c r="J3277" s="377"/>
      <c r="K3277" s="380"/>
      <c r="L3277" s="378"/>
      <c r="M3277" s="380"/>
      <c r="N3277" s="380"/>
      <c r="O3277" s="380"/>
      <c r="P3277" s="380"/>
      <c r="Q3277" s="380"/>
    </row>
    <row r="3278" spans="1:17" x14ac:dyDescent="0.2">
      <c r="A3278" s="334" t="s">
        <v>1725</v>
      </c>
      <c r="B3278" s="380"/>
      <c r="C3278" s="334" t="s">
        <v>1890</v>
      </c>
      <c r="D3278" s="377"/>
      <c r="E3278" s="380"/>
      <c r="F3278" s="378"/>
      <c r="G3278" s="380"/>
      <c r="H3278" s="380"/>
      <c r="I3278" s="399"/>
      <c r="J3278" s="377"/>
      <c r="K3278" s="380"/>
      <c r="L3278" s="378"/>
      <c r="M3278" s="380"/>
      <c r="N3278" s="380"/>
      <c r="O3278" s="380"/>
      <c r="P3278" s="380"/>
      <c r="Q3278" s="380"/>
    </row>
    <row r="3279" spans="1:17" x14ac:dyDescent="0.2">
      <c r="A3279" s="334" t="s">
        <v>1737</v>
      </c>
      <c r="B3279" s="380"/>
      <c r="C3279" s="334" t="s">
        <v>1984</v>
      </c>
      <c r="D3279" s="377">
        <v>150</v>
      </c>
      <c r="E3279" s="380"/>
      <c r="F3279" s="378"/>
      <c r="G3279" s="380"/>
      <c r="H3279" s="380"/>
      <c r="I3279" s="399"/>
      <c r="J3279" s="377">
        <v>150</v>
      </c>
      <c r="K3279" s="380"/>
      <c r="L3279" s="378"/>
      <c r="M3279" s="380"/>
      <c r="N3279" s="380"/>
      <c r="O3279" s="380"/>
      <c r="P3279" s="380"/>
      <c r="Q3279" s="380"/>
    </row>
    <row r="3280" spans="1:17" x14ac:dyDescent="0.2">
      <c r="A3280" s="334" t="s">
        <v>1734</v>
      </c>
      <c r="B3280" s="380"/>
      <c r="C3280" s="334" t="s">
        <v>1746</v>
      </c>
      <c r="D3280" s="377"/>
      <c r="E3280" s="380"/>
      <c r="F3280" s="378"/>
      <c r="G3280" s="380"/>
      <c r="H3280" s="380"/>
      <c r="I3280" s="399"/>
      <c r="J3280" s="377"/>
      <c r="K3280" s="380"/>
      <c r="L3280" s="378"/>
      <c r="M3280" s="380"/>
      <c r="N3280" s="380"/>
      <c r="O3280" s="380"/>
      <c r="P3280" s="380"/>
      <c r="Q3280" s="380"/>
    </row>
    <row r="3281" spans="1:17" x14ac:dyDescent="0.2">
      <c r="A3281" s="334" t="s">
        <v>1571</v>
      </c>
      <c r="B3281" s="380"/>
      <c r="C3281" s="334" t="s">
        <v>3</v>
      </c>
      <c r="D3281" s="377"/>
      <c r="E3281" s="380"/>
      <c r="F3281" s="378"/>
      <c r="G3281" s="380"/>
      <c r="H3281" s="380"/>
      <c r="I3281" s="399"/>
      <c r="J3281" s="377"/>
      <c r="K3281" s="380"/>
      <c r="L3281" s="378"/>
      <c r="M3281" s="380"/>
      <c r="N3281" s="380"/>
      <c r="O3281" s="380"/>
      <c r="P3281" s="380"/>
      <c r="Q3281" s="380"/>
    </row>
    <row r="3282" spans="1:17" x14ac:dyDescent="0.2">
      <c r="A3282" s="334" t="s">
        <v>1738</v>
      </c>
      <c r="B3282" s="380"/>
      <c r="C3282" s="334" t="s">
        <v>1591</v>
      </c>
      <c r="D3282" s="377">
        <v>100</v>
      </c>
      <c r="E3282" s="380"/>
      <c r="F3282" s="378"/>
      <c r="G3282" s="380"/>
      <c r="H3282" s="380"/>
      <c r="I3282" s="399"/>
      <c r="J3282" s="377">
        <v>100</v>
      </c>
      <c r="K3282" s="380"/>
      <c r="L3282" s="378"/>
      <c r="M3282" s="380"/>
      <c r="N3282" s="380"/>
      <c r="O3282" s="380"/>
      <c r="P3282" s="380"/>
      <c r="Q3282" s="380"/>
    </row>
    <row r="3283" spans="1:17" x14ac:dyDescent="0.2">
      <c r="A3283" s="334" t="s">
        <v>1727</v>
      </c>
      <c r="B3283" s="380"/>
      <c r="C3283" s="334" t="s">
        <v>307</v>
      </c>
      <c r="D3283" s="377">
        <v>50</v>
      </c>
      <c r="E3283" s="380"/>
      <c r="F3283" s="378"/>
      <c r="G3283" s="380"/>
      <c r="H3283" s="380"/>
      <c r="I3283" s="399"/>
      <c r="J3283" s="377">
        <v>50</v>
      </c>
      <c r="K3283" s="380"/>
      <c r="L3283" s="378"/>
      <c r="M3283" s="380"/>
      <c r="N3283" s="380"/>
      <c r="O3283" s="380"/>
      <c r="P3283" s="380"/>
      <c r="Q3283" s="380"/>
    </row>
    <row r="3284" spans="1:17" x14ac:dyDescent="0.2">
      <c r="A3284" s="334" t="s">
        <v>1728</v>
      </c>
      <c r="B3284" s="380"/>
      <c r="C3284" s="334" t="s">
        <v>310</v>
      </c>
      <c r="D3284" s="377">
        <v>500</v>
      </c>
      <c r="E3284" s="380"/>
      <c r="F3284" s="378"/>
      <c r="G3284" s="380"/>
      <c r="H3284" s="380"/>
      <c r="I3284" s="399"/>
      <c r="J3284" s="377">
        <v>500</v>
      </c>
      <c r="K3284" s="380"/>
      <c r="L3284" s="378"/>
      <c r="M3284" s="380"/>
      <c r="N3284" s="380"/>
      <c r="O3284" s="380"/>
      <c r="P3284" s="380"/>
      <c r="Q3284" s="380"/>
    </row>
    <row r="3285" spans="1:17" x14ac:dyDescent="0.2">
      <c r="A3285" s="334" t="s">
        <v>1729</v>
      </c>
      <c r="B3285" s="380"/>
      <c r="C3285" s="380" t="s">
        <v>1551</v>
      </c>
      <c r="D3285" s="377">
        <v>-350</v>
      </c>
      <c r="E3285" s="380"/>
      <c r="F3285" s="378"/>
      <c r="G3285" s="380"/>
      <c r="H3285" s="380"/>
      <c r="I3285" s="399"/>
      <c r="J3285" s="377">
        <v>25</v>
      </c>
      <c r="K3285" s="380"/>
      <c r="L3285" s="378"/>
      <c r="M3285" s="380"/>
      <c r="N3285" s="380"/>
      <c r="O3285" s="380"/>
      <c r="P3285" s="380"/>
      <c r="Q3285" s="380"/>
    </row>
    <row r="3286" spans="1:17" x14ac:dyDescent="0.2">
      <c r="A3286" s="334" t="s">
        <v>1735</v>
      </c>
      <c r="B3286" s="380"/>
      <c r="C3286" s="380" t="s">
        <v>194</v>
      </c>
      <c r="D3286" s="377"/>
      <c r="E3286" s="380"/>
      <c r="F3286" s="378"/>
      <c r="G3286" s="380"/>
      <c r="H3286" s="380"/>
      <c r="I3286" s="399"/>
      <c r="J3286" s="377">
        <v>25</v>
      </c>
      <c r="K3286" s="380"/>
      <c r="L3286" s="378"/>
      <c r="M3286" s="380"/>
      <c r="N3286" s="380"/>
      <c r="O3286" s="380"/>
      <c r="P3286" s="380"/>
      <c r="Q3286" s="380"/>
    </row>
    <row r="3287" spans="1:17" x14ac:dyDescent="0.2">
      <c r="A3287" s="334" t="s">
        <v>1572</v>
      </c>
      <c r="B3287" s="380"/>
      <c r="C3287" s="334" t="s">
        <v>3134</v>
      </c>
      <c r="D3287" s="377">
        <v>50</v>
      </c>
      <c r="E3287" s="380"/>
      <c r="F3287" s="378"/>
      <c r="G3287" s="380"/>
      <c r="H3287" s="380"/>
      <c r="I3287" s="399"/>
      <c r="J3287" s="377">
        <v>50</v>
      </c>
      <c r="K3287" s="380"/>
      <c r="L3287" s="378"/>
      <c r="M3287" s="380"/>
      <c r="N3287" s="380"/>
      <c r="O3287" s="380"/>
      <c r="P3287" s="380"/>
      <c r="Q3287" s="380"/>
    </row>
    <row r="3288" spans="1:17" x14ac:dyDescent="0.2">
      <c r="A3288" s="334" t="s">
        <v>1566</v>
      </c>
      <c r="B3288" s="380"/>
      <c r="C3288" s="334" t="s">
        <v>366</v>
      </c>
      <c r="D3288" s="377">
        <v>400</v>
      </c>
      <c r="E3288" s="380"/>
      <c r="F3288" s="378"/>
      <c r="G3288" s="380"/>
      <c r="H3288" s="380"/>
      <c r="I3288" s="399"/>
      <c r="J3288" s="377">
        <v>400</v>
      </c>
      <c r="K3288" s="380"/>
      <c r="L3288" s="378"/>
      <c r="M3288" s="380"/>
      <c r="N3288" s="380"/>
      <c r="O3288" s="380"/>
      <c r="P3288" s="380"/>
      <c r="Q3288" s="380"/>
    </row>
    <row r="3289" spans="1:17" x14ac:dyDescent="0.2">
      <c r="A3289" s="384" t="s">
        <v>1962</v>
      </c>
      <c r="B3289" s="380"/>
      <c r="C3289" s="380" t="s">
        <v>572</v>
      </c>
      <c r="D3289" s="377"/>
      <c r="E3289" s="380"/>
      <c r="F3289" s="378"/>
      <c r="G3289" s="380"/>
      <c r="H3289" s="380"/>
      <c r="I3289" s="399"/>
      <c r="J3289" s="377"/>
      <c r="K3289" s="380"/>
      <c r="L3289" s="378"/>
      <c r="M3289" s="380"/>
      <c r="N3289" s="380"/>
      <c r="O3289" s="380"/>
      <c r="P3289" s="380"/>
      <c r="Q3289" s="380"/>
    </row>
    <row r="3290" spans="1:17" x14ac:dyDescent="0.2">
      <c r="A3290" s="334" t="s">
        <v>342</v>
      </c>
      <c r="B3290" s="380"/>
      <c r="C3290" s="334" t="s">
        <v>342</v>
      </c>
      <c r="D3290" s="410" t="s">
        <v>342</v>
      </c>
      <c r="E3290" s="380"/>
      <c r="F3290" s="378"/>
      <c r="G3290" s="380"/>
      <c r="H3290" s="380"/>
      <c r="I3290" s="385"/>
      <c r="J3290" s="410" t="s">
        <v>342</v>
      </c>
      <c r="K3290" s="380"/>
      <c r="L3290" s="378"/>
      <c r="M3290" s="380"/>
      <c r="N3290" s="380"/>
      <c r="O3290" s="380"/>
      <c r="P3290" s="380"/>
      <c r="Q3290" s="380"/>
    </row>
    <row r="3291" spans="1:17" x14ac:dyDescent="0.2">
      <c r="A3291" s="380"/>
      <c r="B3291" s="380"/>
      <c r="C3291" s="334" t="s">
        <v>342</v>
      </c>
      <c r="D3291" s="334">
        <f>SUM(D3275:D3289)</f>
        <v>1400</v>
      </c>
      <c r="E3291" s="380"/>
      <c r="F3291" s="378"/>
      <c r="G3291" s="380"/>
      <c r="H3291" s="380"/>
      <c r="I3291" s="385"/>
      <c r="J3291" s="334">
        <f>SUM(J3275:J3289)</f>
        <v>1800</v>
      </c>
      <c r="K3291" s="380"/>
      <c r="L3291" s="378"/>
      <c r="M3291" s="380"/>
      <c r="N3291" s="380"/>
      <c r="O3291" s="380"/>
      <c r="P3291" s="380"/>
      <c r="Q3291" s="380"/>
    </row>
    <row r="3292" spans="1:17" ht="15.75" thickTop="1" x14ac:dyDescent="0.2">
      <c r="A3292" s="334" t="s">
        <v>342</v>
      </c>
      <c r="B3292" s="380"/>
      <c r="C3292" s="334" t="s">
        <v>342</v>
      </c>
      <c r="D3292" s="395"/>
      <c r="E3292" s="380"/>
      <c r="F3292" s="378"/>
      <c r="G3292" s="380"/>
      <c r="H3292" s="380"/>
      <c r="I3292" s="399"/>
      <c r="J3292" s="395"/>
      <c r="K3292" s="380"/>
      <c r="L3292" s="378"/>
      <c r="M3292" s="380"/>
      <c r="N3292" s="380"/>
      <c r="O3292" s="380"/>
      <c r="P3292" s="380"/>
      <c r="Q3292" s="380"/>
    </row>
    <row r="3293" spans="1:17" x14ac:dyDescent="0.2">
      <c r="A3293" s="334" t="s">
        <v>342</v>
      </c>
      <c r="B3293" s="380"/>
      <c r="C3293" s="334" t="s">
        <v>342</v>
      </c>
      <c r="D3293" s="334" t="s">
        <v>342</v>
      </c>
      <c r="E3293" s="334" t="s">
        <v>342</v>
      </c>
      <c r="F3293" s="378"/>
      <c r="G3293" s="380"/>
      <c r="H3293" s="380"/>
      <c r="I3293" s="385"/>
      <c r="J3293" s="334" t="s">
        <v>342</v>
      </c>
      <c r="K3293" s="334" t="s">
        <v>342</v>
      </c>
      <c r="L3293" s="378"/>
      <c r="M3293" s="380"/>
      <c r="N3293" s="380"/>
      <c r="O3293" s="380"/>
      <c r="P3293" s="380"/>
      <c r="Q3293" s="380"/>
    </row>
    <row r="3294" spans="1:17" x14ac:dyDescent="0.2">
      <c r="A3294" s="334" t="s">
        <v>342</v>
      </c>
      <c r="B3294" s="380"/>
      <c r="C3294" s="334" t="s">
        <v>342</v>
      </c>
      <c r="D3294" s="334" t="s">
        <v>342</v>
      </c>
      <c r="E3294" s="380"/>
      <c r="F3294" s="378"/>
      <c r="G3294" s="380"/>
      <c r="H3294" s="380"/>
      <c r="I3294" s="385"/>
      <c r="J3294" s="334" t="s">
        <v>342</v>
      </c>
      <c r="K3294" s="380"/>
      <c r="L3294" s="378"/>
      <c r="M3294" s="380"/>
      <c r="N3294" s="380"/>
      <c r="O3294" s="380"/>
      <c r="P3294" s="380"/>
      <c r="Q3294" s="380"/>
    </row>
    <row r="3295" spans="1:17" x14ac:dyDescent="0.2">
      <c r="A3295" s="334" t="s">
        <v>1822</v>
      </c>
      <c r="B3295" s="377"/>
      <c r="C3295" s="377"/>
      <c r="D3295" s="334" t="s">
        <v>1131</v>
      </c>
      <c r="E3295" s="334" t="s">
        <v>231</v>
      </c>
      <c r="F3295" s="378"/>
      <c r="G3295" s="377"/>
      <c r="H3295" s="377"/>
      <c r="I3295" s="385"/>
      <c r="J3295" s="334" t="s">
        <v>1131</v>
      </c>
      <c r="K3295" s="334" t="s">
        <v>231</v>
      </c>
      <c r="L3295" s="378"/>
      <c r="M3295" s="377"/>
      <c r="N3295" s="377"/>
      <c r="O3295" s="380"/>
      <c r="P3295" s="380"/>
      <c r="Q3295" s="380"/>
    </row>
    <row r="3296" spans="1:17" x14ac:dyDescent="0.2">
      <c r="A3296" s="334" t="s">
        <v>342</v>
      </c>
      <c r="B3296" s="380"/>
      <c r="C3296" s="384" t="s">
        <v>2158</v>
      </c>
      <c r="D3296" s="380"/>
      <c r="E3296" s="380"/>
      <c r="F3296" s="378"/>
      <c r="G3296" s="380"/>
      <c r="H3296" s="380"/>
      <c r="I3296" s="382"/>
      <c r="J3296" s="380"/>
      <c r="K3296" s="380"/>
      <c r="L3296" s="378"/>
      <c r="M3296" s="380"/>
      <c r="N3296" s="380"/>
      <c r="O3296" s="380"/>
      <c r="P3296" s="380"/>
      <c r="Q3296" s="380"/>
    </row>
    <row r="3297" spans="1:17" x14ac:dyDescent="0.2">
      <c r="A3297" s="380"/>
      <c r="B3297" s="380"/>
      <c r="C3297" s="380"/>
      <c r="D3297" s="380"/>
      <c r="E3297" s="380"/>
      <c r="F3297" s="378"/>
      <c r="G3297" s="380"/>
      <c r="H3297" s="380"/>
      <c r="I3297" s="382"/>
      <c r="J3297" s="380"/>
      <c r="K3297" s="380"/>
      <c r="L3297" s="378"/>
      <c r="M3297" s="380"/>
      <c r="N3297" s="380"/>
      <c r="O3297" s="380"/>
      <c r="P3297" s="380"/>
      <c r="Q3297" s="380"/>
    </row>
    <row r="3298" spans="1:17" x14ac:dyDescent="0.2">
      <c r="A3298" s="334" t="s">
        <v>1723</v>
      </c>
      <c r="B3298" s="380"/>
      <c r="C3298" s="334" t="s">
        <v>1880</v>
      </c>
      <c r="D3298" s="334"/>
      <c r="E3298" s="378"/>
      <c r="F3298" s="378"/>
      <c r="G3298" s="380"/>
      <c r="H3298" s="380"/>
      <c r="I3298" s="385"/>
      <c r="J3298" s="334"/>
      <c r="K3298" s="380"/>
      <c r="L3298" s="378"/>
      <c r="M3298" s="380"/>
      <c r="N3298" s="380"/>
      <c r="O3298" s="380"/>
      <c r="P3298" s="380"/>
      <c r="Q3298" s="380"/>
    </row>
    <row r="3299" spans="1:17" x14ac:dyDescent="0.2">
      <c r="A3299" s="334"/>
      <c r="B3299" s="380"/>
      <c r="C3299" s="334"/>
      <c r="D3299" s="380" t="s">
        <v>343</v>
      </c>
      <c r="E3299" s="378"/>
      <c r="F3299" s="378"/>
      <c r="G3299" s="380"/>
      <c r="H3299" s="380"/>
      <c r="I3299" s="462"/>
      <c r="J3299" s="380" t="s">
        <v>343</v>
      </c>
      <c r="K3299" s="380"/>
      <c r="L3299" s="378"/>
      <c r="M3299" s="380"/>
      <c r="N3299" s="380"/>
      <c r="O3299" s="380"/>
      <c r="P3299" s="380"/>
      <c r="Q3299" s="380"/>
    </row>
    <row r="3300" spans="1:17" x14ac:dyDescent="0.2">
      <c r="A3300" s="334" t="s">
        <v>342</v>
      </c>
      <c r="B3300" s="380"/>
      <c r="C3300" s="334" t="s">
        <v>342</v>
      </c>
      <c r="D3300" s="380"/>
      <c r="E3300" s="378"/>
      <c r="F3300" s="378"/>
      <c r="G3300" s="380"/>
      <c r="H3300" s="380"/>
      <c r="I3300" s="385"/>
      <c r="J3300" s="380"/>
      <c r="K3300" s="380"/>
      <c r="L3300" s="378"/>
      <c r="M3300" s="380"/>
      <c r="N3300" s="380"/>
      <c r="O3300" s="380"/>
      <c r="P3300" s="380"/>
      <c r="Q3300" s="380"/>
    </row>
    <row r="3301" spans="1:17" x14ac:dyDescent="0.2">
      <c r="A3301" s="334" t="s">
        <v>1724</v>
      </c>
      <c r="B3301" s="380"/>
      <c r="C3301" s="334" t="s">
        <v>1881</v>
      </c>
      <c r="D3301" s="377">
        <v>300</v>
      </c>
      <c r="E3301" s="378"/>
      <c r="F3301" s="378"/>
      <c r="G3301" s="377"/>
      <c r="H3301" s="380"/>
      <c r="I3301" s="399"/>
      <c r="J3301" s="377">
        <v>300</v>
      </c>
      <c r="K3301" s="377"/>
      <c r="L3301" s="378"/>
      <c r="M3301" s="377"/>
      <c r="N3301" s="380"/>
      <c r="O3301" s="380"/>
      <c r="P3301" s="380"/>
      <c r="Q3301" s="380"/>
    </row>
    <row r="3302" spans="1:17" x14ac:dyDescent="0.2">
      <c r="A3302" s="334" t="s">
        <v>1736</v>
      </c>
      <c r="B3302" s="380"/>
      <c r="C3302" s="334" t="s">
        <v>1747</v>
      </c>
      <c r="D3302" s="377">
        <v>100</v>
      </c>
      <c r="E3302" s="378"/>
      <c r="F3302" s="378"/>
      <c r="G3302" s="377"/>
      <c r="H3302" s="380"/>
      <c r="I3302" s="399"/>
      <c r="J3302" s="377">
        <v>100</v>
      </c>
      <c r="K3302" s="377"/>
      <c r="L3302" s="378"/>
      <c r="M3302" s="377"/>
      <c r="N3302" s="380"/>
      <c r="O3302" s="380"/>
      <c r="P3302" s="380"/>
      <c r="Q3302" s="380"/>
    </row>
    <row r="3303" spans="1:17" x14ac:dyDescent="0.2">
      <c r="A3303" s="334" t="s">
        <v>1744</v>
      </c>
      <c r="B3303" s="380"/>
      <c r="C3303" s="334" t="s">
        <v>1254</v>
      </c>
      <c r="D3303" s="377"/>
      <c r="E3303" s="378"/>
      <c r="F3303" s="378"/>
      <c r="G3303" s="377"/>
      <c r="H3303" s="380"/>
      <c r="I3303" s="399"/>
      <c r="J3303" s="377"/>
      <c r="K3303" s="377"/>
      <c r="L3303" s="378"/>
      <c r="M3303" s="377"/>
      <c r="N3303" s="380"/>
      <c r="O3303" s="380"/>
      <c r="P3303" s="380"/>
      <c r="Q3303" s="380"/>
    </row>
    <row r="3304" spans="1:17" x14ac:dyDescent="0.2">
      <c r="A3304" s="334" t="s">
        <v>1725</v>
      </c>
      <c r="B3304" s="380"/>
      <c r="C3304" s="334" t="s">
        <v>1890</v>
      </c>
      <c r="D3304" s="377">
        <v>300</v>
      </c>
      <c r="E3304" s="378"/>
      <c r="F3304" s="378"/>
      <c r="G3304" s="377"/>
      <c r="H3304" s="380"/>
      <c r="I3304" s="399"/>
      <c r="J3304" s="377">
        <v>300</v>
      </c>
      <c r="K3304" s="377"/>
      <c r="L3304" s="378"/>
      <c r="M3304" s="377"/>
      <c r="N3304" s="380"/>
      <c r="O3304" s="380"/>
      <c r="P3304" s="380"/>
      <c r="Q3304" s="380"/>
    </row>
    <row r="3305" spans="1:17" x14ac:dyDescent="0.2">
      <c r="A3305" s="334" t="s">
        <v>1737</v>
      </c>
      <c r="B3305" s="380"/>
      <c r="C3305" s="334" t="s">
        <v>1984</v>
      </c>
      <c r="D3305" s="377">
        <v>200</v>
      </c>
      <c r="E3305" s="378"/>
      <c r="F3305" s="378"/>
      <c r="G3305" s="377"/>
      <c r="H3305" s="380"/>
      <c r="I3305" s="399"/>
      <c r="J3305" s="377">
        <v>200</v>
      </c>
      <c r="K3305" s="377"/>
      <c r="L3305" s="378"/>
      <c r="M3305" s="377"/>
      <c r="N3305" s="380"/>
      <c r="O3305" s="380"/>
      <c r="P3305" s="380"/>
      <c r="Q3305" s="380"/>
    </row>
    <row r="3306" spans="1:17" x14ac:dyDescent="0.2">
      <c r="A3306" s="334" t="s">
        <v>1726</v>
      </c>
      <c r="B3306" s="380"/>
      <c r="C3306" s="334" t="s">
        <v>1117</v>
      </c>
      <c r="D3306" s="377"/>
      <c r="E3306" s="378"/>
      <c r="F3306" s="378"/>
      <c r="G3306" s="377"/>
      <c r="H3306" s="380"/>
      <c r="I3306" s="399"/>
      <c r="J3306" s="377"/>
      <c r="K3306" s="377"/>
      <c r="L3306" s="378"/>
      <c r="M3306" s="377"/>
      <c r="N3306" s="380"/>
      <c r="O3306" s="380"/>
      <c r="P3306" s="380"/>
      <c r="Q3306" s="380"/>
    </row>
    <row r="3307" spans="1:17" x14ac:dyDescent="0.2">
      <c r="A3307" s="334" t="s">
        <v>1734</v>
      </c>
      <c r="B3307" s="380"/>
      <c r="C3307" s="334" t="s">
        <v>1746</v>
      </c>
      <c r="D3307" s="377"/>
      <c r="E3307" s="378"/>
      <c r="F3307" s="378"/>
      <c r="G3307" s="377"/>
      <c r="H3307" s="380"/>
      <c r="I3307" s="399"/>
      <c r="J3307" s="377"/>
      <c r="K3307" s="377"/>
      <c r="L3307" s="378"/>
      <c r="M3307" s="377"/>
      <c r="N3307" s="380"/>
      <c r="O3307" s="380"/>
      <c r="P3307" s="380"/>
      <c r="Q3307" s="380"/>
    </row>
    <row r="3308" spans="1:17" x14ac:dyDescent="0.2">
      <c r="A3308" s="334" t="s">
        <v>1571</v>
      </c>
      <c r="B3308" s="380"/>
      <c r="C3308" s="334" t="s">
        <v>3</v>
      </c>
      <c r="D3308" s="377"/>
      <c r="E3308" s="378"/>
      <c r="F3308" s="378"/>
      <c r="G3308" s="377"/>
      <c r="H3308" s="380"/>
      <c r="I3308" s="399"/>
      <c r="J3308" s="377"/>
      <c r="K3308" s="377"/>
      <c r="L3308" s="378"/>
      <c r="M3308" s="377"/>
      <c r="N3308" s="380"/>
      <c r="O3308" s="380"/>
      <c r="P3308" s="380"/>
      <c r="Q3308" s="380"/>
    </row>
    <row r="3309" spans="1:17" x14ac:dyDescent="0.2">
      <c r="A3309" s="334" t="s">
        <v>1738</v>
      </c>
      <c r="B3309" s="380"/>
      <c r="C3309" s="334" t="s">
        <v>1591</v>
      </c>
      <c r="D3309" s="377">
        <v>250</v>
      </c>
      <c r="E3309" s="378"/>
      <c r="F3309" s="378"/>
      <c r="G3309" s="377"/>
      <c r="H3309" s="380"/>
      <c r="I3309" s="399"/>
      <c r="J3309" s="377">
        <v>250</v>
      </c>
      <c r="K3309" s="377"/>
      <c r="L3309" s="378"/>
      <c r="M3309" s="377"/>
      <c r="N3309" s="380"/>
      <c r="O3309" s="380"/>
      <c r="P3309" s="380"/>
      <c r="Q3309" s="380"/>
    </row>
    <row r="3310" spans="1:17" x14ac:dyDescent="0.2">
      <c r="A3310" s="334" t="s">
        <v>1727</v>
      </c>
      <c r="B3310" s="380"/>
      <c r="C3310" s="334" t="s">
        <v>307</v>
      </c>
      <c r="D3310" s="377">
        <v>400</v>
      </c>
      <c r="E3310" s="378"/>
      <c r="F3310" s="378"/>
      <c r="G3310" s="377"/>
      <c r="H3310" s="380"/>
      <c r="I3310" s="399"/>
      <c r="J3310" s="377">
        <v>400</v>
      </c>
      <c r="K3310" s="377"/>
      <c r="L3310" s="378"/>
      <c r="M3310" s="377"/>
      <c r="N3310" s="380"/>
      <c r="O3310" s="380"/>
      <c r="P3310" s="380"/>
      <c r="Q3310" s="380"/>
    </row>
    <row r="3311" spans="1:17" x14ac:dyDescent="0.2">
      <c r="A3311" s="334" t="s">
        <v>1728</v>
      </c>
      <c r="B3311" s="380"/>
      <c r="C3311" s="334" t="s">
        <v>310</v>
      </c>
      <c r="D3311" s="377">
        <v>850</v>
      </c>
      <c r="E3311" s="378"/>
      <c r="F3311" s="378"/>
      <c r="G3311" s="377"/>
      <c r="H3311" s="380"/>
      <c r="I3311" s="399"/>
      <c r="J3311" s="377">
        <v>850</v>
      </c>
      <c r="K3311" s="377"/>
      <c r="L3311" s="378"/>
      <c r="M3311" s="377"/>
      <c r="N3311" s="380"/>
      <c r="O3311" s="380"/>
      <c r="P3311" s="380"/>
      <c r="Q3311" s="380"/>
    </row>
    <row r="3312" spans="1:17" x14ac:dyDescent="0.2">
      <c r="A3312" s="334" t="s">
        <v>1729</v>
      </c>
      <c r="B3312" s="380"/>
      <c r="C3312" s="380" t="s">
        <v>1551</v>
      </c>
      <c r="D3312" s="377">
        <v>-640</v>
      </c>
      <c r="E3312" s="378"/>
      <c r="F3312" s="378"/>
      <c r="G3312" s="377"/>
      <c r="H3312" s="380"/>
      <c r="I3312" s="399"/>
      <c r="J3312" s="377">
        <v>25</v>
      </c>
      <c r="K3312" s="377"/>
      <c r="L3312" s="378"/>
      <c r="M3312" s="377"/>
      <c r="N3312" s="380"/>
      <c r="O3312" s="380"/>
      <c r="P3312" s="380"/>
      <c r="Q3312" s="380"/>
    </row>
    <row r="3313" spans="1:17" x14ac:dyDescent="0.2">
      <c r="A3313" s="334" t="s">
        <v>1735</v>
      </c>
      <c r="B3313" s="380"/>
      <c r="C3313" s="380" t="s">
        <v>194</v>
      </c>
      <c r="D3313" s="377"/>
      <c r="E3313" s="378"/>
      <c r="F3313" s="378"/>
      <c r="G3313" s="377"/>
      <c r="H3313" s="380"/>
      <c r="I3313" s="399"/>
      <c r="J3313" s="377">
        <v>50</v>
      </c>
      <c r="K3313" s="377"/>
      <c r="L3313" s="378"/>
      <c r="M3313" s="377"/>
      <c r="N3313" s="380"/>
      <c r="O3313" s="380"/>
      <c r="P3313" s="380"/>
      <c r="Q3313" s="380"/>
    </row>
    <row r="3314" spans="1:17" x14ac:dyDescent="0.2">
      <c r="A3314" s="384" t="s">
        <v>1580</v>
      </c>
      <c r="B3314" s="380"/>
      <c r="C3314" s="334" t="s">
        <v>1935</v>
      </c>
      <c r="D3314" s="377"/>
      <c r="E3314" s="378"/>
      <c r="F3314" s="378"/>
      <c r="G3314" s="377"/>
      <c r="H3314" s="380"/>
      <c r="I3314" s="399"/>
      <c r="J3314" s="377"/>
      <c r="K3314" s="377"/>
      <c r="L3314" s="378"/>
      <c r="M3314" s="377"/>
      <c r="N3314" s="380"/>
      <c r="O3314" s="380"/>
      <c r="P3314" s="380"/>
      <c r="Q3314" s="380"/>
    </row>
    <row r="3315" spans="1:17" x14ac:dyDescent="0.2">
      <c r="A3315" s="334" t="s">
        <v>1572</v>
      </c>
      <c r="B3315" s="380"/>
      <c r="C3315" s="334" t="s">
        <v>3134</v>
      </c>
      <c r="D3315" s="377"/>
      <c r="E3315" s="378"/>
      <c r="F3315" s="378"/>
      <c r="G3315" s="377"/>
      <c r="H3315" s="380"/>
      <c r="I3315" s="399"/>
      <c r="J3315" s="377"/>
      <c r="K3315" s="377"/>
      <c r="L3315" s="378"/>
      <c r="M3315" s="377"/>
      <c r="N3315" s="380"/>
      <c r="O3315" s="380"/>
      <c r="P3315" s="380"/>
      <c r="Q3315" s="380"/>
    </row>
    <row r="3316" spans="1:17" x14ac:dyDescent="0.2">
      <c r="A3316" s="334" t="s">
        <v>1730</v>
      </c>
      <c r="B3316" s="380"/>
      <c r="C3316" s="334" t="s">
        <v>1985</v>
      </c>
      <c r="D3316" s="377"/>
      <c r="E3316" s="378"/>
      <c r="F3316" s="378"/>
      <c r="G3316" s="377"/>
      <c r="H3316" s="380"/>
      <c r="I3316" s="399"/>
      <c r="J3316" s="377"/>
      <c r="K3316" s="377"/>
      <c r="L3316" s="378"/>
      <c r="M3316" s="377"/>
      <c r="N3316" s="380"/>
      <c r="O3316" s="380"/>
      <c r="P3316" s="380"/>
      <c r="Q3316" s="380"/>
    </row>
    <row r="3317" spans="1:17" x14ac:dyDescent="0.2">
      <c r="A3317" s="334" t="s">
        <v>1566</v>
      </c>
      <c r="B3317" s="380"/>
      <c r="C3317" s="334" t="s">
        <v>366</v>
      </c>
      <c r="D3317" s="377">
        <v>800</v>
      </c>
      <c r="E3317" s="378"/>
      <c r="F3317" s="378"/>
      <c r="G3317" s="377"/>
      <c r="H3317" s="380"/>
      <c r="I3317" s="399"/>
      <c r="J3317" s="377">
        <v>800</v>
      </c>
      <c r="K3317" s="399"/>
      <c r="L3317" s="378"/>
      <c r="M3317" s="377"/>
      <c r="N3317" s="380"/>
      <c r="O3317" s="380"/>
      <c r="P3317" s="380"/>
      <c r="Q3317" s="380"/>
    </row>
    <row r="3318" spans="1:17" x14ac:dyDescent="0.2">
      <c r="A3318" s="384" t="s">
        <v>1962</v>
      </c>
      <c r="B3318" s="380"/>
      <c r="C3318" s="380" t="s">
        <v>572</v>
      </c>
      <c r="D3318" s="377"/>
      <c r="E3318" s="416"/>
      <c r="F3318" s="416"/>
      <c r="G3318" s="399"/>
      <c r="H3318" s="380"/>
      <c r="I3318" s="399"/>
      <c r="J3318" s="377"/>
      <c r="K3318" s="399"/>
      <c r="L3318" s="416"/>
      <c r="M3318" s="399"/>
      <c r="N3318" s="380"/>
      <c r="O3318" s="380"/>
      <c r="P3318" s="380"/>
      <c r="Q3318" s="380"/>
    </row>
    <row r="3319" spans="1:17" x14ac:dyDescent="0.2">
      <c r="A3319" s="334" t="s">
        <v>342</v>
      </c>
      <c r="B3319" s="380"/>
      <c r="C3319" s="334" t="s">
        <v>342</v>
      </c>
      <c r="D3319" s="394"/>
      <c r="E3319" s="416"/>
      <c r="F3319" s="416"/>
      <c r="G3319" s="399"/>
      <c r="H3319" s="380"/>
      <c r="I3319" s="385"/>
      <c r="J3319" s="394"/>
      <c r="K3319" s="399"/>
      <c r="L3319" s="416"/>
      <c r="M3319" s="399"/>
      <c r="N3319" s="380"/>
      <c r="O3319" s="380"/>
      <c r="P3319" s="380"/>
      <c r="Q3319" s="380"/>
    </row>
    <row r="3320" spans="1:17" x14ac:dyDescent="0.2">
      <c r="A3320" s="380"/>
      <c r="B3320" s="380"/>
      <c r="C3320" s="334" t="s">
        <v>342</v>
      </c>
      <c r="D3320" s="334">
        <f>SUM(D3301:D3318)</f>
        <v>2560</v>
      </c>
      <c r="E3320" s="415"/>
      <c r="F3320" s="415"/>
      <c r="G3320" s="385"/>
      <c r="H3320" s="380"/>
      <c r="I3320" s="385"/>
      <c r="J3320" s="334">
        <f>SUM(J3301:J3318)</f>
        <v>3275</v>
      </c>
      <c r="K3320" s="385"/>
      <c r="L3320" s="415"/>
      <c r="M3320" s="385"/>
      <c r="N3320" s="380"/>
      <c r="O3320" s="380"/>
      <c r="P3320" s="380"/>
      <c r="Q3320" s="380"/>
    </row>
    <row r="3321" spans="1:17" ht="15.75" thickTop="1" x14ac:dyDescent="0.2">
      <c r="A3321" s="380"/>
      <c r="B3321" s="380"/>
      <c r="C3321" s="380"/>
      <c r="D3321" s="395"/>
      <c r="E3321" s="416"/>
      <c r="F3321" s="416"/>
      <c r="G3321" s="399"/>
      <c r="H3321" s="380"/>
      <c r="I3321" s="399"/>
      <c r="J3321" s="395"/>
      <c r="K3321" s="399"/>
      <c r="L3321" s="416"/>
      <c r="M3321" s="399"/>
      <c r="N3321" s="380"/>
      <c r="O3321" s="380"/>
      <c r="P3321" s="380"/>
      <c r="Q3321" s="380"/>
    </row>
    <row r="3322" spans="1:17" x14ac:dyDescent="0.2">
      <c r="A3322" s="380"/>
      <c r="B3322" s="380"/>
      <c r="C3322" s="380"/>
      <c r="D3322" s="380"/>
      <c r="E3322" s="380"/>
      <c r="F3322" s="378"/>
      <c r="G3322" s="380"/>
      <c r="H3322" s="380"/>
      <c r="I3322" s="382"/>
      <c r="J3322" s="380"/>
      <c r="K3322" s="382"/>
      <c r="L3322" s="378"/>
      <c r="M3322" s="380"/>
      <c r="N3322" s="380"/>
      <c r="O3322" s="380"/>
      <c r="P3322" s="380"/>
      <c r="Q3322" s="380"/>
    </row>
    <row r="3323" spans="1:17" x14ac:dyDescent="0.2">
      <c r="A3323" s="380"/>
      <c r="B3323" s="380"/>
      <c r="C3323" s="380"/>
      <c r="D3323" s="380"/>
      <c r="E3323" s="380"/>
      <c r="F3323" s="378"/>
      <c r="G3323" s="380"/>
      <c r="H3323" s="380"/>
      <c r="I3323" s="382"/>
      <c r="J3323" s="380"/>
      <c r="K3323" s="382"/>
      <c r="L3323" s="378"/>
      <c r="M3323" s="380"/>
      <c r="N3323" s="380"/>
      <c r="O3323" s="380"/>
      <c r="P3323" s="380"/>
      <c r="Q3323" s="380"/>
    </row>
    <row r="3324" spans="1:17" x14ac:dyDescent="0.2">
      <c r="A3324" s="334" t="s">
        <v>1823</v>
      </c>
      <c r="B3324" s="377"/>
      <c r="C3324" s="377"/>
      <c r="D3324" s="334" t="s">
        <v>342</v>
      </c>
      <c r="E3324" s="377"/>
      <c r="F3324" s="378"/>
      <c r="G3324" s="377"/>
      <c r="H3324" s="377"/>
      <c r="I3324" s="385"/>
      <c r="J3324" s="334" t="s">
        <v>342</v>
      </c>
      <c r="K3324" s="377"/>
      <c r="L3324" s="378"/>
      <c r="M3324" s="377"/>
      <c r="N3324" s="377"/>
      <c r="O3324" s="380"/>
      <c r="P3324" s="380"/>
      <c r="Q3324" s="380"/>
    </row>
    <row r="3325" spans="1:17" x14ac:dyDescent="0.2">
      <c r="A3325" s="334" t="s">
        <v>342</v>
      </c>
      <c r="B3325" s="380"/>
      <c r="C3325" s="384" t="s">
        <v>2159</v>
      </c>
      <c r="D3325" s="380"/>
      <c r="E3325" s="380"/>
      <c r="F3325" s="378"/>
      <c r="G3325" s="380"/>
      <c r="H3325" s="380"/>
      <c r="I3325" s="382"/>
      <c r="J3325" s="380"/>
      <c r="K3325" s="380"/>
      <c r="L3325" s="378"/>
      <c r="M3325" s="380"/>
      <c r="N3325" s="380"/>
      <c r="O3325" s="380"/>
      <c r="P3325" s="380"/>
      <c r="Q3325" s="380"/>
    </row>
    <row r="3326" spans="1:17" x14ac:dyDescent="0.2">
      <c r="A3326" s="380"/>
      <c r="B3326" s="380"/>
      <c r="C3326" s="380"/>
      <c r="D3326" s="380"/>
      <c r="E3326" s="380"/>
      <c r="F3326" s="378"/>
      <c r="G3326" s="380"/>
      <c r="H3326" s="380"/>
      <c r="I3326" s="382"/>
      <c r="J3326" s="380"/>
      <c r="K3326" s="380"/>
      <c r="L3326" s="378"/>
      <c r="M3326" s="380"/>
      <c r="N3326" s="380"/>
      <c r="O3326" s="380"/>
      <c r="P3326" s="380"/>
      <c r="Q3326" s="380"/>
    </row>
    <row r="3327" spans="1:17" x14ac:dyDescent="0.2">
      <c r="A3327" s="334" t="s">
        <v>1723</v>
      </c>
      <c r="B3327" s="380"/>
      <c r="C3327" s="334" t="s">
        <v>1880</v>
      </c>
      <c r="D3327" s="334" t="s">
        <v>181</v>
      </c>
      <c r="E3327" s="380"/>
      <c r="F3327" s="378"/>
      <c r="G3327" s="380"/>
      <c r="H3327" s="380"/>
      <c r="I3327" s="385"/>
      <c r="J3327" s="334" t="s">
        <v>181</v>
      </c>
      <c r="K3327" s="380"/>
      <c r="L3327" s="378"/>
      <c r="M3327" s="380"/>
      <c r="N3327" s="380"/>
      <c r="O3327" s="380"/>
      <c r="P3327" s="380"/>
      <c r="Q3327" s="380"/>
    </row>
    <row r="3328" spans="1:17" x14ac:dyDescent="0.2">
      <c r="A3328" s="334" t="s">
        <v>342</v>
      </c>
      <c r="B3328" s="380"/>
      <c r="C3328" s="334" t="s">
        <v>342</v>
      </c>
      <c r="D3328" s="334" t="s">
        <v>342</v>
      </c>
      <c r="E3328" s="380"/>
      <c r="F3328" s="378"/>
      <c r="G3328" s="380"/>
      <c r="H3328" s="380"/>
      <c r="I3328" s="385"/>
      <c r="J3328" s="334" t="s">
        <v>342</v>
      </c>
      <c r="K3328" s="380"/>
      <c r="L3328" s="378"/>
      <c r="M3328" s="380"/>
      <c r="N3328" s="380"/>
      <c r="O3328" s="380"/>
      <c r="P3328" s="380"/>
      <c r="Q3328" s="380"/>
    </row>
    <row r="3329" spans="1:17" x14ac:dyDescent="0.2">
      <c r="A3329" s="334" t="s">
        <v>1724</v>
      </c>
      <c r="B3329" s="380"/>
      <c r="C3329" s="334" t="s">
        <v>1881</v>
      </c>
      <c r="D3329" s="377">
        <v>400</v>
      </c>
      <c r="E3329" s="380"/>
      <c r="F3329" s="378"/>
      <c r="G3329" s="380"/>
      <c r="H3329" s="380"/>
      <c r="I3329" s="399"/>
      <c r="J3329" s="377">
        <v>400</v>
      </c>
      <c r="K3329" s="380"/>
      <c r="L3329" s="378"/>
      <c r="M3329" s="380"/>
      <c r="N3329" s="380"/>
      <c r="O3329" s="380"/>
      <c r="P3329" s="380"/>
      <c r="Q3329" s="380"/>
    </row>
    <row r="3330" spans="1:17" x14ac:dyDescent="0.2">
      <c r="A3330" s="334" t="s">
        <v>1736</v>
      </c>
      <c r="B3330" s="380"/>
      <c r="C3330" s="334" t="s">
        <v>1747</v>
      </c>
      <c r="D3330" s="377"/>
      <c r="E3330" s="380"/>
      <c r="F3330" s="378"/>
      <c r="G3330" s="380"/>
      <c r="H3330" s="380"/>
      <c r="I3330" s="399"/>
      <c r="J3330" s="377"/>
      <c r="K3330" s="380"/>
      <c r="L3330" s="378"/>
      <c r="M3330" s="380"/>
      <c r="N3330" s="380"/>
      <c r="O3330" s="380"/>
      <c r="P3330" s="380"/>
      <c r="Q3330" s="380"/>
    </row>
    <row r="3331" spans="1:17" x14ac:dyDescent="0.2">
      <c r="A3331" s="334" t="s">
        <v>1582</v>
      </c>
      <c r="B3331" s="380"/>
      <c r="C3331" s="334" t="s">
        <v>3135</v>
      </c>
      <c r="D3331" s="377"/>
      <c r="E3331" s="380"/>
      <c r="F3331" s="378"/>
      <c r="G3331" s="380"/>
      <c r="H3331" s="380"/>
      <c r="I3331" s="399"/>
      <c r="J3331" s="377"/>
      <c r="K3331" s="380"/>
      <c r="L3331" s="378"/>
      <c r="M3331" s="380"/>
      <c r="N3331" s="380"/>
      <c r="O3331" s="380"/>
      <c r="P3331" s="380"/>
      <c r="Q3331" s="380"/>
    </row>
    <row r="3332" spans="1:17" x14ac:dyDescent="0.2">
      <c r="A3332" s="334" t="s">
        <v>1725</v>
      </c>
      <c r="B3332" s="380"/>
      <c r="C3332" s="334" t="s">
        <v>1890</v>
      </c>
      <c r="D3332" s="377"/>
      <c r="E3332" s="380"/>
      <c r="F3332" s="378"/>
      <c r="G3332" s="380"/>
      <c r="H3332" s="380"/>
      <c r="I3332" s="399"/>
      <c r="J3332" s="377"/>
      <c r="K3332" s="380"/>
      <c r="L3332" s="378"/>
      <c r="M3332" s="380"/>
      <c r="N3332" s="380"/>
      <c r="O3332" s="380"/>
      <c r="P3332" s="380"/>
      <c r="Q3332" s="380"/>
    </row>
    <row r="3333" spans="1:17" x14ac:dyDescent="0.2">
      <c r="A3333" s="334" t="s">
        <v>1737</v>
      </c>
      <c r="B3333" s="380"/>
      <c r="C3333" s="334" t="s">
        <v>1984</v>
      </c>
      <c r="D3333" s="377">
        <v>150</v>
      </c>
      <c r="E3333" s="380"/>
      <c r="F3333" s="378"/>
      <c r="G3333" s="380"/>
      <c r="H3333" s="380"/>
      <c r="I3333" s="399"/>
      <c r="J3333" s="377">
        <v>150</v>
      </c>
      <c r="K3333" s="380"/>
      <c r="L3333" s="378"/>
      <c r="M3333" s="380"/>
      <c r="N3333" s="380"/>
      <c r="O3333" s="380"/>
      <c r="P3333" s="380"/>
      <c r="Q3333" s="380"/>
    </row>
    <row r="3334" spans="1:17" x14ac:dyDescent="0.2">
      <c r="A3334" s="334" t="s">
        <v>1738</v>
      </c>
      <c r="B3334" s="380"/>
      <c r="C3334" s="334" t="s">
        <v>1591</v>
      </c>
      <c r="D3334" s="377">
        <v>100</v>
      </c>
      <c r="E3334" s="334" t="s">
        <v>342</v>
      </c>
      <c r="F3334" s="378"/>
      <c r="G3334" s="380"/>
      <c r="H3334" s="380"/>
      <c r="I3334" s="399"/>
      <c r="J3334" s="377">
        <v>100</v>
      </c>
      <c r="K3334" s="334" t="s">
        <v>342</v>
      </c>
      <c r="L3334" s="378"/>
      <c r="M3334" s="380"/>
      <c r="N3334" s="380"/>
      <c r="O3334" s="380"/>
      <c r="P3334" s="380"/>
      <c r="Q3334" s="380"/>
    </row>
    <row r="3335" spans="1:17" x14ac:dyDescent="0.2">
      <c r="A3335" s="334" t="s">
        <v>1727</v>
      </c>
      <c r="B3335" s="380"/>
      <c r="C3335" s="334" t="s">
        <v>307</v>
      </c>
      <c r="D3335" s="377">
        <v>200</v>
      </c>
      <c r="E3335" s="380"/>
      <c r="F3335" s="378"/>
      <c r="G3335" s="380"/>
      <c r="H3335" s="380"/>
      <c r="I3335" s="399"/>
      <c r="J3335" s="377">
        <v>200</v>
      </c>
      <c r="K3335" s="380"/>
      <c r="L3335" s="378"/>
      <c r="M3335" s="380"/>
      <c r="N3335" s="380"/>
      <c r="O3335" s="380"/>
      <c r="P3335" s="380"/>
      <c r="Q3335" s="380"/>
    </row>
    <row r="3336" spans="1:17" x14ac:dyDescent="0.2">
      <c r="A3336" s="334" t="s">
        <v>1728</v>
      </c>
      <c r="B3336" s="380"/>
      <c r="C3336" s="334" t="s">
        <v>310</v>
      </c>
      <c r="D3336" s="377">
        <v>800</v>
      </c>
      <c r="E3336" s="380"/>
      <c r="F3336" s="378"/>
      <c r="G3336" s="380"/>
      <c r="H3336" s="380"/>
      <c r="I3336" s="399"/>
      <c r="J3336" s="377">
        <v>800</v>
      </c>
      <c r="K3336" s="380"/>
      <c r="L3336" s="378"/>
      <c r="M3336" s="380"/>
      <c r="N3336" s="380"/>
      <c r="O3336" s="380"/>
      <c r="P3336" s="380"/>
      <c r="Q3336" s="380"/>
    </row>
    <row r="3337" spans="1:17" x14ac:dyDescent="0.2">
      <c r="A3337" s="334" t="s">
        <v>1729</v>
      </c>
      <c r="B3337" s="380"/>
      <c r="C3337" s="380" t="s">
        <v>1551</v>
      </c>
      <c r="D3337" s="377">
        <v>-510</v>
      </c>
      <c r="E3337" s="380"/>
      <c r="F3337" s="378"/>
      <c r="G3337" s="380"/>
      <c r="H3337" s="380"/>
      <c r="I3337" s="399"/>
      <c r="J3337" s="377">
        <v>40</v>
      </c>
      <c r="K3337" s="380"/>
      <c r="L3337" s="378"/>
      <c r="M3337" s="380"/>
      <c r="N3337" s="380"/>
      <c r="O3337" s="380"/>
      <c r="P3337" s="380"/>
      <c r="Q3337" s="380"/>
    </row>
    <row r="3338" spans="1:17" x14ac:dyDescent="0.2">
      <c r="A3338" s="334" t="s">
        <v>1735</v>
      </c>
      <c r="B3338" s="380"/>
      <c r="C3338" s="380" t="s">
        <v>194</v>
      </c>
      <c r="D3338" s="377"/>
      <c r="E3338" s="380"/>
      <c r="F3338" s="378"/>
      <c r="G3338" s="380"/>
      <c r="H3338" s="380"/>
      <c r="I3338" s="399"/>
      <c r="J3338" s="377">
        <v>40</v>
      </c>
      <c r="K3338" s="380"/>
      <c r="L3338" s="378"/>
      <c r="M3338" s="380"/>
      <c r="N3338" s="380"/>
      <c r="O3338" s="380"/>
      <c r="P3338" s="380"/>
      <c r="Q3338" s="380"/>
    </row>
    <row r="3339" spans="1:17" x14ac:dyDescent="0.2">
      <c r="A3339" s="334" t="s">
        <v>1572</v>
      </c>
      <c r="B3339" s="380"/>
      <c r="C3339" s="334" t="s">
        <v>3134</v>
      </c>
      <c r="D3339" s="377">
        <v>100</v>
      </c>
      <c r="E3339" s="380"/>
      <c r="F3339" s="378"/>
      <c r="G3339" s="380"/>
      <c r="H3339" s="380"/>
      <c r="I3339" s="399"/>
      <c r="J3339" s="377">
        <v>100</v>
      </c>
      <c r="K3339" s="380"/>
      <c r="L3339" s="378"/>
      <c r="M3339" s="380"/>
      <c r="N3339" s="380"/>
      <c r="O3339" s="380"/>
      <c r="P3339" s="380"/>
      <c r="Q3339" s="380"/>
    </row>
    <row r="3340" spans="1:17" x14ac:dyDescent="0.2">
      <c r="A3340" s="334" t="s">
        <v>1566</v>
      </c>
      <c r="B3340" s="380"/>
      <c r="C3340" s="334" t="s">
        <v>366</v>
      </c>
      <c r="D3340" s="377">
        <v>800</v>
      </c>
      <c r="E3340" s="380"/>
      <c r="F3340" s="378"/>
      <c r="G3340" s="380"/>
      <c r="H3340" s="380"/>
      <c r="I3340" s="399"/>
      <c r="J3340" s="377">
        <v>800</v>
      </c>
      <c r="K3340" s="380"/>
      <c r="L3340" s="378"/>
      <c r="M3340" s="380"/>
      <c r="N3340" s="380"/>
      <c r="O3340" s="380"/>
      <c r="P3340" s="380"/>
      <c r="Q3340" s="380"/>
    </row>
    <row r="3341" spans="1:17" x14ac:dyDescent="0.2">
      <c r="A3341" s="384" t="s">
        <v>1962</v>
      </c>
      <c r="B3341" s="380"/>
      <c r="C3341" s="380" t="s">
        <v>572</v>
      </c>
      <c r="D3341" s="377"/>
      <c r="E3341" s="380"/>
      <c r="F3341" s="378"/>
      <c r="G3341" s="380"/>
      <c r="H3341" s="380"/>
      <c r="I3341" s="399"/>
      <c r="J3341" s="377"/>
      <c r="K3341" s="380"/>
      <c r="L3341" s="378"/>
      <c r="M3341" s="380"/>
      <c r="N3341" s="380"/>
      <c r="O3341" s="380"/>
      <c r="P3341" s="380"/>
      <c r="Q3341" s="380"/>
    </row>
    <row r="3342" spans="1:17" x14ac:dyDescent="0.2">
      <c r="A3342" s="334" t="s">
        <v>342</v>
      </c>
      <c r="B3342" s="380"/>
      <c r="C3342" s="334" t="s">
        <v>342</v>
      </c>
      <c r="D3342" s="410" t="s">
        <v>342</v>
      </c>
      <c r="E3342" s="380"/>
      <c r="F3342" s="378"/>
      <c r="G3342" s="380"/>
      <c r="H3342" s="380"/>
      <c r="I3342" s="385"/>
      <c r="J3342" s="410" t="s">
        <v>342</v>
      </c>
      <c r="K3342" s="380"/>
      <c r="L3342" s="378"/>
      <c r="M3342" s="380"/>
      <c r="N3342" s="380"/>
      <c r="O3342" s="380"/>
      <c r="P3342" s="380"/>
      <c r="Q3342" s="380"/>
    </row>
    <row r="3343" spans="1:17" x14ac:dyDescent="0.2">
      <c r="A3343" s="380"/>
      <c r="B3343" s="380"/>
      <c r="C3343" s="334" t="s">
        <v>342</v>
      </c>
      <c r="D3343" s="334">
        <f>SUM(D3329:D3341)</f>
        <v>2040</v>
      </c>
      <c r="E3343" s="380"/>
      <c r="F3343" s="378"/>
      <c r="G3343" s="380"/>
      <c r="H3343" s="380"/>
      <c r="I3343" s="385"/>
      <c r="J3343" s="334">
        <f>SUM(J3329:J3341)</f>
        <v>2630</v>
      </c>
      <c r="K3343" s="380"/>
      <c r="L3343" s="378"/>
      <c r="M3343" s="380"/>
      <c r="N3343" s="380"/>
      <c r="O3343" s="380"/>
      <c r="P3343" s="380"/>
      <c r="Q3343" s="380"/>
    </row>
    <row r="3344" spans="1:17" ht="15.75" thickTop="1" x14ac:dyDescent="0.2">
      <c r="A3344" s="334" t="s">
        <v>342</v>
      </c>
      <c r="B3344" s="380"/>
      <c r="C3344" s="334" t="s">
        <v>342</v>
      </c>
      <c r="D3344" s="400" t="s">
        <v>342</v>
      </c>
      <c r="E3344" s="380"/>
      <c r="F3344" s="378"/>
      <c r="G3344" s="380"/>
      <c r="H3344" s="380"/>
      <c r="I3344" s="385"/>
      <c r="J3344" s="400" t="s">
        <v>342</v>
      </c>
      <c r="K3344" s="380"/>
      <c r="L3344" s="378"/>
      <c r="M3344" s="380"/>
      <c r="N3344" s="380"/>
      <c r="O3344" s="380"/>
      <c r="P3344" s="380"/>
      <c r="Q3344" s="380"/>
    </row>
    <row r="3345" spans="1:17" x14ac:dyDescent="0.2">
      <c r="A3345" s="334" t="s">
        <v>342</v>
      </c>
      <c r="B3345" s="380"/>
      <c r="C3345" s="334" t="s">
        <v>342</v>
      </c>
      <c r="D3345" s="334" t="s">
        <v>342</v>
      </c>
      <c r="E3345" s="380"/>
      <c r="F3345" s="378"/>
      <c r="G3345" s="380"/>
      <c r="H3345" s="380"/>
      <c r="I3345" s="385"/>
      <c r="J3345" s="334" t="s">
        <v>342</v>
      </c>
      <c r="K3345" s="380"/>
      <c r="L3345" s="378"/>
      <c r="M3345" s="380"/>
      <c r="N3345" s="380"/>
      <c r="O3345" s="380"/>
      <c r="P3345" s="380"/>
      <c r="Q3345" s="380"/>
    </row>
    <row r="3346" spans="1:17" x14ac:dyDescent="0.2">
      <c r="A3346" s="334" t="s">
        <v>342</v>
      </c>
      <c r="B3346" s="380"/>
      <c r="C3346" s="334" t="s">
        <v>342</v>
      </c>
      <c r="D3346" s="334" t="s">
        <v>342</v>
      </c>
      <c r="E3346" s="380"/>
      <c r="F3346" s="378"/>
      <c r="G3346" s="380"/>
      <c r="H3346" s="380"/>
      <c r="I3346" s="385"/>
      <c r="J3346" s="334" t="s">
        <v>342</v>
      </c>
      <c r="K3346" s="380"/>
      <c r="L3346" s="378"/>
      <c r="M3346" s="380"/>
      <c r="N3346" s="380"/>
      <c r="O3346" s="380"/>
      <c r="P3346" s="380"/>
      <c r="Q3346" s="380"/>
    </row>
    <row r="3347" spans="1:17" x14ac:dyDescent="0.2">
      <c r="A3347" s="334" t="s">
        <v>1824</v>
      </c>
      <c r="B3347" s="377"/>
      <c r="C3347" s="377"/>
      <c r="D3347" s="334" t="s">
        <v>342</v>
      </c>
      <c r="E3347" s="377"/>
      <c r="F3347" s="378"/>
      <c r="G3347" s="377"/>
      <c r="H3347" s="377"/>
      <c r="I3347" s="385"/>
      <c r="J3347" s="334" t="s">
        <v>342</v>
      </c>
      <c r="K3347" s="377"/>
      <c r="L3347" s="378"/>
      <c r="M3347" s="377"/>
      <c r="N3347" s="377"/>
      <c r="O3347" s="380"/>
      <c r="P3347" s="380"/>
      <c r="Q3347" s="380"/>
    </row>
    <row r="3348" spans="1:17" x14ac:dyDescent="0.2">
      <c r="A3348" s="334" t="s">
        <v>1660</v>
      </c>
      <c r="B3348" s="380"/>
      <c r="C3348" s="384" t="s">
        <v>2128</v>
      </c>
      <c r="D3348" s="380"/>
      <c r="E3348" s="380"/>
      <c r="F3348" s="378"/>
      <c r="G3348" s="380"/>
      <c r="H3348" s="380"/>
      <c r="I3348" s="382"/>
      <c r="J3348" s="380"/>
      <c r="K3348" s="380"/>
      <c r="L3348" s="378"/>
      <c r="M3348" s="380"/>
      <c r="N3348" s="380"/>
      <c r="O3348" s="380"/>
      <c r="P3348" s="380"/>
      <c r="Q3348" s="380"/>
    </row>
    <row r="3349" spans="1:17" x14ac:dyDescent="0.2">
      <c r="A3349" s="380"/>
      <c r="B3349" s="380"/>
      <c r="C3349" s="380"/>
      <c r="D3349" s="380"/>
      <c r="E3349" s="380"/>
      <c r="F3349" s="378"/>
      <c r="G3349" s="380"/>
      <c r="H3349" s="380"/>
      <c r="I3349" s="382"/>
      <c r="J3349" s="380"/>
      <c r="K3349" s="380"/>
      <c r="L3349" s="378"/>
      <c r="M3349" s="380"/>
      <c r="N3349" s="380"/>
      <c r="O3349" s="380"/>
      <c r="P3349" s="380"/>
      <c r="Q3349" s="380"/>
    </row>
    <row r="3350" spans="1:17" x14ac:dyDescent="0.2">
      <c r="A3350" s="334" t="s">
        <v>1723</v>
      </c>
      <c r="B3350" s="380"/>
      <c r="C3350" s="334" t="s">
        <v>1880</v>
      </c>
      <c r="D3350" s="334" t="s">
        <v>181</v>
      </c>
      <c r="E3350" s="380"/>
      <c r="F3350" s="378"/>
      <c r="G3350" s="380"/>
      <c r="H3350" s="380"/>
      <c r="I3350" s="385"/>
      <c r="J3350" s="334" t="s">
        <v>181</v>
      </c>
      <c r="K3350" s="380"/>
      <c r="L3350" s="378"/>
      <c r="M3350" s="380"/>
      <c r="N3350" s="380"/>
      <c r="O3350" s="380"/>
      <c r="P3350" s="380"/>
      <c r="Q3350" s="380"/>
    </row>
    <row r="3351" spans="1:17" x14ac:dyDescent="0.2">
      <c r="A3351" s="334" t="s">
        <v>342</v>
      </c>
      <c r="B3351" s="380"/>
      <c r="C3351" s="334" t="s">
        <v>342</v>
      </c>
      <c r="D3351" s="380"/>
      <c r="E3351" s="380"/>
      <c r="F3351" s="378"/>
      <c r="G3351" s="380"/>
      <c r="H3351" s="380"/>
      <c r="I3351" s="382"/>
      <c r="J3351" s="380"/>
      <c r="K3351" s="380"/>
      <c r="L3351" s="378"/>
      <c r="M3351" s="380"/>
      <c r="N3351" s="380"/>
      <c r="O3351" s="380"/>
      <c r="P3351" s="380"/>
      <c r="Q3351" s="380"/>
    </row>
    <row r="3352" spans="1:17" x14ac:dyDescent="0.2">
      <c r="A3352" s="334" t="s">
        <v>1568</v>
      </c>
      <c r="B3352" s="380"/>
      <c r="C3352" s="380" t="s">
        <v>1817</v>
      </c>
      <c r="D3352" s="377"/>
      <c r="E3352" s="380"/>
      <c r="F3352" s="378"/>
      <c r="G3352" s="380"/>
      <c r="H3352" s="380"/>
      <c r="I3352" s="399"/>
      <c r="J3352" s="377"/>
      <c r="K3352" s="380"/>
      <c r="L3352" s="378"/>
      <c r="M3352" s="380"/>
      <c r="N3352" s="380"/>
      <c r="O3352" s="380"/>
      <c r="P3352" s="380"/>
      <c r="Q3352" s="380"/>
    </row>
    <row r="3353" spans="1:17" x14ac:dyDescent="0.2">
      <c r="A3353" s="334" t="s">
        <v>1569</v>
      </c>
      <c r="B3353" s="380"/>
      <c r="C3353" s="334" t="s">
        <v>1888</v>
      </c>
      <c r="D3353" s="377">
        <v>380</v>
      </c>
      <c r="E3353" s="380"/>
      <c r="F3353" s="378"/>
      <c r="G3353" s="380"/>
      <c r="H3353" s="380"/>
      <c r="I3353" s="399"/>
      <c r="J3353" s="377">
        <v>380</v>
      </c>
      <c r="K3353" s="380"/>
      <c r="L3353" s="378"/>
      <c r="M3353" s="380"/>
      <c r="N3353" s="380"/>
      <c r="O3353" s="380"/>
      <c r="P3353" s="380"/>
      <c r="Q3353" s="380"/>
    </row>
    <row r="3354" spans="1:17" x14ac:dyDescent="0.2">
      <c r="A3354" s="334" t="s">
        <v>1724</v>
      </c>
      <c r="B3354" s="380"/>
      <c r="C3354" s="334" t="s">
        <v>1881</v>
      </c>
      <c r="D3354" s="377">
        <v>2422</v>
      </c>
      <c r="E3354" s="380"/>
      <c r="F3354" s="378"/>
      <c r="G3354" s="380"/>
      <c r="H3354" s="380"/>
      <c r="I3354" s="399"/>
      <c r="J3354" s="377">
        <v>2422</v>
      </c>
      <c r="K3354" s="380"/>
      <c r="L3354" s="378"/>
      <c r="M3354" s="380"/>
      <c r="N3354" s="380"/>
      <c r="O3354" s="380"/>
      <c r="P3354" s="380"/>
      <c r="Q3354" s="380"/>
    </row>
    <row r="3355" spans="1:17" x14ac:dyDescent="0.2">
      <c r="A3355" s="334" t="s">
        <v>1736</v>
      </c>
      <c r="B3355" s="380"/>
      <c r="C3355" s="334" t="s">
        <v>1747</v>
      </c>
      <c r="D3355" s="377">
        <v>285</v>
      </c>
      <c r="E3355" s="380"/>
      <c r="F3355" s="378"/>
      <c r="G3355" s="380"/>
      <c r="H3355" s="380"/>
      <c r="I3355" s="399"/>
      <c r="J3355" s="377">
        <v>285</v>
      </c>
      <c r="K3355" s="380"/>
      <c r="L3355" s="378"/>
      <c r="M3355" s="380"/>
      <c r="N3355" s="380"/>
      <c r="O3355" s="380"/>
      <c r="P3355" s="380"/>
      <c r="Q3355" s="380"/>
    </row>
    <row r="3356" spans="1:17" x14ac:dyDescent="0.2">
      <c r="A3356" s="334" t="s">
        <v>1744</v>
      </c>
      <c r="B3356" s="380"/>
      <c r="C3356" s="334" t="s">
        <v>1254</v>
      </c>
      <c r="D3356" s="377"/>
      <c r="E3356" s="380"/>
      <c r="F3356" s="378"/>
      <c r="G3356" s="380"/>
      <c r="H3356" s="380"/>
      <c r="I3356" s="399"/>
      <c r="J3356" s="377"/>
      <c r="K3356" s="380"/>
      <c r="L3356" s="378"/>
      <c r="M3356" s="380"/>
      <c r="N3356" s="380"/>
      <c r="O3356" s="380"/>
      <c r="P3356" s="380"/>
      <c r="Q3356" s="380"/>
    </row>
    <row r="3357" spans="1:17" x14ac:dyDescent="0.2">
      <c r="A3357" s="334" t="s">
        <v>1582</v>
      </c>
      <c r="B3357" s="380"/>
      <c r="C3357" s="334" t="s">
        <v>3135</v>
      </c>
      <c r="D3357" s="377"/>
      <c r="E3357" s="380"/>
      <c r="F3357" s="378"/>
      <c r="G3357" s="380"/>
      <c r="H3357" s="380"/>
      <c r="I3357" s="399"/>
      <c r="J3357" s="377"/>
      <c r="K3357" s="380"/>
      <c r="L3357" s="378"/>
      <c r="M3357" s="380"/>
      <c r="N3357" s="380"/>
      <c r="O3357" s="380"/>
      <c r="P3357" s="380"/>
      <c r="Q3357" s="380"/>
    </row>
    <row r="3358" spans="1:17" x14ac:dyDescent="0.2">
      <c r="A3358" s="334" t="s">
        <v>1575</v>
      </c>
      <c r="B3358" s="380"/>
      <c r="C3358" s="334" t="s">
        <v>1889</v>
      </c>
      <c r="D3358" s="377"/>
      <c r="E3358" s="380"/>
      <c r="F3358" s="378"/>
      <c r="G3358" s="380"/>
      <c r="H3358" s="380"/>
      <c r="I3358" s="399"/>
      <c r="J3358" s="377"/>
      <c r="K3358" s="380"/>
      <c r="L3358" s="378"/>
      <c r="M3358" s="380"/>
      <c r="N3358" s="380"/>
      <c r="O3358" s="380"/>
      <c r="P3358" s="380"/>
      <c r="Q3358" s="380"/>
    </row>
    <row r="3359" spans="1:17" x14ac:dyDescent="0.2">
      <c r="A3359" s="334" t="s">
        <v>1725</v>
      </c>
      <c r="B3359" s="380"/>
      <c r="C3359" s="334" t="s">
        <v>1890</v>
      </c>
      <c r="D3359" s="377"/>
      <c r="E3359" s="380"/>
      <c r="F3359" s="378"/>
      <c r="G3359" s="380"/>
      <c r="H3359" s="380"/>
      <c r="I3359" s="399"/>
      <c r="J3359" s="377"/>
      <c r="K3359" s="380"/>
      <c r="L3359" s="378"/>
      <c r="M3359" s="380"/>
      <c r="N3359" s="380"/>
      <c r="O3359" s="380"/>
      <c r="P3359" s="380"/>
      <c r="Q3359" s="380"/>
    </row>
    <row r="3360" spans="1:17" x14ac:dyDescent="0.2">
      <c r="A3360" s="384" t="s">
        <v>1745</v>
      </c>
      <c r="B3360" s="380"/>
      <c r="C3360" s="334" t="s">
        <v>1887</v>
      </c>
      <c r="D3360" s="377">
        <v>380</v>
      </c>
      <c r="E3360" s="380"/>
      <c r="F3360" s="378"/>
      <c r="G3360" s="380"/>
      <c r="H3360" s="380"/>
      <c r="I3360" s="399"/>
      <c r="J3360" s="377">
        <v>380</v>
      </c>
      <c r="K3360" s="380"/>
      <c r="L3360" s="378"/>
      <c r="M3360" s="380"/>
      <c r="N3360" s="380"/>
      <c r="O3360" s="380"/>
      <c r="P3360" s="380"/>
      <c r="Q3360" s="380"/>
    </row>
    <row r="3361" spans="1:17" x14ac:dyDescent="0.2">
      <c r="A3361" s="384" t="s">
        <v>1576</v>
      </c>
      <c r="B3361" s="380"/>
      <c r="C3361" s="334" t="s">
        <v>1590</v>
      </c>
      <c r="D3361" s="377">
        <v>190</v>
      </c>
      <c r="E3361" s="380"/>
      <c r="F3361" s="378"/>
      <c r="G3361" s="380"/>
      <c r="H3361" s="380"/>
      <c r="I3361" s="399"/>
      <c r="J3361" s="377">
        <v>190</v>
      </c>
      <c r="K3361" s="380"/>
      <c r="L3361" s="378"/>
      <c r="M3361" s="380"/>
      <c r="N3361" s="380"/>
      <c r="O3361" s="380"/>
      <c r="P3361" s="380"/>
      <c r="Q3361" s="380"/>
    </row>
    <row r="3362" spans="1:17" x14ac:dyDescent="0.2">
      <c r="A3362" s="334" t="s">
        <v>1565</v>
      </c>
      <c r="B3362" s="380"/>
      <c r="C3362" s="334" t="s">
        <v>1927</v>
      </c>
      <c r="D3362" s="377"/>
      <c r="E3362" s="380"/>
      <c r="F3362" s="378"/>
      <c r="G3362" s="380"/>
      <c r="H3362" s="380"/>
      <c r="I3362" s="399"/>
      <c r="J3362" s="377"/>
      <c r="K3362" s="380"/>
      <c r="L3362" s="378"/>
      <c r="M3362" s="380"/>
      <c r="N3362" s="380"/>
      <c r="O3362" s="380"/>
      <c r="P3362" s="380"/>
      <c r="Q3362" s="380"/>
    </row>
    <row r="3363" spans="1:17" x14ac:dyDescent="0.2">
      <c r="A3363" s="334" t="s">
        <v>1737</v>
      </c>
      <c r="B3363" s="380"/>
      <c r="C3363" s="334" t="s">
        <v>1984</v>
      </c>
      <c r="D3363" s="377">
        <v>285</v>
      </c>
      <c r="E3363" s="380"/>
      <c r="F3363" s="378"/>
      <c r="G3363" s="380"/>
      <c r="H3363" s="380"/>
      <c r="I3363" s="399"/>
      <c r="J3363" s="377">
        <v>285</v>
      </c>
      <c r="K3363" s="380"/>
      <c r="L3363" s="378"/>
      <c r="M3363" s="380"/>
      <c r="N3363" s="380"/>
      <c r="O3363" s="380"/>
      <c r="P3363" s="380"/>
      <c r="Q3363" s="380"/>
    </row>
    <row r="3364" spans="1:17" x14ac:dyDescent="0.2">
      <c r="A3364" s="334" t="s">
        <v>1726</v>
      </c>
      <c r="B3364" s="380"/>
      <c r="C3364" s="334" t="s">
        <v>1117</v>
      </c>
      <c r="D3364" s="377">
        <v>1800</v>
      </c>
      <c r="E3364" s="380"/>
      <c r="F3364" s="378"/>
      <c r="G3364" s="380"/>
      <c r="H3364" s="380"/>
      <c r="I3364" s="399"/>
      <c r="J3364" s="377">
        <v>1688</v>
      </c>
      <c r="K3364" s="380"/>
      <c r="L3364" s="378"/>
      <c r="M3364" s="380"/>
      <c r="N3364" s="380"/>
      <c r="O3364" s="380"/>
      <c r="P3364" s="380"/>
      <c r="Q3364" s="380"/>
    </row>
    <row r="3365" spans="1:17" x14ac:dyDescent="0.2">
      <c r="A3365" s="384" t="s">
        <v>1828</v>
      </c>
      <c r="B3365" s="380"/>
      <c r="C3365" s="334" t="s">
        <v>2712</v>
      </c>
      <c r="D3365" s="377"/>
      <c r="E3365" s="380"/>
      <c r="F3365" s="378"/>
      <c r="G3365" s="380"/>
      <c r="H3365" s="380"/>
      <c r="I3365" s="399"/>
      <c r="J3365" s="377"/>
      <c r="K3365" s="380"/>
      <c r="L3365" s="378"/>
      <c r="M3365" s="380"/>
      <c r="N3365" s="380"/>
      <c r="O3365" s="380"/>
      <c r="P3365" s="380"/>
      <c r="Q3365" s="380"/>
    </row>
    <row r="3366" spans="1:17" x14ac:dyDescent="0.2">
      <c r="A3366" s="384" t="s">
        <v>1751</v>
      </c>
      <c r="B3366" s="380"/>
      <c r="C3366" s="334" t="s">
        <v>3138</v>
      </c>
      <c r="D3366" s="377">
        <v>2000</v>
      </c>
      <c r="E3366" s="380"/>
      <c r="F3366" s="378"/>
      <c r="G3366" s="380"/>
      <c r="H3366" s="380"/>
      <c r="I3366" s="399"/>
      <c r="J3366" s="377">
        <v>1615</v>
      </c>
      <c r="K3366" s="380"/>
      <c r="L3366" s="378"/>
      <c r="M3366" s="380"/>
      <c r="N3366" s="380"/>
      <c r="O3366" s="380"/>
      <c r="P3366" s="380"/>
      <c r="Q3366" s="380"/>
    </row>
    <row r="3367" spans="1:17" x14ac:dyDescent="0.2">
      <c r="A3367" s="334" t="s">
        <v>1577</v>
      </c>
      <c r="B3367" s="380"/>
      <c r="C3367" s="334" t="s">
        <v>1815</v>
      </c>
      <c r="D3367" s="377"/>
      <c r="E3367" s="380"/>
      <c r="F3367" s="378"/>
      <c r="G3367" s="380"/>
      <c r="H3367" s="380"/>
      <c r="I3367" s="399"/>
      <c r="J3367" s="377"/>
      <c r="K3367" s="380"/>
      <c r="L3367" s="378"/>
      <c r="M3367" s="380"/>
      <c r="N3367" s="380"/>
      <c r="O3367" s="380"/>
      <c r="P3367" s="380"/>
      <c r="Q3367" s="380"/>
    </row>
    <row r="3368" spans="1:17" x14ac:dyDescent="0.2">
      <c r="A3368" s="334" t="s">
        <v>1734</v>
      </c>
      <c r="B3368" s="380"/>
      <c r="C3368" s="334" t="s">
        <v>1746</v>
      </c>
      <c r="D3368" s="377">
        <v>190</v>
      </c>
      <c r="E3368" s="380"/>
      <c r="F3368" s="378"/>
      <c r="G3368" s="380"/>
      <c r="H3368" s="380"/>
      <c r="I3368" s="399"/>
      <c r="J3368" s="377">
        <v>190</v>
      </c>
      <c r="K3368" s="380"/>
      <c r="L3368" s="378"/>
      <c r="M3368" s="380"/>
      <c r="N3368" s="380"/>
      <c r="O3368" s="380"/>
      <c r="P3368" s="380"/>
      <c r="Q3368" s="380"/>
    </row>
    <row r="3369" spans="1:17" x14ac:dyDescent="0.2">
      <c r="A3369" s="334" t="s">
        <v>1571</v>
      </c>
      <c r="B3369" s="380"/>
      <c r="C3369" s="334" t="s">
        <v>3</v>
      </c>
      <c r="D3369" s="377">
        <v>285</v>
      </c>
      <c r="E3369" s="380"/>
      <c r="F3369" s="378"/>
      <c r="G3369" s="380"/>
      <c r="H3369" s="380"/>
      <c r="I3369" s="399"/>
      <c r="J3369" s="377">
        <v>285</v>
      </c>
      <c r="K3369" s="380"/>
      <c r="L3369" s="378"/>
      <c r="M3369" s="380"/>
      <c r="N3369" s="380"/>
      <c r="O3369" s="380"/>
      <c r="P3369" s="380"/>
      <c r="Q3369" s="380"/>
    </row>
    <row r="3370" spans="1:17" x14ac:dyDescent="0.2">
      <c r="A3370" s="334" t="s">
        <v>1578</v>
      </c>
      <c r="B3370" s="380"/>
      <c r="C3370" s="334" t="s">
        <v>22</v>
      </c>
      <c r="D3370" s="377"/>
      <c r="E3370" s="380"/>
      <c r="F3370" s="378"/>
      <c r="G3370" s="380"/>
      <c r="H3370" s="380"/>
      <c r="I3370" s="399"/>
      <c r="J3370" s="377"/>
      <c r="K3370" s="380"/>
      <c r="L3370" s="378"/>
      <c r="M3370" s="380"/>
      <c r="N3370" s="380"/>
      <c r="O3370" s="380"/>
      <c r="P3370" s="380"/>
      <c r="Q3370" s="380"/>
    </row>
    <row r="3371" spans="1:17" x14ac:dyDescent="0.2">
      <c r="A3371" s="334" t="s">
        <v>1738</v>
      </c>
      <c r="B3371" s="380"/>
      <c r="C3371" s="334" t="s">
        <v>1591</v>
      </c>
      <c r="D3371" s="377">
        <v>285</v>
      </c>
      <c r="E3371" s="334" t="s">
        <v>342</v>
      </c>
      <c r="F3371" s="378"/>
      <c r="G3371" s="380"/>
      <c r="H3371" s="380"/>
      <c r="I3371" s="399"/>
      <c r="J3371" s="377">
        <v>285</v>
      </c>
      <c r="K3371" s="334" t="s">
        <v>342</v>
      </c>
      <c r="L3371" s="378"/>
      <c r="M3371" s="380"/>
      <c r="N3371" s="380"/>
      <c r="O3371" s="380"/>
      <c r="P3371" s="380"/>
      <c r="Q3371" s="380"/>
    </row>
    <row r="3372" spans="1:17" x14ac:dyDescent="0.2">
      <c r="A3372" s="334" t="s">
        <v>1727</v>
      </c>
      <c r="B3372" s="380"/>
      <c r="C3372" s="334" t="s">
        <v>307</v>
      </c>
      <c r="D3372" s="377">
        <v>1140</v>
      </c>
      <c r="E3372" s="380"/>
      <c r="F3372" s="378"/>
      <c r="G3372" s="380"/>
      <c r="H3372" s="380"/>
      <c r="I3372" s="399"/>
      <c r="J3372" s="377">
        <v>1140</v>
      </c>
      <c r="K3372" s="380"/>
      <c r="L3372" s="378"/>
      <c r="M3372" s="380"/>
      <c r="N3372" s="380"/>
      <c r="O3372" s="380"/>
      <c r="P3372" s="380"/>
      <c r="Q3372" s="380"/>
    </row>
    <row r="3373" spans="1:17" x14ac:dyDescent="0.2">
      <c r="A3373" s="334" t="s">
        <v>1728</v>
      </c>
      <c r="B3373" s="380"/>
      <c r="C3373" s="334" t="s">
        <v>310</v>
      </c>
      <c r="D3373" s="377">
        <v>285</v>
      </c>
      <c r="E3373" s="380"/>
      <c r="F3373" s="378"/>
      <c r="G3373" s="380"/>
      <c r="H3373" s="380"/>
      <c r="I3373" s="399"/>
      <c r="J3373" s="377">
        <v>285</v>
      </c>
      <c r="K3373" s="380"/>
      <c r="L3373" s="378"/>
      <c r="M3373" s="380"/>
      <c r="N3373" s="380"/>
      <c r="O3373" s="380"/>
      <c r="P3373" s="380"/>
      <c r="Q3373" s="380"/>
    </row>
    <row r="3374" spans="1:17" x14ac:dyDescent="0.2">
      <c r="A3374" s="334" t="s">
        <v>1729</v>
      </c>
      <c r="B3374" s="380"/>
      <c r="C3374" s="380" t="s">
        <v>1551</v>
      </c>
      <c r="D3374" s="377"/>
      <c r="E3374" s="380"/>
      <c r="F3374" s="378"/>
      <c r="G3374" s="380"/>
      <c r="H3374" s="380"/>
      <c r="I3374" s="399"/>
      <c r="J3374" s="377">
        <v>95</v>
      </c>
      <c r="K3374" s="380"/>
      <c r="L3374" s="378"/>
      <c r="M3374" s="380"/>
      <c r="N3374" s="380"/>
      <c r="O3374" s="380"/>
      <c r="P3374" s="380"/>
      <c r="Q3374" s="380"/>
    </row>
    <row r="3375" spans="1:17" x14ac:dyDescent="0.2">
      <c r="A3375" s="334" t="s">
        <v>1735</v>
      </c>
      <c r="B3375" s="380"/>
      <c r="C3375" s="380" t="s">
        <v>194</v>
      </c>
      <c r="D3375" s="377"/>
      <c r="E3375" s="380"/>
      <c r="F3375" s="378"/>
      <c r="G3375" s="380"/>
      <c r="H3375" s="380"/>
      <c r="I3375" s="399"/>
      <c r="J3375" s="377">
        <v>9348</v>
      </c>
      <c r="K3375" s="380"/>
      <c r="L3375" s="378"/>
      <c r="M3375" s="380"/>
      <c r="N3375" s="380"/>
      <c r="O3375" s="380"/>
      <c r="P3375" s="380"/>
      <c r="Q3375" s="380"/>
    </row>
    <row r="3376" spans="1:17" x14ac:dyDescent="0.2">
      <c r="A3376" s="334" t="s">
        <v>1741</v>
      </c>
      <c r="B3376" s="380"/>
      <c r="C3376" s="334" t="s">
        <v>1748</v>
      </c>
      <c r="D3376" s="377">
        <v>1045</v>
      </c>
      <c r="E3376" s="380"/>
      <c r="F3376" s="378"/>
      <c r="G3376" s="380"/>
      <c r="H3376" s="380"/>
      <c r="I3376" s="399"/>
      <c r="J3376" s="377">
        <v>1045</v>
      </c>
      <c r="K3376" s="380"/>
      <c r="L3376" s="378"/>
      <c r="M3376" s="380"/>
      <c r="N3376" s="380"/>
      <c r="O3376" s="380"/>
      <c r="P3376" s="380"/>
      <c r="Q3376" s="380"/>
    </row>
    <row r="3377" spans="1:17" x14ac:dyDescent="0.2">
      <c r="A3377" s="334" t="s">
        <v>1742</v>
      </c>
      <c r="B3377" s="380"/>
      <c r="C3377" s="334" t="s">
        <v>1553</v>
      </c>
      <c r="D3377" s="377"/>
      <c r="E3377" s="380"/>
      <c r="F3377" s="378"/>
      <c r="G3377" s="380"/>
      <c r="H3377" s="380"/>
      <c r="I3377" s="399"/>
      <c r="J3377" s="377">
        <v>0</v>
      </c>
      <c r="K3377" s="380"/>
      <c r="L3377" s="378"/>
      <c r="M3377" s="380"/>
      <c r="N3377" s="380"/>
      <c r="O3377" s="380"/>
      <c r="P3377" s="380"/>
      <c r="Q3377" s="380"/>
    </row>
    <row r="3378" spans="1:17" x14ac:dyDescent="0.2">
      <c r="A3378" s="384" t="s">
        <v>1754</v>
      </c>
      <c r="B3378" s="380"/>
      <c r="C3378" s="334" t="s">
        <v>1929</v>
      </c>
      <c r="D3378" s="377">
        <v>760</v>
      </c>
      <c r="E3378" s="380"/>
      <c r="F3378" s="378"/>
      <c r="G3378" s="380"/>
      <c r="H3378" s="380"/>
      <c r="I3378" s="399"/>
      <c r="J3378" s="377">
        <v>760</v>
      </c>
      <c r="K3378" s="380"/>
      <c r="L3378" s="378"/>
      <c r="M3378" s="380"/>
      <c r="N3378" s="380"/>
      <c r="O3378" s="380"/>
      <c r="P3378" s="380"/>
      <c r="Q3378" s="380"/>
    </row>
    <row r="3379" spans="1:17" x14ac:dyDescent="0.2">
      <c r="A3379" s="334" t="s">
        <v>1584</v>
      </c>
      <c r="B3379" s="380"/>
      <c r="C3379" s="334" t="s">
        <v>0</v>
      </c>
      <c r="D3379" s="377"/>
      <c r="E3379" s="380"/>
      <c r="F3379" s="378"/>
      <c r="G3379" s="380"/>
      <c r="H3379" s="380"/>
      <c r="I3379" s="399"/>
      <c r="J3379" s="377"/>
      <c r="K3379" s="380"/>
      <c r="L3379" s="378"/>
      <c r="M3379" s="380"/>
      <c r="N3379" s="380"/>
      <c r="O3379" s="380"/>
      <c r="P3379" s="380"/>
      <c r="Q3379" s="380"/>
    </row>
    <row r="3380" spans="1:17" x14ac:dyDescent="0.2">
      <c r="A3380" s="334" t="s">
        <v>1580</v>
      </c>
      <c r="B3380" s="380"/>
      <c r="C3380" s="334" t="s">
        <v>1935</v>
      </c>
      <c r="D3380" s="377"/>
      <c r="E3380" s="380"/>
      <c r="F3380" s="378"/>
      <c r="G3380" s="380"/>
      <c r="H3380" s="380"/>
      <c r="I3380" s="399"/>
      <c r="J3380" s="377"/>
      <c r="K3380" s="380"/>
      <c r="L3380" s="378"/>
      <c r="M3380" s="380"/>
      <c r="N3380" s="380"/>
      <c r="O3380" s="380"/>
      <c r="P3380" s="380"/>
      <c r="Q3380" s="380"/>
    </row>
    <row r="3381" spans="1:17" x14ac:dyDescent="0.2">
      <c r="A3381" s="334" t="s">
        <v>1572</v>
      </c>
      <c r="B3381" s="380"/>
      <c r="C3381" s="334" t="s">
        <v>3134</v>
      </c>
      <c r="D3381" s="377"/>
      <c r="E3381" s="380"/>
      <c r="F3381" s="378"/>
      <c r="G3381" s="380"/>
      <c r="H3381" s="380"/>
      <c r="I3381" s="399"/>
      <c r="J3381" s="377"/>
      <c r="K3381" s="380"/>
      <c r="L3381" s="378"/>
      <c r="M3381" s="380"/>
      <c r="N3381" s="380"/>
      <c r="O3381" s="380"/>
      <c r="P3381" s="380"/>
      <c r="Q3381" s="380"/>
    </row>
    <row r="3382" spans="1:17" x14ac:dyDescent="0.2">
      <c r="A3382" s="334" t="s">
        <v>1730</v>
      </c>
      <c r="B3382" s="380"/>
      <c r="C3382" s="334" t="s">
        <v>1985</v>
      </c>
      <c r="D3382" s="377">
        <v>950</v>
      </c>
      <c r="E3382" s="380"/>
      <c r="F3382" s="378"/>
      <c r="G3382" s="380"/>
      <c r="H3382" s="380"/>
      <c r="I3382" s="399"/>
      <c r="J3382" s="377">
        <v>950</v>
      </c>
      <c r="K3382" s="380"/>
      <c r="L3382" s="378"/>
      <c r="M3382" s="380"/>
      <c r="N3382" s="380"/>
      <c r="O3382" s="380"/>
      <c r="P3382" s="380"/>
      <c r="Q3382" s="380"/>
    </row>
    <row r="3383" spans="1:17" x14ac:dyDescent="0.2">
      <c r="A3383" s="334" t="s">
        <v>1566</v>
      </c>
      <c r="B3383" s="380"/>
      <c r="C3383" s="334" t="s">
        <v>366</v>
      </c>
      <c r="D3383" s="377">
        <v>380</v>
      </c>
      <c r="E3383" s="380"/>
      <c r="F3383" s="378"/>
      <c r="G3383" s="380"/>
      <c r="H3383" s="380"/>
      <c r="I3383" s="399"/>
      <c r="J3383" s="377">
        <v>380</v>
      </c>
      <c r="K3383" s="380"/>
      <c r="L3383" s="378"/>
      <c r="M3383" s="380"/>
      <c r="N3383" s="380"/>
      <c r="O3383" s="380"/>
      <c r="P3383" s="380"/>
      <c r="Q3383" s="380"/>
    </row>
    <row r="3384" spans="1:17" x14ac:dyDescent="0.2">
      <c r="A3384" s="334" t="s">
        <v>1587</v>
      </c>
      <c r="B3384" s="380"/>
      <c r="C3384" s="334" t="s">
        <v>34</v>
      </c>
      <c r="D3384" s="377">
        <v>950</v>
      </c>
      <c r="E3384" s="380"/>
      <c r="F3384" s="378"/>
      <c r="G3384" s="380"/>
      <c r="H3384" s="380"/>
      <c r="I3384" s="399"/>
      <c r="J3384" s="377">
        <v>950</v>
      </c>
      <c r="K3384" s="380"/>
      <c r="L3384" s="378"/>
      <c r="M3384" s="380"/>
      <c r="N3384" s="380"/>
      <c r="O3384" s="380"/>
      <c r="P3384" s="380"/>
      <c r="Q3384" s="380"/>
    </row>
    <row r="3385" spans="1:17" x14ac:dyDescent="0.2">
      <c r="A3385" s="384" t="s">
        <v>1588</v>
      </c>
      <c r="B3385" s="380"/>
      <c r="C3385" s="334" t="s">
        <v>191</v>
      </c>
      <c r="D3385" s="377">
        <v>1300</v>
      </c>
      <c r="E3385" s="380"/>
      <c r="F3385" s="378"/>
      <c r="G3385" s="380"/>
      <c r="H3385" s="380"/>
      <c r="I3385" s="399"/>
      <c r="J3385" s="377"/>
      <c r="K3385" s="380"/>
      <c r="L3385" s="378"/>
      <c r="M3385" s="380"/>
      <c r="N3385" s="380"/>
      <c r="O3385" s="380"/>
      <c r="P3385" s="380"/>
      <c r="Q3385" s="380"/>
    </row>
    <row r="3386" spans="1:17" x14ac:dyDescent="0.2">
      <c r="A3386" s="384" t="s">
        <v>91</v>
      </c>
      <c r="B3386" s="380"/>
      <c r="C3386" s="334" t="s">
        <v>92</v>
      </c>
      <c r="D3386" s="377"/>
      <c r="E3386" s="380"/>
      <c r="F3386" s="378"/>
      <c r="G3386" s="380"/>
      <c r="H3386" s="380"/>
      <c r="I3386" s="399"/>
      <c r="J3386" s="377"/>
      <c r="K3386" s="380"/>
      <c r="L3386" s="378"/>
      <c r="M3386" s="380"/>
      <c r="N3386" s="380"/>
      <c r="O3386" s="380"/>
      <c r="P3386" s="380"/>
      <c r="Q3386" s="380"/>
    </row>
    <row r="3387" spans="1:17" x14ac:dyDescent="0.2">
      <c r="A3387" s="384" t="s">
        <v>1903</v>
      </c>
      <c r="B3387" s="380"/>
      <c r="C3387" s="334" t="s">
        <v>35</v>
      </c>
      <c r="D3387" s="377">
        <v>1140</v>
      </c>
      <c r="E3387" s="380"/>
      <c r="F3387" s="378"/>
      <c r="G3387" s="380"/>
      <c r="H3387" s="380"/>
      <c r="I3387" s="399"/>
      <c r="J3387" s="377">
        <v>1140</v>
      </c>
      <c r="K3387" s="380"/>
      <c r="L3387" s="378"/>
      <c r="M3387" s="380"/>
      <c r="N3387" s="380"/>
      <c r="O3387" s="380"/>
      <c r="P3387" s="380"/>
      <c r="Q3387" s="380"/>
    </row>
    <row r="3388" spans="1:17" x14ac:dyDescent="0.2">
      <c r="A3388" s="384" t="s">
        <v>1962</v>
      </c>
      <c r="B3388" s="380"/>
      <c r="C3388" s="380" t="s">
        <v>572</v>
      </c>
      <c r="D3388" s="377">
        <v>1680</v>
      </c>
      <c r="E3388" s="380"/>
      <c r="F3388" s="378"/>
      <c r="G3388" s="380"/>
      <c r="H3388" s="380"/>
      <c r="I3388" s="399"/>
      <c r="J3388" s="377">
        <v>1140</v>
      </c>
      <c r="K3388" s="380"/>
      <c r="L3388" s="378"/>
      <c r="M3388" s="380"/>
      <c r="N3388" s="380"/>
      <c r="O3388" s="380"/>
      <c r="P3388" s="380"/>
      <c r="Q3388" s="380"/>
    </row>
    <row r="3389" spans="1:17" x14ac:dyDescent="0.2">
      <c r="A3389" s="380"/>
      <c r="B3389" s="380"/>
      <c r="C3389" s="380"/>
      <c r="D3389" s="394"/>
      <c r="E3389" s="380"/>
      <c r="F3389" s="378"/>
      <c r="G3389" s="380"/>
      <c r="H3389" s="380"/>
      <c r="I3389" s="399"/>
      <c r="J3389" s="394"/>
      <c r="K3389" s="380"/>
      <c r="L3389" s="378"/>
      <c r="M3389" s="380"/>
      <c r="N3389" s="380"/>
      <c r="O3389" s="380"/>
      <c r="P3389" s="380"/>
      <c r="Q3389" s="380"/>
    </row>
    <row r="3390" spans="1:17" x14ac:dyDescent="0.2">
      <c r="A3390" s="380"/>
      <c r="B3390" s="380"/>
      <c r="C3390" s="380"/>
      <c r="D3390" s="334">
        <f>SUM(D3352:D3388)</f>
        <v>18132</v>
      </c>
      <c r="E3390" s="380"/>
      <c r="F3390" s="378"/>
      <c r="G3390" s="380"/>
      <c r="H3390" s="380"/>
      <c r="I3390" s="385"/>
      <c r="J3390" s="334">
        <f>SUM(J3352:J3388)</f>
        <v>25238</v>
      </c>
      <c r="K3390" s="380"/>
      <c r="L3390" s="378"/>
      <c r="M3390" s="380"/>
      <c r="N3390" s="380"/>
      <c r="O3390" s="380"/>
      <c r="P3390" s="380"/>
      <c r="Q3390" s="380"/>
    </row>
    <row r="3391" spans="1:17" ht="15.75" thickTop="1" x14ac:dyDescent="0.2">
      <c r="A3391" s="380"/>
      <c r="B3391" s="380"/>
      <c r="C3391" s="380"/>
      <c r="D3391" s="395">
        <f>D3390-D3352</f>
        <v>18132</v>
      </c>
      <c r="E3391" s="380"/>
      <c r="F3391" s="378"/>
      <c r="G3391" s="380"/>
      <c r="H3391" s="380"/>
      <c r="I3391" s="399"/>
      <c r="J3391" s="395">
        <f>J3390-J3352</f>
        <v>25238</v>
      </c>
      <c r="K3391" s="380"/>
      <c r="L3391" s="378"/>
      <c r="M3391" s="380"/>
      <c r="N3391" s="380"/>
      <c r="O3391" s="380"/>
      <c r="P3391" s="380"/>
      <c r="Q3391" s="380"/>
    </row>
    <row r="3392" spans="1:17" x14ac:dyDescent="0.2">
      <c r="A3392" s="380"/>
      <c r="B3392" s="380"/>
      <c r="C3392" s="380"/>
      <c r="D3392" s="380"/>
      <c r="E3392" s="380"/>
      <c r="F3392" s="378"/>
      <c r="G3392" s="380"/>
      <c r="H3392" s="380"/>
      <c r="I3392" s="382"/>
      <c r="J3392" s="380"/>
      <c r="K3392" s="380"/>
      <c r="L3392" s="378"/>
      <c r="M3392" s="380"/>
      <c r="N3392" s="380"/>
      <c r="O3392" s="380"/>
      <c r="P3392" s="380"/>
      <c r="Q3392" s="380"/>
    </row>
    <row r="3393" spans="1:17" x14ac:dyDescent="0.2">
      <c r="A3393" s="334" t="s">
        <v>342</v>
      </c>
      <c r="B3393" s="380"/>
      <c r="C3393" s="334" t="s">
        <v>342</v>
      </c>
      <c r="D3393" s="334" t="s">
        <v>342</v>
      </c>
      <c r="E3393" s="380"/>
      <c r="F3393" s="378"/>
      <c r="G3393" s="380"/>
      <c r="H3393" s="380"/>
      <c r="I3393" s="385"/>
      <c r="J3393" s="334" t="s">
        <v>342</v>
      </c>
      <c r="K3393" s="380"/>
      <c r="L3393" s="378"/>
      <c r="M3393" s="380"/>
      <c r="N3393" s="380"/>
      <c r="O3393" s="380"/>
      <c r="P3393" s="380"/>
      <c r="Q3393" s="380"/>
    </row>
    <row r="3394" spans="1:17" x14ac:dyDescent="0.2">
      <c r="A3394" s="334" t="s">
        <v>1825</v>
      </c>
      <c r="B3394" s="377"/>
      <c r="C3394" s="377"/>
      <c r="D3394" s="377"/>
      <c r="E3394" s="377"/>
      <c r="F3394" s="378"/>
      <c r="G3394" s="377"/>
      <c r="H3394" s="377"/>
      <c r="I3394" s="399"/>
      <c r="J3394" s="377"/>
      <c r="K3394" s="377"/>
      <c r="L3394" s="378"/>
      <c r="M3394" s="377"/>
      <c r="N3394" s="377"/>
      <c r="O3394" s="380"/>
      <c r="P3394" s="380"/>
      <c r="Q3394" s="380"/>
    </row>
    <row r="3395" spans="1:17" x14ac:dyDescent="0.2">
      <c r="A3395" s="334" t="s">
        <v>1664</v>
      </c>
      <c r="B3395" s="380"/>
      <c r="C3395" s="384" t="s">
        <v>2128</v>
      </c>
      <c r="D3395" s="380"/>
      <c r="E3395" s="380"/>
      <c r="F3395" s="378"/>
      <c r="G3395" s="380"/>
      <c r="H3395" s="380"/>
      <c r="I3395" s="382"/>
      <c r="J3395" s="380"/>
      <c r="K3395" s="380"/>
      <c r="L3395" s="378"/>
      <c r="M3395" s="380"/>
      <c r="N3395" s="380"/>
      <c r="O3395" s="380"/>
      <c r="P3395" s="380"/>
      <c r="Q3395" s="380"/>
    </row>
    <row r="3396" spans="1:17" x14ac:dyDescent="0.2">
      <c r="A3396" s="380"/>
      <c r="B3396" s="380"/>
      <c r="C3396" s="380"/>
      <c r="D3396" s="380"/>
      <c r="E3396" s="380"/>
      <c r="F3396" s="378"/>
      <c r="G3396" s="380"/>
      <c r="H3396" s="380"/>
      <c r="I3396" s="382"/>
      <c r="J3396" s="380"/>
      <c r="K3396" s="380"/>
      <c r="L3396" s="378"/>
      <c r="M3396" s="380"/>
      <c r="N3396" s="380"/>
      <c r="O3396" s="380"/>
      <c r="P3396" s="380"/>
      <c r="Q3396" s="380"/>
    </row>
    <row r="3397" spans="1:17" x14ac:dyDescent="0.2">
      <c r="A3397" s="334" t="s">
        <v>1723</v>
      </c>
      <c r="B3397" s="380"/>
      <c r="C3397" s="334" t="s">
        <v>1880</v>
      </c>
      <c r="D3397" s="334" t="s">
        <v>181</v>
      </c>
      <c r="E3397" s="380"/>
      <c r="F3397" s="378"/>
      <c r="G3397" s="380"/>
      <c r="H3397" s="380"/>
      <c r="I3397" s="385"/>
      <c r="J3397" s="334" t="s">
        <v>181</v>
      </c>
      <c r="K3397" s="380"/>
      <c r="L3397" s="378"/>
      <c r="M3397" s="380"/>
      <c r="N3397" s="380"/>
      <c r="O3397" s="380"/>
      <c r="P3397" s="380"/>
      <c r="Q3397" s="380"/>
    </row>
    <row r="3398" spans="1:17" x14ac:dyDescent="0.2">
      <c r="A3398" s="334" t="s">
        <v>342</v>
      </c>
      <c r="B3398" s="380"/>
      <c r="C3398" s="334" t="s">
        <v>342</v>
      </c>
      <c r="D3398" s="334" t="s">
        <v>342</v>
      </c>
      <c r="E3398" s="380"/>
      <c r="F3398" s="378"/>
      <c r="G3398" s="380"/>
      <c r="H3398" s="380"/>
      <c r="I3398" s="385"/>
      <c r="J3398" s="334" t="s">
        <v>342</v>
      </c>
      <c r="K3398" s="380"/>
      <c r="L3398" s="378"/>
      <c r="M3398" s="380"/>
      <c r="N3398" s="380"/>
      <c r="O3398" s="380"/>
      <c r="P3398" s="380"/>
      <c r="Q3398" s="380"/>
    </row>
    <row r="3399" spans="1:17" x14ac:dyDescent="0.2">
      <c r="A3399" s="334" t="s">
        <v>1569</v>
      </c>
      <c r="B3399" s="380"/>
      <c r="C3399" s="334" t="s">
        <v>1888</v>
      </c>
      <c r="D3399" s="377">
        <v>4500</v>
      </c>
      <c r="E3399" s="380"/>
      <c r="F3399" s="378"/>
      <c r="G3399" s="380"/>
      <c r="H3399" s="380"/>
      <c r="I3399" s="399"/>
      <c r="J3399" s="377">
        <v>4500</v>
      </c>
      <c r="K3399" s="380"/>
      <c r="L3399" s="378"/>
      <c r="M3399" s="380"/>
      <c r="N3399" s="380"/>
      <c r="O3399" s="380"/>
      <c r="P3399" s="380"/>
      <c r="Q3399" s="380"/>
    </row>
    <row r="3400" spans="1:17" x14ac:dyDescent="0.2">
      <c r="A3400" s="334" t="s">
        <v>1724</v>
      </c>
      <c r="B3400" s="380"/>
      <c r="C3400" s="334" t="s">
        <v>1881</v>
      </c>
      <c r="D3400" s="377">
        <v>4500</v>
      </c>
      <c r="E3400" s="380"/>
      <c r="F3400" s="378"/>
      <c r="G3400" s="380"/>
      <c r="H3400" s="380"/>
      <c r="I3400" s="399"/>
      <c r="J3400" s="377">
        <v>4500</v>
      </c>
      <c r="K3400" s="380"/>
      <c r="L3400" s="378"/>
      <c r="M3400" s="380"/>
      <c r="N3400" s="380"/>
      <c r="O3400" s="380"/>
      <c r="P3400" s="380"/>
      <c r="Q3400" s="380"/>
    </row>
    <row r="3401" spans="1:17" x14ac:dyDescent="0.2">
      <c r="A3401" s="334" t="s">
        <v>1736</v>
      </c>
      <c r="B3401" s="380"/>
      <c r="C3401" s="334" t="s">
        <v>1747</v>
      </c>
      <c r="D3401" s="377"/>
      <c r="E3401" s="380"/>
      <c r="F3401" s="378"/>
      <c r="G3401" s="380"/>
      <c r="H3401" s="380"/>
      <c r="I3401" s="399"/>
      <c r="J3401" s="377"/>
      <c r="K3401" s="380"/>
      <c r="L3401" s="378"/>
      <c r="M3401" s="380"/>
      <c r="N3401" s="380"/>
      <c r="O3401" s="380"/>
      <c r="P3401" s="380"/>
      <c r="Q3401" s="380"/>
    </row>
    <row r="3402" spans="1:17" x14ac:dyDescent="0.2">
      <c r="A3402" s="334" t="s">
        <v>1744</v>
      </c>
      <c r="B3402" s="380"/>
      <c r="C3402" s="334" t="s">
        <v>1254</v>
      </c>
      <c r="D3402" s="377">
        <v>400</v>
      </c>
      <c r="E3402" s="380"/>
      <c r="F3402" s="378"/>
      <c r="G3402" s="380"/>
      <c r="H3402" s="380"/>
      <c r="I3402" s="399"/>
      <c r="J3402" s="377">
        <v>400</v>
      </c>
      <c r="K3402" s="380"/>
      <c r="L3402" s="378"/>
      <c r="M3402" s="380"/>
      <c r="N3402" s="380"/>
      <c r="O3402" s="380"/>
      <c r="P3402" s="380"/>
      <c r="Q3402" s="380"/>
    </row>
    <row r="3403" spans="1:17" x14ac:dyDescent="0.2">
      <c r="A3403" s="334" t="s">
        <v>1582</v>
      </c>
      <c r="B3403" s="380"/>
      <c r="C3403" s="334" t="s">
        <v>3135</v>
      </c>
      <c r="D3403" s="377">
        <v>360</v>
      </c>
      <c r="E3403" s="334" t="s">
        <v>342</v>
      </c>
      <c r="F3403" s="378"/>
      <c r="G3403" s="380"/>
      <c r="H3403" s="380"/>
      <c r="I3403" s="399"/>
      <c r="J3403" s="377">
        <v>360</v>
      </c>
      <c r="K3403" s="334" t="s">
        <v>342</v>
      </c>
      <c r="L3403" s="378"/>
      <c r="M3403" s="380"/>
      <c r="N3403" s="380"/>
      <c r="O3403" s="380"/>
      <c r="P3403" s="380"/>
      <c r="Q3403" s="380"/>
    </row>
    <row r="3404" spans="1:17" x14ac:dyDescent="0.2">
      <c r="A3404" s="334" t="s">
        <v>1575</v>
      </c>
      <c r="B3404" s="380"/>
      <c r="C3404" s="334" t="s">
        <v>1889</v>
      </c>
      <c r="D3404" s="377">
        <v>875</v>
      </c>
      <c r="E3404" s="380"/>
      <c r="F3404" s="378"/>
      <c r="G3404" s="380"/>
      <c r="H3404" s="380"/>
      <c r="I3404" s="399"/>
      <c r="J3404" s="377">
        <v>875</v>
      </c>
      <c r="K3404" s="380"/>
      <c r="L3404" s="378"/>
      <c r="M3404" s="380"/>
      <c r="N3404" s="380"/>
      <c r="O3404" s="380"/>
      <c r="P3404" s="380"/>
      <c r="Q3404" s="380"/>
    </row>
    <row r="3405" spans="1:17" x14ac:dyDescent="0.2">
      <c r="A3405" s="334" t="s">
        <v>1725</v>
      </c>
      <c r="B3405" s="380"/>
      <c r="C3405" s="334" t="s">
        <v>1890</v>
      </c>
      <c r="D3405" s="377">
        <v>270</v>
      </c>
      <c r="E3405" s="380"/>
      <c r="F3405" s="378"/>
      <c r="G3405" s="380"/>
      <c r="H3405" s="380"/>
      <c r="I3405" s="399"/>
      <c r="J3405" s="377">
        <v>270</v>
      </c>
      <c r="K3405" s="380"/>
      <c r="L3405" s="378"/>
      <c r="M3405" s="380"/>
      <c r="N3405" s="380"/>
      <c r="O3405" s="380"/>
      <c r="P3405" s="380"/>
      <c r="Q3405" s="380"/>
    </row>
    <row r="3406" spans="1:17" x14ac:dyDescent="0.2">
      <c r="A3406" s="384" t="s">
        <v>1745</v>
      </c>
      <c r="B3406" s="380"/>
      <c r="C3406" s="334" t="s">
        <v>1887</v>
      </c>
      <c r="D3406" s="377">
        <v>450</v>
      </c>
      <c r="E3406" s="380"/>
      <c r="F3406" s="378"/>
      <c r="G3406" s="380"/>
      <c r="H3406" s="380"/>
      <c r="I3406" s="399"/>
      <c r="J3406" s="377">
        <v>450</v>
      </c>
      <c r="K3406" s="380"/>
      <c r="L3406" s="378"/>
      <c r="M3406" s="380"/>
      <c r="N3406" s="380"/>
      <c r="O3406" s="380"/>
      <c r="P3406" s="380"/>
      <c r="Q3406" s="380"/>
    </row>
    <row r="3407" spans="1:17" x14ac:dyDescent="0.2">
      <c r="A3407" s="384" t="s">
        <v>1906</v>
      </c>
      <c r="B3407" s="380"/>
      <c r="C3407" s="334" t="s">
        <v>39</v>
      </c>
      <c r="D3407" s="377"/>
      <c r="E3407" s="380"/>
      <c r="F3407" s="378"/>
      <c r="G3407" s="380"/>
      <c r="H3407" s="380"/>
      <c r="I3407" s="399"/>
      <c r="J3407" s="377"/>
      <c r="K3407" s="380"/>
      <c r="L3407" s="378"/>
      <c r="M3407" s="380"/>
      <c r="N3407" s="380"/>
      <c r="O3407" s="380"/>
      <c r="P3407" s="380"/>
      <c r="Q3407" s="380"/>
    </row>
    <row r="3408" spans="1:17" x14ac:dyDescent="0.2">
      <c r="A3408" s="384" t="s">
        <v>1576</v>
      </c>
      <c r="B3408" s="380"/>
      <c r="C3408" s="334" t="s">
        <v>1590</v>
      </c>
      <c r="D3408" s="377"/>
      <c r="E3408" s="380"/>
      <c r="F3408" s="378"/>
      <c r="G3408" s="380"/>
      <c r="H3408" s="380"/>
      <c r="I3408" s="399"/>
      <c r="J3408" s="377"/>
      <c r="K3408" s="380"/>
      <c r="L3408" s="378"/>
      <c r="M3408" s="380"/>
      <c r="N3408" s="380"/>
      <c r="O3408" s="380"/>
      <c r="P3408" s="380"/>
      <c r="Q3408" s="380"/>
    </row>
    <row r="3409" spans="1:17" x14ac:dyDescent="0.2">
      <c r="A3409" s="334" t="s">
        <v>1565</v>
      </c>
      <c r="B3409" s="380"/>
      <c r="C3409" s="334" t="s">
        <v>1927</v>
      </c>
      <c r="D3409" s="377">
        <v>180</v>
      </c>
      <c r="E3409" s="380"/>
      <c r="F3409" s="378"/>
      <c r="G3409" s="380"/>
      <c r="H3409" s="380"/>
      <c r="I3409" s="399"/>
      <c r="J3409" s="377">
        <v>180</v>
      </c>
      <c r="K3409" s="380"/>
      <c r="L3409" s="378"/>
      <c r="M3409" s="380"/>
      <c r="N3409" s="380"/>
      <c r="O3409" s="380"/>
      <c r="P3409" s="380"/>
      <c r="Q3409" s="380"/>
    </row>
    <row r="3410" spans="1:17" x14ac:dyDescent="0.2">
      <c r="A3410" s="334" t="s">
        <v>1737</v>
      </c>
      <c r="B3410" s="380"/>
      <c r="C3410" s="334" t="s">
        <v>1984</v>
      </c>
      <c r="D3410" s="377">
        <v>360</v>
      </c>
      <c r="E3410" s="380"/>
      <c r="F3410" s="378"/>
      <c r="G3410" s="380"/>
      <c r="H3410" s="380"/>
      <c r="I3410" s="399"/>
      <c r="J3410" s="377">
        <v>360</v>
      </c>
      <c r="K3410" s="380"/>
      <c r="L3410" s="378"/>
      <c r="M3410" s="380"/>
      <c r="N3410" s="380"/>
      <c r="O3410" s="380"/>
      <c r="P3410" s="380"/>
      <c r="Q3410" s="380"/>
    </row>
    <row r="3411" spans="1:17" x14ac:dyDescent="0.2">
      <c r="A3411" s="334" t="s">
        <v>1726</v>
      </c>
      <c r="B3411" s="380"/>
      <c r="C3411" s="334" t="s">
        <v>1117</v>
      </c>
      <c r="D3411" s="377"/>
      <c r="E3411" s="380"/>
      <c r="F3411" s="378"/>
      <c r="G3411" s="380"/>
      <c r="H3411" s="380"/>
      <c r="I3411" s="399"/>
      <c r="J3411" s="377"/>
      <c r="K3411" s="380"/>
      <c r="L3411" s="378"/>
      <c r="M3411" s="380"/>
      <c r="N3411" s="380"/>
      <c r="O3411" s="380"/>
      <c r="P3411" s="380"/>
      <c r="Q3411" s="380"/>
    </row>
    <row r="3412" spans="1:17" x14ac:dyDescent="0.2">
      <c r="A3412" s="384" t="s">
        <v>1828</v>
      </c>
      <c r="B3412" s="380"/>
      <c r="C3412" s="334" t="s">
        <v>2712</v>
      </c>
      <c r="D3412" s="377"/>
      <c r="E3412" s="380"/>
      <c r="F3412" s="378"/>
      <c r="G3412" s="380"/>
      <c r="H3412" s="380"/>
      <c r="I3412" s="399"/>
      <c r="J3412" s="377"/>
      <c r="K3412" s="380"/>
      <c r="L3412" s="378"/>
      <c r="M3412" s="380"/>
      <c r="N3412" s="380"/>
      <c r="O3412" s="380"/>
      <c r="P3412" s="380"/>
      <c r="Q3412" s="380"/>
    </row>
    <row r="3413" spans="1:17" x14ac:dyDescent="0.2">
      <c r="A3413" s="384" t="s">
        <v>1751</v>
      </c>
      <c r="B3413" s="380"/>
      <c r="C3413" s="334" t="s">
        <v>3138</v>
      </c>
      <c r="D3413" s="377"/>
      <c r="E3413" s="380"/>
      <c r="F3413" s="378"/>
      <c r="G3413" s="380"/>
      <c r="H3413" s="380"/>
      <c r="I3413" s="399"/>
      <c r="J3413" s="377"/>
      <c r="K3413" s="380"/>
      <c r="L3413" s="378"/>
      <c r="M3413" s="380"/>
      <c r="N3413" s="380"/>
      <c r="O3413" s="380"/>
      <c r="P3413" s="380"/>
      <c r="Q3413" s="380"/>
    </row>
    <row r="3414" spans="1:17" x14ac:dyDescent="0.2">
      <c r="A3414" s="384" t="s">
        <v>1952</v>
      </c>
      <c r="B3414" s="380"/>
      <c r="C3414" s="334" t="s">
        <v>1251</v>
      </c>
      <c r="D3414" s="377"/>
      <c r="E3414" s="380"/>
      <c r="F3414" s="378"/>
      <c r="G3414" s="380"/>
      <c r="H3414" s="380"/>
      <c r="I3414" s="399"/>
      <c r="J3414" s="377"/>
      <c r="K3414" s="380"/>
      <c r="L3414" s="378"/>
      <c r="M3414" s="380"/>
      <c r="N3414" s="380"/>
      <c r="O3414" s="380"/>
      <c r="P3414" s="380"/>
      <c r="Q3414" s="380"/>
    </row>
    <row r="3415" spans="1:17" x14ac:dyDescent="0.2">
      <c r="A3415" s="334" t="s">
        <v>1577</v>
      </c>
      <c r="B3415" s="380"/>
      <c r="C3415" s="334" t="s">
        <v>1815</v>
      </c>
      <c r="D3415" s="377">
        <v>900</v>
      </c>
      <c r="E3415" s="380"/>
      <c r="F3415" s="378"/>
      <c r="G3415" s="380"/>
      <c r="H3415" s="380"/>
      <c r="I3415" s="399"/>
      <c r="J3415" s="377">
        <v>900</v>
      </c>
      <c r="K3415" s="380"/>
      <c r="L3415" s="378"/>
      <c r="M3415" s="380"/>
      <c r="N3415" s="380"/>
      <c r="O3415" s="380"/>
      <c r="P3415" s="380"/>
      <c r="Q3415" s="380"/>
    </row>
    <row r="3416" spans="1:17" x14ac:dyDescent="0.2">
      <c r="A3416" s="334" t="s">
        <v>1734</v>
      </c>
      <c r="B3416" s="380"/>
      <c r="C3416" s="334" t="s">
        <v>1746</v>
      </c>
      <c r="D3416" s="377"/>
      <c r="E3416" s="380"/>
      <c r="F3416" s="378"/>
      <c r="G3416" s="380"/>
      <c r="H3416" s="380"/>
      <c r="I3416" s="399"/>
      <c r="J3416" s="377"/>
      <c r="K3416" s="380"/>
      <c r="L3416" s="378"/>
      <c r="M3416" s="380"/>
      <c r="N3416" s="380"/>
      <c r="O3416" s="380"/>
      <c r="P3416" s="380"/>
      <c r="Q3416" s="380"/>
    </row>
    <row r="3417" spans="1:17" x14ac:dyDescent="0.2">
      <c r="A3417" s="334" t="s">
        <v>1571</v>
      </c>
      <c r="B3417" s="380"/>
      <c r="C3417" s="334" t="s">
        <v>3</v>
      </c>
      <c r="D3417" s="377"/>
      <c r="E3417" s="380"/>
      <c r="F3417" s="378"/>
      <c r="G3417" s="380"/>
      <c r="H3417" s="380"/>
      <c r="I3417" s="399"/>
      <c r="J3417" s="377"/>
      <c r="K3417" s="380"/>
      <c r="L3417" s="378"/>
      <c r="M3417" s="380"/>
      <c r="N3417" s="380"/>
      <c r="O3417" s="380"/>
      <c r="P3417" s="380"/>
      <c r="Q3417" s="380"/>
    </row>
    <row r="3418" spans="1:17" x14ac:dyDescent="0.2">
      <c r="A3418" s="334" t="s">
        <v>1578</v>
      </c>
      <c r="B3418" s="380"/>
      <c r="C3418" s="334" t="s">
        <v>22</v>
      </c>
      <c r="D3418" s="377"/>
      <c r="E3418" s="380"/>
      <c r="F3418" s="378"/>
      <c r="G3418" s="380"/>
      <c r="H3418" s="380"/>
      <c r="I3418" s="399"/>
      <c r="J3418" s="377"/>
      <c r="K3418" s="380"/>
      <c r="L3418" s="378"/>
      <c r="M3418" s="380"/>
      <c r="N3418" s="380"/>
      <c r="O3418" s="380"/>
      <c r="P3418" s="380"/>
      <c r="Q3418" s="380"/>
    </row>
    <row r="3419" spans="1:17" x14ac:dyDescent="0.2">
      <c r="A3419" s="334" t="s">
        <v>1738</v>
      </c>
      <c r="B3419" s="380"/>
      <c r="C3419" s="334" t="s">
        <v>1591</v>
      </c>
      <c r="D3419" s="377">
        <v>900</v>
      </c>
      <c r="E3419" s="380"/>
      <c r="F3419" s="378"/>
      <c r="G3419" s="380"/>
      <c r="H3419" s="380"/>
      <c r="I3419" s="399"/>
      <c r="J3419" s="377">
        <v>900</v>
      </c>
      <c r="K3419" s="380"/>
      <c r="L3419" s="378"/>
      <c r="M3419" s="380"/>
      <c r="N3419" s="380"/>
      <c r="O3419" s="380"/>
      <c r="P3419" s="380"/>
      <c r="Q3419" s="380"/>
    </row>
    <row r="3420" spans="1:17" x14ac:dyDescent="0.2">
      <c r="A3420" s="334" t="s">
        <v>1727</v>
      </c>
      <c r="B3420" s="380"/>
      <c r="C3420" s="334" t="s">
        <v>307</v>
      </c>
      <c r="D3420" s="377">
        <v>1800</v>
      </c>
      <c r="E3420" s="380"/>
      <c r="F3420" s="378"/>
      <c r="G3420" s="380"/>
      <c r="H3420" s="380"/>
      <c r="I3420" s="399"/>
      <c r="J3420" s="377">
        <v>1800</v>
      </c>
      <c r="K3420" s="380"/>
      <c r="L3420" s="378"/>
      <c r="M3420" s="380"/>
      <c r="N3420" s="380"/>
      <c r="O3420" s="380"/>
      <c r="P3420" s="380"/>
      <c r="Q3420" s="380"/>
    </row>
    <row r="3421" spans="1:17" x14ac:dyDescent="0.2">
      <c r="A3421" s="334" t="s">
        <v>1728</v>
      </c>
      <c r="B3421" s="380"/>
      <c r="C3421" s="334" t="s">
        <v>310</v>
      </c>
      <c r="D3421" s="377">
        <v>900</v>
      </c>
      <c r="E3421" s="380"/>
      <c r="F3421" s="378"/>
      <c r="G3421" s="380"/>
      <c r="H3421" s="380"/>
      <c r="I3421" s="399"/>
      <c r="J3421" s="377">
        <v>900</v>
      </c>
      <c r="K3421" s="380"/>
      <c r="L3421" s="378"/>
      <c r="M3421" s="380"/>
      <c r="N3421" s="380"/>
      <c r="O3421" s="380"/>
      <c r="P3421" s="380"/>
      <c r="Q3421" s="380"/>
    </row>
    <row r="3422" spans="1:17" x14ac:dyDescent="0.2">
      <c r="A3422" s="334" t="s">
        <v>1729</v>
      </c>
      <c r="B3422" s="380"/>
      <c r="C3422" s="380" t="s">
        <v>1551</v>
      </c>
      <c r="D3422" s="377"/>
      <c r="E3422" s="380"/>
      <c r="F3422" s="378"/>
      <c r="G3422" s="380"/>
      <c r="H3422" s="380"/>
      <c r="I3422" s="399"/>
      <c r="J3422" s="377">
        <v>450</v>
      </c>
      <c r="K3422" s="380"/>
      <c r="L3422" s="378"/>
      <c r="M3422" s="380"/>
      <c r="N3422" s="380"/>
      <c r="O3422" s="380"/>
      <c r="P3422" s="380"/>
      <c r="Q3422" s="380"/>
    </row>
    <row r="3423" spans="1:17" x14ac:dyDescent="0.2">
      <c r="A3423" s="334" t="s">
        <v>1735</v>
      </c>
      <c r="B3423" s="380"/>
      <c r="C3423" s="380" t="s">
        <v>194</v>
      </c>
      <c r="D3423" s="377"/>
      <c r="E3423" s="380"/>
      <c r="F3423" s="378"/>
      <c r="G3423" s="380"/>
      <c r="H3423" s="380"/>
      <c r="I3423" s="399"/>
      <c r="J3423" s="377">
        <v>270</v>
      </c>
      <c r="K3423" s="380"/>
      <c r="L3423" s="378"/>
      <c r="M3423" s="380"/>
      <c r="N3423" s="380"/>
      <c r="O3423" s="380"/>
      <c r="P3423" s="380"/>
      <c r="Q3423" s="380"/>
    </row>
    <row r="3424" spans="1:17" x14ac:dyDescent="0.2">
      <c r="A3424" s="334" t="s">
        <v>1741</v>
      </c>
      <c r="B3424" s="380"/>
      <c r="C3424" s="334" t="s">
        <v>1748</v>
      </c>
      <c r="D3424" s="377">
        <v>675</v>
      </c>
      <c r="E3424" s="380"/>
      <c r="F3424" s="378"/>
      <c r="G3424" s="380"/>
      <c r="H3424" s="380"/>
      <c r="I3424" s="399"/>
      <c r="J3424" s="377">
        <v>675</v>
      </c>
      <c r="K3424" s="380"/>
      <c r="L3424" s="378"/>
      <c r="M3424" s="380"/>
      <c r="N3424" s="380"/>
      <c r="O3424" s="380"/>
      <c r="P3424" s="380"/>
      <c r="Q3424" s="380"/>
    </row>
    <row r="3425" spans="1:17" x14ac:dyDescent="0.2">
      <c r="A3425" s="334" t="s">
        <v>1742</v>
      </c>
      <c r="B3425" s="380"/>
      <c r="C3425" s="334" t="s">
        <v>1553</v>
      </c>
      <c r="D3425" s="377"/>
      <c r="E3425" s="380"/>
      <c r="F3425" s="378"/>
      <c r="G3425" s="380"/>
      <c r="H3425" s="380"/>
      <c r="I3425" s="399"/>
      <c r="J3425" s="377"/>
      <c r="K3425" s="380"/>
      <c r="L3425" s="378"/>
      <c r="M3425" s="380"/>
      <c r="N3425" s="380"/>
      <c r="O3425" s="380"/>
      <c r="P3425" s="380"/>
      <c r="Q3425" s="380"/>
    </row>
    <row r="3426" spans="1:17" x14ac:dyDescent="0.2">
      <c r="A3426" s="384" t="s">
        <v>1754</v>
      </c>
      <c r="B3426" s="380"/>
      <c r="C3426" s="334" t="s">
        <v>1929</v>
      </c>
      <c r="D3426" s="377"/>
      <c r="E3426" s="380"/>
      <c r="F3426" s="378"/>
      <c r="G3426" s="380"/>
      <c r="H3426" s="380"/>
      <c r="I3426" s="399"/>
      <c r="J3426" s="377"/>
      <c r="K3426" s="380"/>
      <c r="L3426" s="378"/>
      <c r="M3426" s="380"/>
      <c r="N3426" s="380"/>
      <c r="O3426" s="380"/>
      <c r="P3426" s="380"/>
      <c r="Q3426" s="380"/>
    </row>
    <row r="3427" spans="1:17" x14ac:dyDescent="0.2">
      <c r="A3427" s="334" t="s">
        <v>1572</v>
      </c>
      <c r="B3427" s="380"/>
      <c r="C3427" s="334" t="s">
        <v>3134</v>
      </c>
      <c r="D3427" s="377"/>
      <c r="E3427" s="380"/>
      <c r="F3427" s="378"/>
      <c r="G3427" s="380"/>
      <c r="H3427" s="380"/>
      <c r="I3427" s="399"/>
      <c r="J3427" s="377"/>
      <c r="K3427" s="380"/>
      <c r="L3427" s="378"/>
      <c r="M3427" s="380"/>
      <c r="N3427" s="380"/>
      <c r="O3427" s="380"/>
      <c r="P3427" s="380"/>
      <c r="Q3427" s="380"/>
    </row>
    <row r="3428" spans="1:17" x14ac:dyDescent="0.2">
      <c r="A3428" s="334" t="s">
        <v>1730</v>
      </c>
      <c r="B3428" s="380"/>
      <c r="C3428" s="334" t="s">
        <v>1985</v>
      </c>
      <c r="D3428" s="377">
        <v>500</v>
      </c>
      <c r="E3428" s="380"/>
      <c r="F3428" s="378"/>
      <c r="G3428" s="380"/>
      <c r="H3428" s="380"/>
      <c r="I3428" s="399"/>
      <c r="J3428" s="377">
        <v>500</v>
      </c>
      <c r="K3428" s="380"/>
      <c r="L3428" s="378"/>
      <c r="M3428" s="380"/>
      <c r="N3428" s="380"/>
      <c r="O3428" s="380"/>
      <c r="P3428" s="380"/>
      <c r="Q3428" s="380"/>
    </row>
    <row r="3429" spans="1:17" x14ac:dyDescent="0.2">
      <c r="A3429" s="334" t="s">
        <v>1566</v>
      </c>
      <c r="B3429" s="380"/>
      <c r="C3429" s="334" t="s">
        <v>366</v>
      </c>
      <c r="D3429" s="377">
        <v>1600</v>
      </c>
      <c r="E3429" s="380"/>
      <c r="F3429" s="378"/>
      <c r="G3429" s="380"/>
      <c r="H3429" s="380"/>
      <c r="I3429" s="399"/>
      <c r="J3429" s="377">
        <v>1600</v>
      </c>
      <c r="K3429" s="380"/>
      <c r="L3429" s="378"/>
      <c r="M3429" s="380"/>
      <c r="N3429" s="380"/>
      <c r="O3429" s="380"/>
      <c r="P3429" s="380"/>
      <c r="Q3429" s="380"/>
    </row>
    <row r="3430" spans="1:17" x14ac:dyDescent="0.2">
      <c r="A3430" s="334" t="s">
        <v>1587</v>
      </c>
      <c r="B3430" s="380"/>
      <c r="C3430" s="334" t="s">
        <v>34</v>
      </c>
      <c r="D3430" s="377">
        <v>450</v>
      </c>
      <c r="E3430" s="380"/>
      <c r="F3430" s="378"/>
      <c r="G3430" s="380"/>
      <c r="H3430" s="380"/>
      <c r="I3430" s="399"/>
      <c r="J3430" s="377">
        <v>450</v>
      </c>
      <c r="K3430" s="380"/>
      <c r="L3430" s="378"/>
      <c r="M3430" s="380"/>
      <c r="N3430" s="380"/>
      <c r="O3430" s="380"/>
      <c r="P3430" s="380"/>
      <c r="Q3430" s="380"/>
    </row>
    <row r="3431" spans="1:17" x14ac:dyDescent="0.2">
      <c r="A3431" s="334" t="s">
        <v>1588</v>
      </c>
      <c r="B3431" s="380"/>
      <c r="C3431" s="334" t="s">
        <v>191</v>
      </c>
      <c r="D3431" s="377">
        <v>450</v>
      </c>
      <c r="E3431" s="380"/>
      <c r="F3431" s="378"/>
      <c r="G3431" s="380"/>
      <c r="H3431" s="380"/>
      <c r="I3431" s="399"/>
      <c r="J3431" s="377">
        <v>450</v>
      </c>
      <c r="K3431" s="380"/>
      <c r="L3431" s="378"/>
      <c r="M3431" s="380"/>
      <c r="N3431" s="380"/>
      <c r="O3431" s="380"/>
      <c r="P3431" s="380"/>
      <c r="Q3431" s="380"/>
    </row>
    <row r="3432" spans="1:17" x14ac:dyDescent="0.2">
      <c r="A3432" s="334" t="s">
        <v>1903</v>
      </c>
      <c r="B3432" s="380"/>
      <c r="C3432" s="334" t="s">
        <v>35</v>
      </c>
      <c r="D3432" s="377">
        <v>900</v>
      </c>
      <c r="E3432" s="380"/>
      <c r="F3432" s="378"/>
      <c r="G3432" s="380"/>
      <c r="H3432" s="380"/>
      <c r="I3432" s="399"/>
      <c r="J3432" s="377">
        <v>900</v>
      </c>
      <c r="K3432" s="380"/>
      <c r="L3432" s="378"/>
      <c r="M3432" s="380"/>
      <c r="N3432" s="380"/>
      <c r="O3432" s="380"/>
      <c r="P3432" s="380"/>
      <c r="Q3432" s="380"/>
    </row>
    <row r="3433" spans="1:17" x14ac:dyDescent="0.2">
      <c r="A3433" s="384" t="s">
        <v>1962</v>
      </c>
      <c r="B3433" s="380"/>
      <c r="C3433" s="380" t="s">
        <v>572</v>
      </c>
      <c r="D3433" s="377">
        <v>900</v>
      </c>
      <c r="E3433" s="380"/>
      <c r="F3433" s="378"/>
      <c r="G3433" s="380"/>
      <c r="H3433" s="380"/>
      <c r="I3433" s="399"/>
      <c r="J3433" s="377">
        <v>900</v>
      </c>
      <c r="K3433" s="380"/>
      <c r="L3433" s="378"/>
      <c r="M3433" s="380"/>
      <c r="N3433" s="380"/>
      <c r="O3433" s="380"/>
      <c r="P3433" s="380"/>
      <c r="Q3433" s="380"/>
    </row>
    <row r="3434" spans="1:17" x14ac:dyDescent="0.2">
      <c r="A3434" s="334" t="s">
        <v>342</v>
      </c>
      <c r="B3434" s="380"/>
      <c r="C3434" s="334" t="s">
        <v>342</v>
      </c>
      <c r="D3434" s="410" t="s">
        <v>342</v>
      </c>
      <c r="E3434" s="380"/>
      <c r="F3434" s="378"/>
      <c r="G3434" s="380"/>
      <c r="H3434" s="380"/>
      <c r="I3434" s="385"/>
      <c r="J3434" s="410" t="s">
        <v>342</v>
      </c>
      <c r="K3434" s="380"/>
      <c r="L3434" s="378"/>
      <c r="M3434" s="380"/>
      <c r="N3434" s="380"/>
      <c r="O3434" s="380"/>
      <c r="P3434" s="380"/>
      <c r="Q3434" s="380"/>
    </row>
    <row r="3435" spans="1:17" x14ac:dyDescent="0.2">
      <c r="A3435" s="334" t="s">
        <v>342</v>
      </c>
      <c r="B3435" s="380"/>
      <c r="C3435" s="334" t="s">
        <v>342</v>
      </c>
      <c r="D3435" s="334">
        <f>SUM(D3399:D3433)</f>
        <v>21870</v>
      </c>
      <c r="E3435" s="380"/>
      <c r="F3435" s="378"/>
      <c r="G3435" s="380"/>
      <c r="H3435" s="380"/>
      <c r="I3435" s="385"/>
      <c r="J3435" s="334">
        <f>SUM(J3399:J3433)</f>
        <v>22590</v>
      </c>
      <c r="K3435" s="380"/>
      <c r="L3435" s="378"/>
      <c r="M3435" s="380"/>
      <c r="N3435" s="380"/>
      <c r="O3435" s="380"/>
      <c r="P3435" s="380"/>
      <c r="Q3435" s="380"/>
    </row>
    <row r="3436" spans="1:17" ht="15.75" thickTop="1" x14ac:dyDescent="0.2">
      <c r="A3436" s="334" t="s">
        <v>365</v>
      </c>
      <c r="B3436" s="380"/>
      <c r="C3436" s="334" t="s">
        <v>342</v>
      </c>
      <c r="D3436" s="400">
        <f>D3435</f>
        <v>21870</v>
      </c>
      <c r="E3436" s="380"/>
      <c r="F3436" s="378"/>
      <c r="G3436" s="380"/>
      <c r="H3436" s="380"/>
      <c r="I3436" s="385"/>
      <c r="J3436" s="400">
        <f>J3435</f>
        <v>22590</v>
      </c>
      <c r="K3436" s="380"/>
      <c r="L3436" s="378"/>
      <c r="M3436" s="380"/>
      <c r="N3436" s="380"/>
      <c r="O3436" s="380"/>
      <c r="P3436" s="380"/>
      <c r="Q3436" s="380"/>
    </row>
    <row r="3437" spans="1:17" x14ac:dyDescent="0.2">
      <c r="A3437" s="334" t="s">
        <v>342</v>
      </c>
      <c r="B3437" s="380"/>
      <c r="C3437" s="334" t="s">
        <v>342</v>
      </c>
      <c r="D3437" s="334" t="s">
        <v>342</v>
      </c>
      <c r="E3437" s="380"/>
      <c r="F3437" s="378"/>
      <c r="G3437" s="380"/>
      <c r="H3437" s="380"/>
      <c r="I3437" s="385"/>
      <c r="J3437" s="334" t="s">
        <v>342</v>
      </c>
      <c r="K3437" s="380"/>
      <c r="L3437" s="378"/>
      <c r="M3437" s="380"/>
      <c r="N3437" s="380"/>
      <c r="O3437" s="380"/>
      <c r="P3437" s="380"/>
      <c r="Q3437" s="380"/>
    </row>
    <row r="3438" spans="1:17" x14ac:dyDescent="0.2">
      <c r="A3438" s="380"/>
      <c r="B3438" s="380"/>
      <c r="C3438" s="380"/>
      <c r="D3438" s="380"/>
      <c r="E3438" s="380"/>
      <c r="F3438" s="378"/>
      <c r="G3438" s="380"/>
      <c r="H3438" s="380"/>
      <c r="I3438" s="382"/>
      <c r="J3438" s="380"/>
      <c r="K3438" s="380"/>
      <c r="L3438" s="378"/>
      <c r="M3438" s="380"/>
      <c r="N3438" s="380"/>
      <c r="O3438" s="380"/>
      <c r="P3438" s="380"/>
      <c r="Q3438" s="380"/>
    </row>
    <row r="3439" spans="1:17" x14ac:dyDescent="0.2">
      <c r="A3439" s="377"/>
      <c r="B3439" s="377"/>
      <c r="C3439" s="377"/>
      <c r="D3439" s="377"/>
      <c r="E3439" s="377"/>
      <c r="F3439" s="378"/>
      <c r="G3439" s="377"/>
      <c r="H3439" s="377"/>
      <c r="I3439" s="399"/>
      <c r="J3439" s="377"/>
      <c r="K3439" s="377"/>
      <c r="L3439" s="378"/>
      <c r="M3439" s="377"/>
      <c r="N3439" s="377"/>
      <c r="O3439" s="380"/>
      <c r="P3439" s="380"/>
      <c r="Q3439" s="380"/>
    </row>
    <row r="3440" spans="1:17" x14ac:dyDescent="0.2">
      <c r="A3440" s="334" t="s">
        <v>2756</v>
      </c>
      <c r="B3440" s="380"/>
      <c r="C3440" s="380"/>
      <c r="D3440" s="380"/>
      <c r="E3440" s="380"/>
      <c r="F3440" s="378"/>
      <c r="G3440" s="380"/>
      <c r="H3440" s="380"/>
      <c r="I3440" s="382"/>
      <c r="J3440" s="380"/>
      <c r="K3440" s="380"/>
      <c r="L3440" s="378"/>
      <c r="M3440" s="380"/>
      <c r="N3440" s="380"/>
      <c r="O3440" s="380"/>
      <c r="P3440" s="380"/>
      <c r="Q3440" s="380"/>
    </row>
    <row r="3441" spans="1:17" x14ac:dyDescent="0.2">
      <c r="A3441" s="334" t="s">
        <v>342</v>
      </c>
      <c r="B3441" s="380"/>
      <c r="C3441" s="384" t="s">
        <v>2160</v>
      </c>
      <c r="D3441" s="380"/>
      <c r="E3441" s="380"/>
      <c r="F3441" s="378"/>
      <c r="G3441" s="380"/>
      <c r="H3441" s="380"/>
      <c r="I3441" s="382"/>
      <c r="J3441" s="380"/>
      <c r="K3441" s="380"/>
      <c r="L3441" s="378"/>
      <c r="M3441" s="380"/>
      <c r="N3441" s="380"/>
      <c r="O3441" s="380"/>
      <c r="P3441" s="380"/>
      <c r="Q3441" s="380"/>
    </row>
    <row r="3442" spans="1:17" x14ac:dyDescent="0.2">
      <c r="A3442" s="334" t="s">
        <v>342</v>
      </c>
      <c r="B3442" s="380"/>
      <c r="C3442" s="334" t="s">
        <v>342</v>
      </c>
      <c r="D3442" s="334" t="s">
        <v>342</v>
      </c>
      <c r="E3442" s="380"/>
      <c r="F3442" s="378"/>
      <c r="G3442" s="380"/>
      <c r="H3442" s="380"/>
      <c r="I3442" s="385"/>
      <c r="J3442" s="334" t="s">
        <v>342</v>
      </c>
      <c r="K3442" s="380"/>
      <c r="L3442" s="378"/>
      <c r="M3442" s="380"/>
      <c r="N3442" s="380"/>
      <c r="O3442" s="380"/>
      <c r="P3442" s="380"/>
      <c r="Q3442" s="380"/>
    </row>
    <row r="3443" spans="1:17" x14ac:dyDescent="0.2">
      <c r="A3443" s="334" t="s">
        <v>1723</v>
      </c>
      <c r="B3443" s="380"/>
      <c r="C3443" s="334" t="s">
        <v>1880</v>
      </c>
      <c r="D3443" s="428" t="s">
        <v>210</v>
      </c>
      <c r="E3443" s="428" t="s">
        <v>238</v>
      </c>
      <c r="F3443" s="412" t="s">
        <v>120</v>
      </c>
      <c r="G3443" s="428"/>
      <c r="H3443" s="428" t="s">
        <v>410</v>
      </c>
      <c r="I3443" s="430"/>
      <c r="J3443" s="428" t="s">
        <v>210</v>
      </c>
      <c r="K3443" s="428" t="s">
        <v>238</v>
      </c>
      <c r="L3443" s="412" t="s">
        <v>120</v>
      </c>
      <c r="M3443" s="428"/>
      <c r="N3443" s="428" t="s">
        <v>410</v>
      </c>
      <c r="O3443" s="380"/>
      <c r="P3443" s="380"/>
      <c r="Q3443" s="380"/>
    </row>
    <row r="3444" spans="1:17" x14ac:dyDescent="0.2">
      <c r="A3444" s="334" t="s">
        <v>342</v>
      </c>
      <c r="B3444" s="380"/>
      <c r="C3444" s="334" t="s">
        <v>342</v>
      </c>
      <c r="D3444" s="380"/>
      <c r="E3444" s="380"/>
      <c r="F3444" s="378"/>
      <c r="G3444" s="380"/>
      <c r="H3444" s="380"/>
      <c r="I3444" s="382"/>
      <c r="J3444" s="380"/>
      <c r="K3444" s="380"/>
      <c r="L3444" s="378"/>
      <c r="M3444" s="380"/>
      <c r="N3444" s="380"/>
      <c r="O3444" s="380"/>
      <c r="P3444" s="380"/>
      <c r="Q3444" s="380"/>
    </row>
    <row r="3445" spans="1:17" x14ac:dyDescent="0.2">
      <c r="A3445" s="391" t="s">
        <v>1743</v>
      </c>
      <c r="B3445" s="380"/>
      <c r="C3445" s="334" t="s">
        <v>1886</v>
      </c>
      <c r="D3445" s="427">
        <v>19000</v>
      </c>
      <c r="E3445" s="427">
        <v>19000</v>
      </c>
      <c r="F3445" s="378">
        <v>38700</v>
      </c>
      <c r="G3445" s="377"/>
      <c r="H3445" s="377"/>
      <c r="I3445" s="399"/>
      <c r="J3445" s="377">
        <v>9000</v>
      </c>
      <c r="K3445" s="377">
        <v>10700</v>
      </c>
      <c r="L3445" s="378">
        <v>18700</v>
      </c>
      <c r="M3445" s="377"/>
      <c r="N3445" s="377"/>
      <c r="O3445" s="380"/>
      <c r="P3445" s="380"/>
      <c r="Q3445" s="380"/>
    </row>
    <row r="3446" spans="1:17" x14ac:dyDescent="0.2">
      <c r="A3446" s="334" t="s">
        <v>1724</v>
      </c>
      <c r="B3446" s="380"/>
      <c r="C3446" s="334" t="s">
        <v>1881</v>
      </c>
      <c r="D3446" s="427">
        <v>900</v>
      </c>
      <c r="E3446" s="427">
        <v>900</v>
      </c>
      <c r="F3446" s="378">
        <v>1200</v>
      </c>
      <c r="G3446" s="377"/>
      <c r="H3446" s="377"/>
      <c r="I3446" s="399"/>
      <c r="J3446" s="377">
        <v>900</v>
      </c>
      <c r="K3446" s="377">
        <v>1000</v>
      </c>
      <c r="L3446" s="378">
        <v>1200</v>
      </c>
      <c r="M3446" s="377"/>
      <c r="N3446" s="377"/>
      <c r="O3446" s="380"/>
      <c r="P3446" s="380"/>
      <c r="Q3446" s="380"/>
    </row>
    <row r="3447" spans="1:17" x14ac:dyDescent="0.2">
      <c r="A3447" s="334" t="s">
        <v>1736</v>
      </c>
      <c r="B3447" s="380"/>
      <c r="C3447" s="334" t="s">
        <v>1747</v>
      </c>
      <c r="D3447" s="427">
        <v>250</v>
      </c>
      <c r="E3447" s="427">
        <v>250</v>
      </c>
      <c r="F3447" s="378">
        <v>1000</v>
      </c>
      <c r="G3447" s="377"/>
      <c r="H3447" s="377"/>
      <c r="I3447" s="399"/>
      <c r="J3447" s="377">
        <v>1000</v>
      </c>
      <c r="K3447" s="377">
        <v>1015</v>
      </c>
      <c r="L3447" s="378"/>
      <c r="M3447" s="377"/>
      <c r="N3447" s="377"/>
      <c r="O3447" s="380"/>
      <c r="P3447" s="380"/>
      <c r="Q3447" s="380"/>
    </row>
    <row r="3448" spans="1:17" x14ac:dyDescent="0.2">
      <c r="A3448" s="334" t="s">
        <v>1744</v>
      </c>
      <c r="B3448" s="380"/>
      <c r="C3448" s="334" t="s">
        <v>1254</v>
      </c>
      <c r="D3448" s="427">
        <v>1500</v>
      </c>
      <c r="E3448" s="427">
        <v>1500</v>
      </c>
      <c r="F3448" s="378"/>
      <c r="G3448" s="377"/>
      <c r="H3448" s="377"/>
      <c r="I3448" s="399"/>
      <c r="J3448" s="377">
        <v>1000</v>
      </c>
      <c r="K3448" s="377">
        <v>900</v>
      </c>
      <c r="L3448" s="378"/>
      <c r="M3448" s="377"/>
      <c r="N3448" s="377"/>
      <c r="O3448" s="380"/>
      <c r="P3448" s="380"/>
      <c r="Q3448" s="380"/>
    </row>
    <row r="3449" spans="1:17" x14ac:dyDescent="0.2">
      <c r="A3449" s="334" t="s">
        <v>1582</v>
      </c>
      <c r="B3449" s="380"/>
      <c r="C3449" s="334" t="s">
        <v>3135</v>
      </c>
      <c r="D3449" s="427"/>
      <c r="E3449" s="427"/>
      <c r="F3449" s="378"/>
      <c r="G3449" s="377"/>
      <c r="H3449" s="377"/>
      <c r="I3449" s="399"/>
      <c r="J3449" s="377"/>
      <c r="K3449" s="377">
        <v>300</v>
      </c>
      <c r="L3449" s="378"/>
      <c r="M3449" s="377"/>
      <c r="N3449" s="377"/>
      <c r="O3449" s="380"/>
      <c r="P3449" s="380"/>
      <c r="Q3449" s="380"/>
    </row>
    <row r="3450" spans="1:17" x14ac:dyDescent="0.2">
      <c r="A3450" s="384" t="s">
        <v>1575</v>
      </c>
      <c r="B3450" s="380"/>
      <c r="C3450" s="334" t="s">
        <v>1889</v>
      </c>
      <c r="D3450" s="427"/>
      <c r="E3450" s="427"/>
      <c r="F3450" s="378"/>
      <c r="G3450" s="377"/>
      <c r="H3450" s="377"/>
      <c r="I3450" s="399"/>
      <c r="J3450" s="377"/>
      <c r="K3450" s="377"/>
      <c r="L3450" s="378"/>
      <c r="M3450" s="377"/>
      <c r="N3450" s="377"/>
      <c r="O3450" s="380"/>
      <c r="P3450" s="380"/>
      <c r="Q3450" s="380"/>
    </row>
    <row r="3451" spans="1:17" x14ac:dyDescent="0.2">
      <c r="A3451" s="334" t="s">
        <v>1725</v>
      </c>
      <c r="B3451" s="380"/>
      <c r="C3451" s="334" t="s">
        <v>1890</v>
      </c>
      <c r="D3451" s="427"/>
      <c r="E3451" s="427"/>
      <c r="F3451" s="378"/>
      <c r="G3451" s="377"/>
      <c r="H3451" s="377"/>
      <c r="I3451" s="399"/>
      <c r="J3451" s="377"/>
      <c r="K3451" s="377"/>
      <c r="L3451" s="378"/>
      <c r="M3451" s="377"/>
      <c r="N3451" s="377"/>
      <c r="O3451" s="380"/>
      <c r="P3451" s="380"/>
      <c r="Q3451" s="380"/>
    </row>
    <row r="3452" spans="1:17" x14ac:dyDescent="0.2">
      <c r="A3452" s="384" t="s">
        <v>1737</v>
      </c>
      <c r="B3452" s="380"/>
      <c r="C3452" s="334" t="s">
        <v>1984</v>
      </c>
      <c r="D3452" s="427"/>
      <c r="E3452" s="427"/>
      <c r="F3452" s="378"/>
      <c r="G3452" s="377"/>
      <c r="H3452" s="377"/>
      <c r="I3452" s="399"/>
      <c r="J3452" s="377"/>
      <c r="K3452" s="377"/>
      <c r="L3452" s="378"/>
      <c r="M3452" s="377"/>
      <c r="N3452" s="377"/>
      <c r="O3452" s="380"/>
      <c r="P3452" s="380"/>
      <c r="Q3452" s="380"/>
    </row>
    <row r="3453" spans="1:17" x14ac:dyDescent="0.2">
      <c r="A3453" s="384" t="s">
        <v>1828</v>
      </c>
      <c r="B3453" s="380"/>
      <c r="C3453" s="334" t="s">
        <v>2712</v>
      </c>
      <c r="D3453" s="427">
        <v>1500</v>
      </c>
      <c r="E3453" s="427">
        <v>1500</v>
      </c>
      <c r="F3453" s="378"/>
      <c r="G3453" s="377"/>
      <c r="H3453" s="377"/>
      <c r="I3453" s="399"/>
      <c r="J3453" s="377"/>
      <c r="K3453" s="377"/>
      <c r="L3453" s="378"/>
      <c r="M3453" s="377"/>
      <c r="N3453" s="377"/>
      <c r="O3453" s="380"/>
      <c r="P3453" s="380"/>
      <c r="Q3453" s="380"/>
    </row>
    <row r="3454" spans="1:17" x14ac:dyDescent="0.2">
      <c r="A3454" s="384" t="s">
        <v>1751</v>
      </c>
      <c r="B3454" s="380"/>
      <c r="C3454" s="334" t="s">
        <v>3138</v>
      </c>
      <c r="D3454" s="427">
        <v>500</v>
      </c>
      <c r="E3454" s="427">
        <v>500</v>
      </c>
      <c r="F3454" s="378">
        <v>500</v>
      </c>
      <c r="G3454" s="377"/>
      <c r="H3454" s="377"/>
      <c r="I3454" s="399"/>
      <c r="J3454" s="377">
        <v>500</v>
      </c>
      <c r="K3454" s="377">
        <v>500</v>
      </c>
      <c r="L3454" s="378">
        <v>500</v>
      </c>
      <c r="M3454" s="377"/>
      <c r="N3454" s="377"/>
      <c r="O3454" s="380"/>
      <c r="P3454" s="380"/>
      <c r="Q3454" s="380"/>
    </row>
    <row r="3455" spans="1:17" x14ac:dyDescent="0.2">
      <c r="A3455" s="334" t="s">
        <v>1734</v>
      </c>
      <c r="B3455" s="380"/>
      <c r="C3455" s="334" t="s">
        <v>1746</v>
      </c>
      <c r="D3455" s="427"/>
      <c r="E3455" s="427"/>
      <c r="F3455" s="378"/>
      <c r="G3455" s="377"/>
      <c r="H3455" s="377"/>
      <c r="I3455" s="399"/>
      <c r="J3455" s="377"/>
      <c r="K3455" s="377"/>
      <c r="L3455" s="378"/>
      <c r="M3455" s="377"/>
      <c r="N3455" s="377"/>
      <c r="O3455" s="380"/>
      <c r="P3455" s="380"/>
      <c r="Q3455" s="380"/>
    </row>
    <row r="3456" spans="1:17" x14ac:dyDescent="0.2">
      <c r="A3456" s="334" t="s">
        <v>1578</v>
      </c>
      <c r="B3456" s="380"/>
      <c r="C3456" s="334" t="s">
        <v>22</v>
      </c>
      <c r="D3456" s="427"/>
      <c r="E3456" s="427"/>
      <c r="F3456" s="378"/>
      <c r="G3456" s="377"/>
      <c r="H3456" s="377"/>
      <c r="I3456" s="399"/>
      <c r="J3456" s="377">
        <v>1000</v>
      </c>
      <c r="K3456" s="377"/>
      <c r="L3456" s="378"/>
      <c r="M3456" s="377"/>
      <c r="N3456" s="377"/>
      <c r="O3456" s="380"/>
      <c r="P3456" s="380"/>
      <c r="Q3456" s="380"/>
    </row>
    <row r="3457" spans="1:17" x14ac:dyDescent="0.2">
      <c r="A3457" s="334" t="s">
        <v>1738</v>
      </c>
      <c r="B3457" s="380"/>
      <c r="C3457" s="334" t="s">
        <v>1591</v>
      </c>
      <c r="D3457" s="427"/>
      <c r="E3457" s="427"/>
      <c r="F3457" s="378"/>
      <c r="G3457" s="377"/>
      <c r="H3457" s="377"/>
      <c r="I3457" s="399"/>
      <c r="J3457" s="377">
        <v>2400</v>
      </c>
      <c r="K3457" s="377"/>
      <c r="L3457" s="378"/>
      <c r="M3457" s="377"/>
      <c r="N3457" s="377"/>
      <c r="O3457" s="380"/>
      <c r="P3457" s="380"/>
      <c r="Q3457" s="380"/>
    </row>
    <row r="3458" spans="1:17" x14ac:dyDescent="0.2">
      <c r="A3458" s="334" t="s">
        <v>1727</v>
      </c>
      <c r="B3458" s="380"/>
      <c r="C3458" s="334" t="s">
        <v>307</v>
      </c>
      <c r="D3458" s="427">
        <v>500</v>
      </c>
      <c r="E3458" s="427">
        <v>500</v>
      </c>
      <c r="F3458" s="378">
        <v>1000</v>
      </c>
      <c r="G3458" s="377"/>
      <c r="H3458" s="377"/>
      <c r="I3458" s="399"/>
      <c r="J3458" s="377">
        <v>2500</v>
      </c>
      <c r="K3458" s="377">
        <v>1000</v>
      </c>
      <c r="L3458" s="378">
        <v>1000</v>
      </c>
      <c r="M3458" s="377"/>
      <c r="N3458" s="377"/>
      <c r="O3458" s="380"/>
      <c r="P3458" s="380"/>
      <c r="Q3458" s="380"/>
    </row>
    <row r="3459" spans="1:17" x14ac:dyDescent="0.2">
      <c r="A3459" s="334" t="s">
        <v>1728</v>
      </c>
      <c r="B3459" s="380"/>
      <c r="C3459" s="334" t="s">
        <v>310</v>
      </c>
      <c r="D3459" s="427">
        <v>500</v>
      </c>
      <c r="E3459" s="427">
        <v>500</v>
      </c>
      <c r="F3459" s="378">
        <v>300</v>
      </c>
      <c r="G3459" s="377"/>
      <c r="H3459" s="377"/>
      <c r="I3459" s="399"/>
      <c r="J3459" s="377">
        <v>500</v>
      </c>
      <c r="K3459" s="377">
        <v>300</v>
      </c>
      <c r="L3459" s="378">
        <v>300</v>
      </c>
      <c r="M3459" s="377"/>
      <c r="N3459" s="377"/>
      <c r="O3459" s="380"/>
      <c r="P3459" s="380"/>
      <c r="Q3459" s="380"/>
    </row>
    <row r="3460" spans="1:17" x14ac:dyDescent="0.2">
      <c r="A3460" s="334" t="s">
        <v>1729</v>
      </c>
      <c r="B3460" s="380"/>
      <c r="C3460" s="380" t="s">
        <v>1551</v>
      </c>
      <c r="D3460" s="427">
        <f>-20420+7815</f>
        <v>-12605</v>
      </c>
      <c r="E3460" s="427">
        <v>-12605</v>
      </c>
      <c r="F3460" s="378">
        <v>-25210</v>
      </c>
      <c r="G3460" s="377"/>
      <c r="H3460" s="377"/>
      <c r="I3460" s="399"/>
      <c r="J3460" s="377">
        <v>100</v>
      </c>
      <c r="K3460" s="377">
        <v>100</v>
      </c>
      <c r="L3460" s="378">
        <v>100</v>
      </c>
      <c r="M3460" s="377"/>
      <c r="N3460" s="377"/>
      <c r="O3460" s="380"/>
      <c r="P3460" s="380"/>
      <c r="Q3460" s="380"/>
    </row>
    <row r="3461" spans="1:17" x14ac:dyDescent="0.2">
      <c r="A3461" s="334" t="s">
        <v>1735</v>
      </c>
      <c r="B3461" s="380"/>
      <c r="C3461" s="380" t="s">
        <v>194</v>
      </c>
      <c r="D3461" s="427"/>
      <c r="E3461" s="427"/>
      <c r="F3461" s="378"/>
      <c r="G3461" s="377"/>
      <c r="H3461" s="377"/>
      <c r="I3461" s="399"/>
      <c r="J3461" s="377">
        <v>100</v>
      </c>
      <c r="K3461" s="377">
        <v>100</v>
      </c>
      <c r="L3461" s="378">
        <v>100</v>
      </c>
      <c r="M3461" s="377"/>
      <c r="N3461" s="377"/>
      <c r="O3461" s="380"/>
      <c r="P3461" s="380"/>
      <c r="Q3461" s="380"/>
    </row>
    <row r="3462" spans="1:17" x14ac:dyDescent="0.2">
      <c r="A3462" s="391" t="s">
        <v>1741</v>
      </c>
      <c r="B3462" s="380"/>
      <c r="C3462" s="334" t="s">
        <v>1748</v>
      </c>
      <c r="D3462" s="427">
        <v>1000</v>
      </c>
      <c r="E3462" s="427">
        <v>1000</v>
      </c>
      <c r="F3462" s="378"/>
      <c r="G3462" s="377"/>
      <c r="H3462" s="377"/>
      <c r="I3462" s="399"/>
      <c r="J3462" s="377"/>
      <c r="K3462" s="377"/>
      <c r="L3462" s="378"/>
      <c r="M3462" s="377"/>
      <c r="N3462" s="377"/>
      <c r="O3462" s="380"/>
      <c r="P3462" s="380"/>
      <c r="Q3462" s="380"/>
    </row>
    <row r="3463" spans="1:17" x14ac:dyDescent="0.2">
      <c r="A3463" s="384" t="s">
        <v>1580</v>
      </c>
      <c r="B3463" s="380"/>
      <c r="C3463" s="334" t="s">
        <v>1935</v>
      </c>
      <c r="D3463" s="427"/>
      <c r="E3463" s="427"/>
      <c r="F3463" s="378"/>
      <c r="G3463" s="377"/>
      <c r="H3463" s="377"/>
      <c r="I3463" s="399"/>
      <c r="J3463" s="377">
        <v>700</v>
      </c>
      <c r="K3463" s="377"/>
      <c r="L3463" s="378"/>
      <c r="M3463" s="377"/>
      <c r="N3463" s="377"/>
      <c r="O3463" s="380"/>
      <c r="P3463" s="380"/>
      <c r="Q3463" s="380"/>
    </row>
    <row r="3464" spans="1:17" x14ac:dyDescent="0.2">
      <c r="A3464" s="334" t="s">
        <v>1754</v>
      </c>
      <c r="B3464" s="380"/>
      <c r="C3464" s="334" t="s">
        <v>1929</v>
      </c>
      <c r="D3464" s="427">
        <v>600</v>
      </c>
      <c r="E3464" s="427">
        <v>600</v>
      </c>
      <c r="F3464" s="378"/>
      <c r="G3464" s="377"/>
      <c r="H3464" s="377"/>
      <c r="I3464" s="399"/>
      <c r="J3464" s="377"/>
      <c r="K3464" s="377"/>
      <c r="L3464" s="378"/>
      <c r="M3464" s="377"/>
      <c r="N3464" s="377"/>
      <c r="O3464" s="380"/>
      <c r="P3464" s="380"/>
      <c r="Q3464" s="380"/>
    </row>
    <row r="3465" spans="1:17" x14ac:dyDescent="0.2">
      <c r="A3465" s="334" t="s">
        <v>1730</v>
      </c>
      <c r="B3465" s="380"/>
      <c r="C3465" s="334" t="s">
        <v>1985</v>
      </c>
      <c r="D3465" s="427">
        <v>1000</v>
      </c>
      <c r="E3465" s="427">
        <v>1000</v>
      </c>
      <c r="F3465" s="378">
        <v>1000</v>
      </c>
      <c r="G3465" s="377"/>
      <c r="H3465" s="377"/>
      <c r="I3465" s="399"/>
      <c r="J3465" s="377">
        <v>500</v>
      </c>
      <c r="K3465" s="377">
        <v>500</v>
      </c>
      <c r="L3465" s="378"/>
      <c r="M3465" s="377"/>
      <c r="N3465" s="377"/>
      <c r="O3465" s="380"/>
      <c r="P3465" s="380"/>
      <c r="Q3465" s="380"/>
    </row>
    <row r="3466" spans="1:17" x14ac:dyDescent="0.2">
      <c r="A3466" s="334" t="s">
        <v>1566</v>
      </c>
      <c r="B3466" s="380"/>
      <c r="C3466" s="334" t="s">
        <v>366</v>
      </c>
      <c r="D3466" s="427"/>
      <c r="E3466" s="427"/>
      <c r="F3466" s="378"/>
      <c r="G3466" s="377"/>
      <c r="H3466" s="377"/>
      <c r="I3466" s="399"/>
      <c r="J3466" s="377"/>
      <c r="K3466" s="377"/>
      <c r="L3466" s="378"/>
      <c r="M3466" s="377"/>
      <c r="N3466" s="377"/>
      <c r="O3466" s="380"/>
      <c r="P3466" s="380"/>
      <c r="Q3466" s="380"/>
    </row>
    <row r="3467" spans="1:17" x14ac:dyDescent="0.2">
      <c r="A3467" s="334" t="s">
        <v>1755</v>
      </c>
      <c r="B3467" s="380"/>
      <c r="C3467" s="380" t="s">
        <v>1986</v>
      </c>
      <c r="D3467" s="427">
        <v>1000</v>
      </c>
      <c r="E3467" s="427">
        <v>1000</v>
      </c>
      <c r="F3467" s="378">
        <v>500</v>
      </c>
      <c r="G3467" s="377"/>
      <c r="H3467" s="377"/>
      <c r="I3467" s="399"/>
      <c r="J3467" s="377"/>
      <c r="K3467" s="377">
        <v>500</v>
      </c>
      <c r="L3467" s="378"/>
      <c r="M3467" s="377"/>
      <c r="N3467" s="377"/>
      <c r="O3467" s="380"/>
      <c r="P3467" s="380"/>
      <c r="Q3467" s="380"/>
    </row>
    <row r="3468" spans="1:17" x14ac:dyDescent="0.2">
      <c r="A3468" s="403" t="s">
        <v>1587</v>
      </c>
      <c r="B3468" s="380"/>
      <c r="C3468" s="334" t="s">
        <v>34</v>
      </c>
      <c r="D3468" s="427">
        <v>700</v>
      </c>
      <c r="E3468" s="427">
        <v>700</v>
      </c>
      <c r="F3468" s="378"/>
      <c r="G3468" s="377"/>
      <c r="H3468" s="377"/>
      <c r="I3468" s="399"/>
      <c r="J3468" s="377"/>
      <c r="K3468" s="377"/>
      <c r="L3468" s="378"/>
      <c r="M3468" s="377"/>
      <c r="N3468" s="377"/>
      <c r="O3468" s="380"/>
      <c r="P3468" s="380"/>
      <c r="Q3468" s="380"/>
    </row>
    <row r="3469" spans="1:17" x14ac:dyDescent="0.2">
      <c r="A3469" s="380"/>
      <c r="B3469" s="380"/>
      <c r="C3469" s="334" t="s">
        <v>342</v>
      </c>
      <c r="D3469" s="394"/>
      <c r="E3469" s="394"/>
      <c r="F3469" s="413"/>
      <c r="G3469" s="394"/>
      <c r="H3469" s="394"/>
      <c r="I3469" s="399"/>
      <c r="J3469" s="394"/>
      <c r="K3469" s="394"/>
      <c r="L3469" s="413"/>
      <c r="M3469" s="394"/>
      <c r="N3469" s="394"/>
      <c r="O3469" s="380"/>
      <c r="P3469" s="380"/>
      <c r="Q3469" s="380"/>
    </row>
    <row r="3470" spans="1:17" x14ac:dyDescent="0.2">
      <c r="A3470" s="380"/>
      <c r="B3470" s="380"/>
      <c r="C3470" s="334" t="s">
        <v>342</v>
      </c>
      <c r="D3470" s="334">
        <f>SUM(D3445:D3468)</f>
        <v>16345</v>
      </c>
      <c r="E3470" s="334">
        <f>SUM(E3445:E3468)</f>
        <v>16345</v>
      </c>
      <c r="F3470" s="412">
        <f>SUM(F3445:F3468)</f>
        <v>18990</v>
      </c>
      <c r="G3470" s="334"/>
      <c r="H3470" s="334">
        <f>SUM(H3445:H3468)</f>
        <v>0</v>
      </c>
      <c r="I3470" s="385"/>
      <c r="J3470" s="334">
        <f>SUM(J3445:J3468)</f>
        <v>20200</v>
      </c>
      <c r="K3470" s="334">
        <f>SUM(K3445:K3468)</f>
        <v>16915</v>
      </c>
      <c r="L3470" s="412">
        <f>SUM(L3445:L3468)</f>
        <v>21900</v>
      </c>
      <c r="M3470" s="334"/>
      <c r="N3470" s="334">
        <f>SUM(N3445:N3468)</f>
        <v>0</v>
      </c>
      <c r="O3470" s="380"/>
      <c r="P3470" s="380"/>
      <c r="Q3470" s="380"/>
    </row>
    <row r="3471" spans="1:17" ht="15.75" thickTop="1" x14ac:dyDescent="0.2">
      <c r="A3471" s="380"/>
      <c r="B3471" s="380"/>
      <c r="C3471" s="334" t="s">
        <v>342</v>
      </c>
      <c r="D3471" s="400"/>
      <c r="E3471" s="395"/>
      <c r="F3471" s="401"/>
      <c r="G3471" s="395"/>
      <c r="H3471" s="395"/>
      <c r="I3471" s="385"/>
      <c r="J3471" s="400"/>
      <c r="K3471" s="395"/>
      <c r="L3471" s="401"/>
      <c r="M3471" s="395"/>
      <c r="N3471" s="395"/>
      <c r="O3471" s="380"/>
      <c r="P3471" s="380"/>
      <c r="Q3471" s="380"/>
    </row>
    <row r="3472" spans="1:17" x14ac:dyDescent="0.2">
      <c r="A3472" s="380"/>
      <c r="B3472" s="380"/>
      <c r="C3472" s="334" t="s">
        <v>342</v>
      </c>
      <c r="D3472" s="334" t="s">
        <v>342</v>
      </c>
      <c r="E3472" s="380"/>
      <c r="F3472" s="378"/>
      <c r="G3472" s="380"/>
      <c r="H3472" s="380"/>
      <c r="I3472" s="385"/>
      <c r="J3472" s="334" t="s">
        <v>342</v>
      </c>
      <c r="K3472" s="380"/>
      <c r="L3472" s="378"/>
      <c r="M3472" s="380"/>
      <c r="N3472" s="380"/>
      <c r="O3472" s="380"/>
      <c r="P3472" s="380"/>
      <c r="Q3472" s="380"/>
    </row>
    <row r="3473" spans="1:17" x14ac:dyDescent="0.2">
      <c r="A3473" s="377"/>
      <c r="B3473" s="377"/>
      <c r="C3473" s="377"/>
      <c r="D3473" s="377"/>
      <c r="E3473" s="377"/>
      <c r="F3473" s="378"/>
      <c r="G3473" s="377"/>
      <c r="H3473" s="377"/>
      <c r="I3473" s="399"/>
      <c r="J3473" s="377"/>
      <c r="K3473" s="377"/>
      <c r="L3473" s="378"/>
      <c r="M3473" s="377"/>
      <c r="N3473" s="377"/>
      <c r="O3473" s="380"/>
      <c r="P3473" s="380"/>
      <c r="Q3473" s="380"/>
    </row>
    <row r="3474" spans="1:17" x14ac:dyDescent="0.2">
      <c r="A3474" s="334" t="s">
        <v>912</v>
      </c>
      <c r="B3474" s="380"/>
      <c r="C3474" s="380"/>
      <c r="D3474" s="380"/>
      <c r="E3474" s="380"/>
      <c r="F3474" s="378"/>
      <c r="G3474" s="377"/>
      <c r="H3474" s="380"/>
      <c r="I3474" s="382"/>
      <c r="J3474" s="380"/>
      <c r="K3474" s="380"/>
      <c r="L3474" s="378"/>
      <c r="M3474" s="377"/>
      <c r="N3474" s="380"/>
      <c r="O3474" s="380"/>
      <c r="P3474" s="380"/>
      <c r="Q3474" s="380"/>
    </row>
    <row r="3475" spans="1:17" x14ac:dyDescent="0.2">
      <c r="A3475" s="380"/>
      <c r="B3475" s="380"/>
      <c r="C3475" s="384" t="s">
        <v>2161</v>
      </c>
      <c r="D3475" s="380"/>
      <c r="E3475" s="377"/>
      <c r="F3475" s="378"/>
      <c r="G3475" s="377"/>
      <c r="H3475" s="380"/>
      <c r="I3475" s="382"/>
      <c r="J3475" s="380"/>
      <c r="K3475" s="377"/>
      <c r="L3475" s="378"/>
      <c r="M3475" s="377"/>
      <c r="N3475" s="380"/>
      <c r="O3475" s="380"/>
      <c r="P3475" s="380"/>
      <c r="Q3475" s="380"/>
    </row>
    <row r="3476" spans="1:17" x14ac:dyDescent="0.2">
      <c r="A3476" s="334" t="s">
        <v>342</v>
      </c>
      <c r="B3476" s="380"/>
      <c r="C3476" s="334" t="s">
        <v>342</v>
      </c>
      <c r="D3476" s="418" t="s">
        <v>1714</v>
      </c>
      <c r="E3476" s="463" t="s">
        <v>210</v>
      </c>
      <c r="F3476" s="417" t="s">
        <v>238</v>
      </c>
      <c r="G3476" s="463"/>
      <c r="H3476" s="380"/>
      <c r="I3476" s="462"/>
      <c r="J3476" s="418" t="s">
        <v>1714</v>
      </c>
      <c r="K3476" s="463" t="s">
        <v>210</v>
      </c>
      <c r="L3476" s="417" t="s">
        <v>238</v>
      </c>
      <c r="M3476" s="463"/>
      <c r="N3476" s="380"/>
      <c r="O3476" s="380"/>
      <c r="P3476" s="380"/>
      <c r="Q3476" s="380"/>
    </row>
    <row r="3477" spans="1:17" x14ac:dyDescent="0.2">
      <c r="A3477" s="334" t="s">
        <v>1723</v>
      </c>
      <c r="B3477" s="380"/>
      <c r="C3477" s="334" t="s">
        <v>1880</v>
      </c>
      <c r="D3477" s="334" t="s">
        <v>181</v>
      </c>
      <c r="E3477" s="334" t="s">
        <v>181</v>
      </c>
      <c r="F3477" s="412" t="s">
        <v>181</v>
      </c>
      <c r="G3477" s="334"/>
      <c r="H3477" s="380"/>
      <c r="I3477" s="385"/>
      <c r="J3477" s="334" t="s">
        <v>181</v>
      </c>
      <c r="K3477" s="334" t="s">
        <v>181</v>
      </c>
      <c r="L3477" s="412" t="s">
        <v>181</v>
      </c>
      <c r="M3477" s="334"/>
      <c r="N3477" s="380"/>
      <c r="O3477" s="380"/>
      <c r="P3477" s="380"/>
      <c r="Q3477" s="380"/>
    </row>
    <row r="3478" spans="1:17" x14ac:dyDescent="0.2">
      <c r="A3478" s="384" t="s">
        <v>1743</v>
      </c>
      <c r="B3478" s="380"/>
      <c r="C3478" s="334" t="s">
        <v>1886</v>
      </c>
      <c r="D3478" s="377"/>
      <c r="E3478" s="377">
        <v>105000</v>
      </c>
      <c r="F3478" s="378"/>
      <c r="G3478" s="377"/>
      <c r="H3478" s="380"/>
      <c r="I3478" s="399"/>
      <c r="J3478" s="377"/>
      <c r="K3478" s="377">
        <v>105000</v>
      </c>
      <c r="L3478" s="378"/>
      <c r="M3478" s="377"/>
      <c r="N3478" s="380"/>
      <c r="O3478" s="380"/>
      <c r="P3478" s="380"/>
      <c r="Q3478" s="380"/>
    </row>
    <row r="3479" spans="1:17" x14ac:dyDescent="0.2">
      <c r="A3479" s="334" t="s">
        <v>1724</v>
      </c>
      <c r="B3479" s="380"/>
      <c r="C3479" s="334" t="s">
        <v>1881</v>
      </c>
      <c r="D3479" s="377"/>
      <c r="E3479" s="377">
        <v>2500</v>
      </c>
      <c r="F3479" s="378"/>
      <c r="G3479" s="377"/>
      <c r="H3479" s="380"/>
      <c r="I3479" s="399"/>
      <c r="J3479" s="377"/>
      <c r="K3479" s="377">
        <v>2500</v>
      </c>
      <c r="L3479" s="378"/>
      <c r="M3479" s="377"/>
      <c r="N3479" s="380"/>
      <c r="O3479" s="380"/>
      <c r="P3479" s="380"/>
      <c r="Q3479" s="380"/>
    </row>
    <row r="3480" spans="1:17" x14ac:dyDescent="0.2">
      <c r="A3480" s="384" t="s">
        <v>1736</v>
      </c>
      <c r="B3480" s="380"/>
      <c r="C3480" s="334" t="s">
        <v>1747</v>
      </c>
      <c r="D3480" s="377"/>
      <c r="E3480" s="377">
        <v>1000</v>
      </c>
      <c r="F3480" s="378"/>
      <c r="G3480" s="377"/>
      <c r="H3480" s="380"/>
      <c r="I3480" s="399"/>
      <c r="J3480" s="377"/>
      <c r="K3480" s="377">
        <v>800</v>
      </c>
      <c r="L3480" s="378"/>
      <c r="M3480" s="377"/>
      <c r="N3480" s="380"/>
      <c r="O3480" s="380"/>
      <c r="P3480" s="380"/>
      <c r="Q3480" s="380"/>
    </row>
    <row r="3481" spans="1:17" x14ac:dyDescent="0.2">
      <c r="A3481" s="384" t="s">
        <v>1744</v>
      </c>
      <c r="B3481" s="380"/>
      <c r="C3481" s="334" t="s">
        <v>1254</v>
      </c>
      <c r="D3481" s="377"/>
      <c r="E3481" s="377">
        <v>780</v>
      </c>
      <c r="F3481" s="378"/>
      <c r="G3481" s="377"/>
      <c r="H3481" s="380"/>
      <c r="I3481" s="399"/>
      <c r="J3481" s="377"/>
      <c r="K3481" s="377"/>
      <c r="L3481" s="378"/>
      <c r="M3481" s="377"/>
      <c r="N3481" s="380"/>
      <c r="O3481" s="380"/>
      <c r="P3481" s="380"/>
      <c r="Q3481" s="380"/>
    </row>
    <row r="3482" spans="1:17" x14ac:dyDescent="0.2">
      <c r="A3482" s="384" t="s">
        <v>1575</v>
      </c>
      <c r="B3482" s="380"/>
      <c r="C3482" s="334" t="s">
        <v>1889</v>
      </c>
      <c r="D3482" s="377"/>
      <c r="E3482" s="377">
        <v>200</v>
      </c>
      <c r="F3482" s="378"/>
      <c r="G3482" s="377"/>
      <c r="H3482" s="380"/>
      <c r="I3482" s="399"/>
      <c r="J3482" s="377"/>
      <c r="K3482" s="377">
        <v>500</v>
      </c>
      <c r="L3482" s="378"/>
      <c r="M3482" s="377"/>
      <c r="N3482" s="380"/>
      <c r="O3482" s="380"/>
      <c r="P3482" s="380"/>
      <c r="Q3482" s="380"/>
    </row>
    <row r="3483" spans="1:17" x14ac:dyDescent="0.2">
      <c r="A3483" s="334" t="s">
        <v>1725</v>
      </c>
      <c r="B3483" s="380"/>
      <c r="C3483" s="334" t="s">
        <v>1890</v>
      </c>
      <c r="D3483" s="377"/>
      <c r="E3483" s="377">
        <v>100</v>
      </c>
      <c r="F3483" s="378"/>
      <c r="G3483" s="377"/>
      <c r="H3483" s="380"/>
      <c r="I3483" s="399"/>
      <c r="J3483" s="377"/>
      <c r="K3483" s="377">
        <v>2000</v>
      </c>
      <c r="L3483" s="378"/>
      <c r="M3483" s="377"/>
      <c r="N3483" s="380"/>
      <c r="O3483" s="380"/>
      <c r="P3483" s="380"/>
      <c r="Q3483" s="380"/>
    </row>
    <row r="3484" spans="1:17" x14ac:dyDescent="0.2">
      <c r="A3484" s="334" t="s">
        <v>1576</v>
      </c>
      <c r="B3484" s="380"/>
      <c r="C3484" s="334" t="s">
        <v>1590</v>
      </c>
      <c r="D3484" s="377"/>
      <c r="E3484" s="377">
        <v>100</v>
      </c>
      <c r="F3484" s="378"/>
      <c r="G3484" s="377"/>
      <c r="H3484" s="380"/>
      <c r="I3484" s="399"/>
      <c r="J3484" s="377"/>
      <c r="K3484" s="377">
        <v>150</v>
      </c>
      <c r="L3484" s="378"/>
      <c r="M3484" s="377"/>
      <c r="N3484" s="380"/>
      <c r="O3484" s="380"/>
      <c r="P3484" s="380"/>
      <c r="Q3484" s="380"/>
    </row>
    <row r="3485" spans="1:17" x14ac:dyDescent="0.2">
      <c r="A3485" s="384" t="s">
        <v>1734</v>
      </c>
      <c r="B3485" s="380"/>
      <c r="C3485" s="334" t="s">
        <v>1746</v>
      </c>
      <c r="D3485" s="377"/>
      <c r="E3485" s="377">
        <v>100</v>
      </c>
      <c r="F3485" s="378"/>
      <c r="G3485" s="377"/>
      <c r="H3485" s="380"/>
      <c r="I3485" s="399"/>
      <c r="J3485" s="377"/>
      <c r="K3485" s="377">
        <v>2000</v>
      </c>
      <c r="L3485" s="378"/>
      <c r="M3485" s="377"/>
      <c r="N3485" s="380"/>
      <c r="O3485" s="380"/>
      <c r="P3485" s="380"/>
      <c r="Q3485" s="380"/>
    </row>
    <row r="3486" spans="1:17" x14ac:dyDescent="0.2">
      <c r="A3486" s="384" t="s">
        <v>1583</v>
      </c>
      <c r="B3486" s="380"/>
      <c r="C3486" s="334" t="s">
        <v>41</v>
      </c>
      <c r="D3486" s="377"/>
      <c r="E3486" s="377">
        <v>2000</v>
      </c>
      <c r="F3486" s="378"/>
      <c r="G3486" s="377"/>
      <c r="H3486" s="380"/>
      <c r="I3486" s="399"/>
      <c r="J3486" s="377"/>
      <c r="K3486" s="377">
        <v>2000</v>
      </c>
      <c r="L3486" s="378"/>
      <c r="M3486" s="377"/>
      <c r="N3486" s="380"/>
      <c r="O3486" s="380"/>
      <c r="P3486" s="380"/>
      <c r="Q3486" s="380"/>
    </row>
    <row r="3487" spans="1:17" x14ac:dyDescent="0.2">
      <c r="A3487" s="334" t="s">
        <v>1738</v>
      </c>
      <c r="B3487" s="380"/>
      <c r="C3487" s="334" t="s">
        <v>1591</v>
      </c>
      <c r="D3487" s="377"/>
      <c r="E3487" s="377">
        <v>200</v>
      </c>
      <c r="F3487" s="378"/>
      <c r="G3487" s="377"/>
      <c r="H3487" s="380"/>
      <c r="I3487" s="399"/>
      <c r="J3487" s="377"/>
      <c r="K3487" s="377">
        <v>1000</v>
      </c>
      <c r="L3487" s="378"/>
      <c r="M3487" s="377"/>
      <c r="N3487" s="380"/>
      <c r="O3487" s="380"/>
      <c r="P3487" s="380"/>
      <c r="Q3487" s="380"/>
    </row>
    <row r="3488" spans="1:17" x14ac:dyDescent="0.2">
      <c r="A3488" s="334" t="s">
        <v>1727</v>
      </c>
      <c r="B3488" s="380"/>
      <c r="C3488" s="334" t="s">
        <v>307</v>
      </c>
      <c r="D3488" s="377"/>
      <c r="E3488" s="377">
        <v>100</v>
      </c>
      <c r="F3488" s="378"/>
      <c r="G3488" s="377"/>
      <c r="H3488" s="380"/>
      <c r="I3488" s="399"/>
      <c r="J3488" s="377"/>
      <c r="K3488" s="377">
        <v>3000</v>
      </c>
      <c r="L3488" s="378"/>
      <c r="M3488" s="377"/>
      <c r="N3488" s="380"/>
      <c r="O3488" s="380"/>
      <c r="P3488" s="380"/>
      <c r="Q3488" s="380"/>
    </row>
    <row r="3489" spans="1:17" x14ac:dyDescent="0.2">
      <c r="A3489" s="334" t="s">
        <v>1728</v>
      </c>
      <c r="B3489" s="380"/>
      <c r="C3489" s="334" t="s">
        <v>310</v>
      </c>
      <c r="D3489" s="377"/>
      <c r="E3489" s="377">
        <v>100</v>
      </c>
      <c r="F3489" s="378"/>
      <c r="G3489" s="377"/>
      <c r="H3489" s="380"/>
      <c r="I3489" s="399"/>
      <c r="J3489" s="377"/>
      <c r="K3489" s="377">
        <v>50</v>
      </c>
      <c r="L3489" s="378"/>
      <c r="M3489" s="377"/>
      <c r="N3489" s="380"/>
      <c r="O3489" s="380"/>
      <c r="P3489" s="380"/>
      <c r="Q3489" s="380"/>
    </row>
    <row r="3490" spans="1:17" x14ac:dyDescent="0.2">
      <c r="A3490" s="334" t="s">
        <v>1729</v>
      </c>
      <c r="B3490" s="380"/>
      <c r="C3490" s="380" t="s">
        <v>1551</v>
      </c>
      <c r="D3490" s="377"/>
      <c r="E3490" s="377">
        <v>-24940</v>
      </c>
      <c r="F3490" s="378"/>
      <c r="G3490" s="377"/>
      <c r="H3490" s="380"/>
      <c r="I3490" s="399"/>
      <c r="J3490" s="377"/>
      <c r="K3490" s="377"/>
      <c r="L3490" s="378"/>
      <c r="M3490" s="377"/>
      <c r="N3490" s="380"/>
      <c r="O3490" s="380"/>
      <c r="P3490" s="380"/>
      <c r="Q3490" s="380"/>
    </row>
    <row r="3491" spans="1:17" x14ac:dyDescent="0.2">
      <c r="A3491" s="334" t="s">
        <v>1735</v>
      </c>
      <c r="B3491" s="380"/>
      <c r="C3491" s="380" t="s">
        <v>194</v>
      </c>
      <c r="D3491" s="377"/>
      <c r="E3491" s="377"/>
      <c r="F3491" s="378"/>
      <c r="G3491" s="377"/>
      <c r="H3491" s="380"/>
      <c r="I3491" s="399"/>
      <c r="J3491" s="377"/>
      <c r="K3491" s="377">
        <v>200</v>
      </c>
      <c r="L3491" s="378"/>
      <c r="M3491" s="377"/>
      <c r="N3491" s="380"/>
      <c r="O3491" s="380"/>
      <c r="P3491" s="380"/>
      <c r="Q3491" s="380"/>
    </row>
    <row r="3492" spans="1:17" x14ac:dyDescent="0.2">
      <c r="A3492" s="384" t="s">
        <v>1741</v>
      </c>
      <c r="B3492" s="380"/>
      <c r="C3492" s="334" t="s">
        <v>1748</v>
      </c>
      <c r="D3492" s="377"/>
      <c r="E3492" s="377">
        <v>700</v>
      </c>
      <c r="F3492" s="378"/>
      <c r="G3492" s="377"/>
      <c r="H3492" s="380"/>
      <c r="I3492" s="399"/>
      <c r="J3492" s="377"/>
      <c r="K3492" s="377"/>
      <c r="L3492" s="378"/>
      <c r="M3492" s="377"/>
      <c r="N3492" s="380"/>
      <c r="O3492" s="380"/>
      <c r="P3492" s="380"/>
      <c r="Q3492" s="380"/>
    </row>
    <row r="3493" spans="1:17" x14ac:dyDescent="0.2">
      <c r="A3493" s="334" t="s">
        <v>1730</v>
      </c>
      <c r="B3493" s="380"/>
      <c r="C3493" s="334" t="s">
        <v>1985</v>
      </c>
      <c r="D3493" s="377"/>
      <c r="E3493" s="377">
        <v>1000</v>
      </c>
      <c r="F3493" s="378"/>
      <c r="G3493" s="377"/>
      <c r="H3493" s="380"/>
      <c r="I3493" s="399"/>
      <c r="J3493" s="377"/>
      <c r="K3493" s="377">
        <v>4800</v>
      </c>
      <c r="L3493" s="378"/>
      <c r="M3493" s="377"/>
      <c r="N3493" s="380"/>
      <c r="O3493" s="380"/>
      <c r="P3493" s="380"/>
      <c r="Q3493" s="380"/>
    </row>
    <row r="3494" spans="1:17" x14ac:dyDescent="0.2">
      <c r="A3494" s="334" t="s">
        <v>1566</v>
      </c>
      <c r="B3494" s="380"/>
      <c r="C3494" s="334" t="s">
        <v>366</v>
      </c>
      <c r="D3494" s="377"/>
      <c r="E3494" s="377"/>
      <c r="F3494" s="378"/>
      <c r="G3494" s="377"/>
      <c r="H3494" s="380"/>
      <c r="I3494" s="399"/>
      <c r="J3494" s="377"/>
      <c r="K3494" s="377"/>
      <c r="L3494" s="378"/>
      <c r="M3494" s="377"/>
      <c r="N3494" s="380"/>
      <c r="O3494" s="380"/>
      <c r="P3494" s="380"/>
      <c r="Q3494" s="380"/>
    </row>
    <row r="3495" spans="1:17" x14ac:dyDescent="0.2">
      <c r="A3495" s="334" t="s">
        <v>1755</v>
      </c>
      <c r="B3495" s="380"/>
      <c r="C3495" s="380" t="s">
        <v>1986</v>
      </c>
      <c r="D3495" s="377"/>
      <c r="E3495" s="377"/>
      <c r="F3495" s="378"/>
      <c r="G3495" s="377"/>
      <c r="H3495" s="380"/>
      <c r="I3495" s="399"/>
      <c r="J3495" s="377"/>
      <c r="K3495" s="377"/>
      <c r="L3495" s="378"/>
      <c r="M3495" s="377"/>
      <c r="N3495" s="380"/>
      <c r="O3495" s="380"/>
      <c r="P3495" s="380"/>
      <c r="Q3495" s="380"/>
    </row>
    <row r="3496" spans="1:17" x14ac:dyDescent="0.2">
      <c r="A3496" s="384" t="s">
        <v>1588</v>
      </c>
      <c r="B3496" s="380"/>
      <c r="C3496" s="334" t="s">
        <v>191</v>
      </c>
      <c r="D3496" s="377"/>
      <c r="E3496" s="377">
        <v>1920</v>
      </c>
      <c r="F3496" s="378"/>
      <c r="G3496" s="377"/>
      <c r="H3496" s="380"/>
      <c r="I3496" s="399"/>
      <c r="J3496" s="377"/>
      <c r="K3496" s="377"/>
      <c r="L3496" s="378"/>
      <c r="M3496" s="377"/>
      <c r="N3496" s="380"/>
      <c r="O3496" s="380"/>
      <c r="P3496" s="380"/>
      <c r="Q3496" s="380"/>
    </row>
    <row r="3497" spans="1:17" x14ac:dyDescent="0.2">
      <c r="A3497" s="384" t="s">
        <v>1962</v>
      </c>
      <c r="B3497" s="380"/>
      <c r="C3497" s="380" t="s">
        <v>572</v>
      </c>
      <c r="D3497" s="377"/>
      <c r="E3497" s="423">
        <v>8900</v>
      </c>
      <c r="F3497" s="422"/>
      <c r="G3497" s="399"/>
      <c r="H3497" s="380"/>
      <c r="I3497" s="399"/>
      <c r="J3497" s="377"/>
      <c r="K3497" s="423"/>
      <c r="L3497" s="422"/>
      <c r="M3497" s="399"/>
      <c r="N3497" s="380"/>
      <c r="O3497" s="380"/>
      <c r="P3497" s="380"/>
      <c r="Q3497" s="380"/>
    </row>
    <row r="3498" spans="1:17" x14ac:dyDescent="0.2">
      <c r="A3498" s="334" t="s">
        <v>342</v>
      </c>
      <c r="B3498" s="380"/>
      <c r="C3498" s="334" t="s">
        <v>342</v>
      </c>
      <c r="D3498" s="410" t="s">
        <v>342</v>
      </c>
      <c r="E3498" s="380"/>
      <c r="F3498" s="378"/>
      <c r="G3498" s="380"/>
      <c r="H3498" s="380"/>
      <c r="I3498" s="385"/>
      <c r="J3498" s="410" t="s">
        <v>342</v>
      </c>
      <c r="K3498" s="380"/>
      <c r="L3498" s="378"/>
      <c r="M3498" s="380"/>
      <c r="N3498" s="380"/>
      <c r="O3498" s="380"/>
      <c r="P3498" s="380"/>
      <c r="Q3498" s="380"/>
    </row>
    <row r="3499" spans="1:17" ht="15.75" thickBot="1" x14ac:dyDescent="0.25">
      <c r="A3499" s="334" t="s">
        <v>342</v>
      </c>
      <c r="B3499" s="380"/>
      <c r="C3499" s="334" t="s">
        <v>342</v>
      </c>
      <c r="D3499" s="334">
        <f>SUM(D3478:D3497)</f>
        <v>0</v>
      </c>
      <c r="E3499" s="411">
        <f>SUM(E3478:E3497)</f>
        <v>99760</v>
      </c>
      <c r="F3499" s="414">
        <f>SUM(F3478:F3497)</f>
        <v>0</v>
      </c>
      <c r="G3499" s="385"/>
      <c r="H3499" s="380"/>
      <c r="I3499" s="385"/>
      <c r="J3499" s="334">
        <f>SUM(J3478:J3497)</f>
        <v>0</v>
      </c>
      <c r="K3499" s="411">
        <f>SUM(K3478:K3497)</f>
        <v>124000</v>
      </c>
      <c r="L3499" s="414">
        <f>SUM(L3478:L3497)</f>
        <v>0</v>
      </c>
      <c r="M3499" s="385"/>
      <c r="N3499" s="380"/>
      <c r="O3499" s="380"/>
      <c r="P3499" s="380"/>
      <c r="Q3499" s="380"/>
    </row>
    <row r="3500" spans="1:17" ht="15.75" thickTop="1" x14ac:dyDescent="0.2">
      <c r="A3500" s="334" t="s">
        <v>342</v>
      </c>
      <c r="B3500" s="380"/>
      <c r="C3500" s="334" t="s">
        <v>342</v>
      </c>
      <c r="D3500" s="400" t="s">
        <v>342</v>
      </c>
      <c r="E3500" s="380"/>
      <c r="F3500" s="378"/>
      <c r="G3500" s="380"/>
      <c r="H3500" s="380"/>
      <c r="I3500" s="385"/>
      <c r="J3500" s="400" t="s">
        <v>342</v>
      </c>
      <c r="K3500" s="380"/>
      <c r="L3500" s="378"/>
      <c r="M3500" s="380"/>
      <c r="N3500" s="380"/>
      <c r="O3500" s="380"/>
      <c r="P3500" s="380"/>
      <c r="Q3500" s="380"/>
    </row>
    <row r="3501" spans="1:17" x14ac:dyDescent="0.2">
      <c r="A3501" s="334" t="s">
        <v>342</v>
      </c>
      <c r="B3501" s="380"/>
      <c r="C3501" s="334" t="s">
        <v>342</v>
      </c>
      <c r="D3501" s="334" t="s">
        <v>342</v>
      </c>
      <c r="E3501" s="334" t="s">
        <v>342</v>
      </c>
      <c r="F3501" s="378"/>
      <c r="G3501" s="380"/>
      <c r="H3501" s="380"/>
      <c r="I3501" s="385"/>
      <c r="J3501" s="334" t="s">
        <v>342</v>
      </c>
      <c r="K3501" s="334" t="s">
        <v>342</v>
      </c>
      <c r="L3501" s="378"/>
      <c r="M3501" s="380"/>
      <c r="N3501" s="380"/>
      <c r="O3501" s="380"/>
      <c r="P3501" s="380"/>
      <c r="Q3501" s="380"/>
    </row>
    <row r="3502" spans="1:17" x14ac:dyDescent="0.2">
      <c r="A3502" s="334" t="s">
        <v>342</v>
      </c>
      <c r="B3502" s="377"/>
      <c r="C3502" s="334" t="s">
        <v>342</v>
      </c>
      <c r="D3502" s="334" t="s">
        <v>342</v>
      </c>
      <c r="E3502" s="377"/>
      <c r="F3502" s="378"/>
      <c r="G3502" s="377"/>
      <c r="H3502" s="377"/>
      <c r="I3502" s="385"/>
      <c r="J3502" s="334" t="s">
        <v>342</v>
      </c>
      <c r="K3502" s="377"/>
      <c r="L3502" s="378"/>
      <c r="M3502" s="377"/>
      <c r="N3502" s="377"/>
      <c r="O3502" s="380"/>
      <c r="P3502" s="380"/>
      <c r="Q3502" s="380"/>
    </row>
    <row r="3503" spans="1:17" x14ac:dyDescent="0.2">
      <c r="A3503" s="334" t="s">
        <v>1826</v>
      </c>
      <c r="B3503" s="380"/>
      <c r="C3503" s="380"/>
      <c r="D3503" s="380"/>
      <c r="E3503" s="380"/>
      <c r="F3503" s="378"/>
      <c r="G3503" s="380"/>
      <c r="H3503" s="380"/>
      <c r="I3503" s="382"/>
      <c r="J3503" s="380"/>
      <c r="K3503" s="380"/>
      <c r="L3503" s="378"/>
      <c r="M3503" s="380"/>
      <c r="N3503" s="380"/>
      <c r="O3503" s="380"/>
      <c r="P3503" s="380"/>
      <c r="Q3503" s="380"/>
    </row>
    <row r="3504" spans="1:17" x14ac:dyDescent="0.2">
      <c r="A3504" s="380"/>
      <c r="B3504" s="380"/>
      <c r="C3504" s="384" t="s">
        <v>2162</v>
      </c>
      <c r="D3504" s="380"/>
      <c r="E3504" s="380"/>
      <c r="F3504" s="378"/>
      <c r="G3504" s="380"/>
      <c r="H3504" s="380"/>
      <c r="I3504" s="382"/>
      <c r="J3504" s="380"/>
      <c r="K3504" s="380"/>
      <c r="L3504" s="378"/>
      <c r="M3504" s="380"/>
      <c r="N3504" s="380"/>
      <c r="O3504" s="380"/>
      <c r="P3504" s="380"/>
      <c r="Q3504" s="380"/>
    </row>
    <row r="3505" spans="1:17" x14ac:dyDescent="0.2">
      <c r="A3505" s="334" t="s">
        <v>342</v>
      </c>
      <c r="B3505" s="380"/>
      <c r="C3505" s="334" t="s">
        <v>342</v>
      </c>
      <c r="D3505" s="380"/>
      <c r="E3505" s="380"/>
      <c r="F3505" s="378"/>
      <c r="G3505" s="380"/>
      <c r="H3505" s="380"/>
      <c r="I3505" s="382"/>
      <c r="J3505" s="380"/>
      <c r="K3505" s="380"/>
      <c r="L3505" s="378"/>
      <c r="M3505" s="380"/>
      <c r="N3505" s="380"/>
      <c r="O3505" s="380"/>
      <c r="P3505" s="380"/>
      <c r="Q3505" s="380"/>
    </row>
    <row r="3506" spans="1:17" x14ac:dyDescent="0.2">
      <c r="A3506" s="334" t="s">
        <v>1723</v>
      </c>
      <c r="B3506" s="380"/>
      <c r="C3506" s="334" t="s">
        <v>1880</v>
      </c>
      <c r="D3506" s="334" t="s">
        <v>181</v>
      </c>
      <c r="E3506" s="380"/>
      <c r="F3506" s="378"/>
      <c r="G3506" s="380"/>
      <c r="H3506" s="380"/>
      <c r="I3506" s="385"/>
      <c r="J3506" s="334" t="s">
        <v>181</v>
      </c>
      <c r="K3506" s="380"/>
      <c r="L3506" s="378"/>
      <c r="M3506" s="380"/>
      <c r="N3506" s="380"/>
      <c r="O3506" s="380"/>
      <c r="P3506" s="380"/>
      <c r="Q3506" s="380"/>
    </row>
    <row r="3507" spans="1:17" x14ac:dyDescent="0.2">
      <c r="A3507" s="334" t="s">
        <v>436</v>
      </c>
      <c r="B3507" s="380"/>
      <c r="C3507" s="380"/>
      <c r="D3507" s="380"/>
      <c r="E3507" s="380"/>
      <c r="F3507" s="378"/>
      <c r="G3507" s="380"/>
      <c r="H3507" s="380"/>
      <c r="I3507" s="382"/>
      <c r="J3507" s="380"/>
      <c r="K3507" s="380"/>
      <c r="L3507" s="378"/>
      <c r="M3507" s="380"/>
      <c r="N3507" s="380"/>
      <c r="O3507" s="380"/>
      <c r="P3507" s="380"/>
      <c r="Q3507" s="380"/>
    </row>
    <row r="3508" spans="1:17" x14ac:dyDescent="0.2">
      <c r="A3508" s="405" t="s">
        <v>1743</v>
      </c>
      <c r="B3508" s="380"/>
      <c r="C3508" s="334" t="s">
        <v>1886</v>
      </c>
      <c r="D3508" s="380"/>
      <c r="E3508" s="380"/>
      <c r="F3508" s="378"/>
      <c r="G3508" s="380"/>
      <c r="H3508" s="380"/>
      <c r="I3508" s="382"/>
      <c r="J3508" s="380"/>
      <c r="K3508" s="380"/>
      <c r="L3508" s="378"/>
      <c r="M3508" s="380"/>
      <c r="N3508" s="380"/>
      <c r="O3508" s="380"/>
      <c r="P3508" s="380"/>
      <c r="Q3508" s="380"/>
    </row>
    <row r="3509" spans="1:17" x14ac:dyDescent="0.2">
      <c r="A3509" s="334" t="s">
        <v>1724</v>
      </c>
      <c r="B3509" s="380"/>
      <c r="C3509" s="334" t="s">
        <v>1881</v>
      </c>
      <c r="D3509" s="377"/>
      <c r="E3509" s="380"/>
      <c r="F3509" s="378"/>
      <c r="G3509" s="380"/>
      <c r="H3509" s="380"/>
      <c r="I3509" s="399"/>
      <c r="J3509" s="377"/>
      <c r="K3509" s="380"/>
      <c r="L3509" s="378"/>
      <c r="M3509" s="380"/>
      <c r="N3509" s="380"/>
      <c r="O3509" s="380"/>
      <c r="P3509" s="380"/>
      <c r="Q3509" s="380"/>
    </row>
    <row r="3510" spans="1:17" x14ac:dyDescent="0.2">
      <c r="A3510" s="384" t="s">
        <v>1736</v>
      </c>
      <c r="B3510" s="380"/>
      <c r="C3510" s="334" t="s">
        <v>1747</v>
      </c>
      <c r="D3510" s="377"/>
      <c r="E3510" s="380"/>
      <c r="F3510" s="378"/>
      <c r="G3510" s="380"/>
      <c r="H3510" s="380"/>
      <c r="I3510" s="399"/>
      <c r="J3510" s="377"/>
      <c r="K3510" s="380"/>
      <c r="L3510" s="378"/>
      <c r="M3510" s="380"/>
      <c r="N3510" s="380"/>
      <c r="O3510" s="380"/>
      <c r="P3510" s="380"/>
      <c r="Q3510" s="380"/>
    </row>
    <row r="3511" spans="1:17" x14ac:dyDescent="0.2">
      <c r="A3511" s="334" t="s">
        <v>1725</v>
      </c>
      <c r="B3511" s="380"/>
      <c r="C3511" s="334" t="s">
        <v>1890</v>
      </c>
      <c r="D3511" s="377"/>
      <c r="E3511" s="380"/>
      <c r="F3511" s="378"/>
      <c r="G3511" s="380"/>
      <c r="H3511" s="380"/>
      <c r="I3511" s="399"/>
      <c r="J3511" s="377"/>
      <c r="K3511" s="380"/>
      <c r="L3511" s="378"/>
      <c r="M3511" s="380"/>
      <c r="N3511" s="380"/>
      <c r="O3511" s="380"/>
      <c r="P3511" s="380"/>
      <c r="Q3511" s="380"/>
    </row>
    <row r="3512" spans="1:17" x14ac:dyDescent="0.2">
      <c r="A3512" s="384" t="s">
        <v>1565</v>
      </c>
      <c r="B3512" s="380"/>
      <c r="C3512" s="334" t="s">
        <v>1927</v>
      </c>
      <c r="D3512" s="377"/>
      <c r="E3512" s="380"/>
      <c r="F3512" s="378"/>
      <c r="G3512" s="380"/>
      <c r="H3512" s="380"/>
      <c r="I3512" s="399"/>
      <c r="J3512" s="377"/>
      <c r="K3512" s="380"/>
      <c r="L3512" s="378"/>
      <c r="M3512" s="380"/>
      <c r="N3512" s="380"/>
      <c r="O3512" s="380"/>
      <c r="P3512" s="380"/>
      <c r="Q3512" s="380"/>
    </row>
    <row r="3513" spans="1:17" x14ac:dyDescent="0.2">
      <c r="A3513" s="384" t="s">
        <v>1737</v>
      </c>
      <c r="B3513" s="380"/>
      <c r="C3513" s="334" t="s">
        <v>1984</v>
      </c>
      <c r="D3513" s="377">
        <v>400</v>
      </c>
      <c r="E3513" s="380"/>
      <c r="F3513" s="378"/>
      <c r="G3513" s="380"/>
      <c r="H3513" s="380"/>
      <c r="I3513" s="399"/>
      <c r="J3513" s="377">
        <v>250</v>
      </c>
      <c r="K3513" s="380"/>
      <c r="L3513" s="378"/>
      <c r="M3513" s="380"/>
      <c r="N3513" s="380"/>
      <c r="O3513" s="380"/>
      <c r="P3513" s="380"/>
      <c r="Q3513" s="380"/>
    </row>
    <row r="3514" spans="1:17" x14ac:dyDescent="0.2">
      <c r="A3514" s="334" t="s">
        <v>1738</v>
      </c>
      <c r="B3514" s="380"/>
      <c r="C3514" s="334" t="s">
        <v>1591</v>
      </c>
      <c r="D3514" s="377">
        <v>300</v>
      </c>
      <c r="E3514" s="334" t="s">
        <v>342</v>
      </c>
      <c r="F3514" s="378"/>
      <c r="G3514" s="380"/>
      <c r="H3514" s="380"/>
      <c r="I3514" s="399"/>
      <c r="J3514" s="377">
        <v>300</v>
      </c>
      <c r="K3514" s="334" t="s">
        <v>342</v>
      </c>
      <c r="L3514" s="378"/>
      <c r="M3514" s="380"/>
      <c r="N3514" s="380"/>
      <c r="O3514" s="380"/>
      <c r="P3514" s="380"/>
      <c r="Q3514" s="380"/>
    </row>
    <row r="3515" spans="1:17" x14ac:dyDescent="0.2">
      <c r="A3515" s="334" t="s">
        <v>1727</v>
      </c>
      <c r="B3515" s="380"/>
      <c r="C3515" s="334" t="s">
        <v>307</v>
      </c>
      <c r="D3515" s="377"/>
      <c r="E3515" s="380"/>
      <c r="F3515" s="378"/>
      <c r="G3515" s="380"/>
      <c r="H3515" s="380"/>
      <c r="I3515" s="399"/>
      <c r="J3515" s="377"/>
      <c r="K3515" s="380"/>
      <c r="L3515" s="378"/>
      <c r="M3515" s="380"/>
      <c r="N3515" s="380"/>
      <c r="O3515" s="380"/>
      <c r="P3515" s="380"/>
      <c r="Q3515" s="380"/>
    </row>
    <row r="3516" spans="1:17" x14ac:dyDescent="0.2">
      <c r="A3516" s="334" t="s">
        <v>1728</v>
      </c>
      <c r="B3516" s="380"/>
      <c r="C3516" s="334" t="s">
        <v>310</v>
      </c>
      <c r="D3516" s="377">
        <v>750</v>
      </c>
      <c r="E3516" s="380"/>
      <c r="F3516" s="378"/>
      <c r="G3516" s="380"/>
      <c r="H3516" s="380"/>
      <c r="I3516" s="399"/>
      <c r="J3516" s="377">
        <v>750</v>
      </c>
      <c r="K3516" s="380"/>
      <c r="L3516" s="378"/>
      <c r="M3516" s="380"/>
      <c r="N3516" s="380"/>
      <c r="O3516" s="380"/>
      <c r="P3516" s="380"/>
      <c r="Q3516" s="380"/>
    </row>
    <row r="3517" spans="1:17" x14ac:dyDescent="0.2">
      <c r="A3517" s="334" t="s">
        <v>1729</v>
      </c>
      <c r="B3517" s="380"/>
      <c r="C3517" s="380" t="s">
        <v>1551</v>
      </c>
      <c r="D3517" s="377">
        <v>-4530</v>
      </c>
      <c r="E3517" s="380"/>
      <c r="F3517" s="378"/>
      <c r="G3517" s="380"/>
      <c r="H3517" s="380"/>
      <c r="I3517" s="399"/>
      <c r="J3517" s="377"/>
      <c r="K3517" s="380"/>
      <c r="L3517" s="378"/>
      <c r="M3517" s="380"/>
      <c r="N3517" s="380"/>
      <c r="O3517" s="380"/>
      <c r="P3517" s="380"/>
      <c r="Q3517" s="380"/>
    </row>
    <row r="3518" spans="1:17" x14ac:dyDescent="0.2">
      <c r="A3518" s="334" t="s">
        <v>1735</v>
      </c>
      <c r="B3518" s="380"/>
      <c r="C3518" s="380" t="s">
        <v>194</v>
      </c>
      <c r="D3518" s="377"/>
      <c r="E3518" s="380"/>
      <c r="F3518" s="378"/>
      <c r="G3518" s="380"/>
      <c r="H3518" s="380"/>
      <c r="I3518" s="399"/>
      <c r="J3518" s="377"/>
      <c r="K3518" s="380"/>
      <c r="L3518" s="378"/>
      <c r="M3518" s="380"/>
      <c r="N3518" s="380"/>
      <c r="O3518" s="380"/>
      <c r="P3518" s="380"/>
      <c r="Q3518" s="380"/>
    </row>
    <row r="3519" spans="1:17" x14ac:dyDescent="0.2">
      <c r="A3519" s="334" t="s">
        <v>1730</v>
      </c>
      <c r="B3519" s="380"/>
      <c r="C3519" s="334" t="s">
        <v>1985</v>
      </c>
      <c r="D3519" s="377"/>
      <c r="E3519" s="380"/>
      <c r="F3519" s="378"/>
      <c r="G3519" s="380"/>
      <c r="H3519" s="380"/>
      <c r="I3519" s="399"/>
      <c r="J3519" s="377"/>
      <c r="K3519" s="380"/>
      <c r="L3519" s="378"/>
      <c r="M3519" s="380"/>
      <c r="N3519" s="380"/>
      <c r="O3519" s="380"/>
      <c r="P3519" s="380"/>
      <c r="Q3519" s="380"/>
    </row>
    <row r="3520" spans="1:17" x14ac:dyDescent="0.2">
      <c r="A3520" s="334" t="s">
        <v>1566</v>
      </c>
      <c r="B3520" s="380"/>
      <c r="C3520" s="334" t="s">
        <v>366</v>
      </c>
      <c r="D3520" s="377">
        <v>1200</v>
      </c>
      <c r="E3520" s="380"/>
      <c r="F3520" s="378"/>
      <c r="G3520" s="380"/>
      <c r="H3520" s="380"/>
      <c r="I3520" s="399"/>
      <c r="J3520" s="377">
        <v>1200</v>
      </c>
      <c r="K3520" s="380"/>
      <c r="L3520" s="378"/>
      <c r="M3520" s="380"/>
      <c r="N3520" s="380"/>
      <c r="O3520" s="380"/>
      <c r="P3520" s="380"/>
      <c r="Q3520" s="380"/>
    </row>
    <row r="3521" spans="1:17" x14ac:dyDescent="0.2">
      <c r="A3521" s="334" t="s">
        <v>1755</v>
      </c>
      <c r="B3521" s="380"/>
      <c r="C3521" s="380" t="s">
        <v>1986</v>
      </c>
      <c r="D3521" s="377"/>
      <c r="E3521" s="334" t="s">
        <v>342</v>
      </c>
      <c r="F3521" s="378"/>
      <c r="G3521" s="380"/>
      <c r="H3521" s="380"/>
      <c r="I3521" s="399"/>
      <c r="J3521" s="377"/>
      <c r="K3521" s="334" t="s">
        <v>342</v>
      </c>
      <c r="L3521" s="378"/>
      <c r="M3521" s="380"/>
      <c r="N3521" s="380"/>
      <c r="O3521" s="380"/>
      <c r="P3521" s="380"/>
      <c r="Q3521" s="380"/>
    </row>
    <row r="3522" spans="1:17" x14ac:dyDescent="0.2">
      <c r="A3522" s="334" t="s">
        <v>1827</v>
      </c>
      <c r="B3522" s="380"/>
      <c r="C3522" s="334" t="s">
        <v>10</v>
      </c>
      <c r="D3522" s="377">
        <v>20000</v>
      </c>
      <c r="E3522" s="380"/>
      <c r="F3522" s="378"/>
      <c r="G3522" s="380"/>
      <c r="H3522" s="380"/>
      <c r="I3522" s="399"/>
      <c r="J3522" s="377">
        <v>20000</v>
      </c>
      <c r="K3522" s="380"/>
      <c r="L3522" s="378"/>
      <c r="M3522" s="380"/>
      <c r="N3522" s="380"/>
      <c r="O3522" s="380"/>
      <c r="P3522" s="380"/>
      <c r="Q3522" s="380"/>
    </row>
    <row r="3523" spans="1:17" x14ac:dyDescent="0.2">
      <c r="A3523" s="334" t="s">
        <v>342</v>
      </c>
      <c r="B3523" s="380"/>
      <c r="C3523" s="334" t="s">
        <v>342</v>
      </c>
      <c r="D3523" s="410" t="s">
        <v>342</v>
      </c>
      <c r="E3523" s="380"/>
      <c r="F3523" s="412"/>
      <c r="G3523" s="334"/>
      <c r="H3523" s="377"/>
      <c r="I3523" s="385"/>
      <c r="J3523" s="410" t="s">
        <v>342</v>
      </c>
      <c r="K3523" s="380"/>
      <c r="L3523" s="412"/>
      <c r="M3523" s="334"/>
      <c r="N3523" s="377"/>
      <c r="O3523" s="380"/>
      <c r="P3523" s="380"/>
      <c r="Q3523" s="380"/>
    </row>
    <row r="3524" spans="1:17" x14ac:dyDescent="0.2">
      <c r="A3524" s="334" t="s">
        <v>342</v>
      </c>
      <c r="B3524" s="380"/>
      <c r="C3524" s="334" t="s">
        <v>342</v>
      </c>
      <c r="D3524" s="334">
        <f>SUM(D3508:D3522)</f>
        <v>18120</v>
      </c>
      <c r="E3524" s="380"/>
      <c r="F3524" s="412"/>
      <c r="G3524" s="334"/>
      <c r="H3524" s="377"/>
      <c r="I3524" s="385"/>
      <c r="J3524" s="334">
        <f>SUM(J3508:J3522)</f>
        <v>22500</v>
      </c>
      <c r="K3524" s="380"/>
      <c r="L3524" s="412"/>
      <c r="M3524" s="334"/>
      <c r="N3524" s="377"/>
      <c r="O3524" s="380"/>
      <c r="P3524" s="380"/>
      <c r="Q3524" s="380"/>
    </row>
    <row r="3525" spans="1:17" ht="15.75" thickTop="1" x14ac:dyDescent="0.2">
      <c r="A3525" s="334" t="s">
        <v>342</v>
      </c>
      <c r="B3525" s="380"/>
      <c r="C3525" s="334" t="s">
        <v>342</v>
      </c>
      <c r="D3525" s="395"/>
      <c r="E3525" s="334"/>
      <c r="F3525" s="412"/>
      <c r="G3525" s="334"/>
      <c r="H3525" s="334"/>
      <c r="I3525" s="399"/>
      <c r="J3525" s="395"/>
      <c r="K3525" s="334"/>
      <c r="L3525" s="412"/>
      <c r="M3525" s="334"/>
      <c r="N3525" s="334"/>
      <c r="O3525" s="380"/>
      <c r="P3525" s="380"/>
      <c r="Q3525" s="380"/>
    </row>
    <row r="3526" spans="1:17" x14ac:dyDescent="0.2">
      <c r="A3526" s="334" t="s">
        <v>342</v>
      </c>
      <c r="B3526" s="380"/>
      <c r="C3526" s="334" t="s">
        <v>342</v>
      </c>
      <c r="D3526" s="377"/>
      <c r="E3526" s="334"/>
      <c r="F3526" s="412"/>
      <c r="G3526" s="334"/>
      <c r="H3526" s="334"/>
      <c r="I3526" s="399"/>
      <c r="J3526" s="377"/>
      <c r="K3526" s="334"/>
      <c r="L3526" s="412"/>
      <c r="M3526" s="334"/>
      <c r="N3526" s="334"/>
      <c r="O3526" s="380"/>
      <c r="P3526" s="380"/>
      <c r="Q3526" s="380"/>
    </row>
    <row r="3527" spans="1:17" x14ac:dyDescent="0.2">
      <c r="A3527" s="334"/>
      <c r="B3527" s="380"/>
      <c r="C3527" s="334"/>
      <c r="D3527" s="377"/>
      <c r="E3527" s="334"/>
      <c r="F3527" s="412"/>
      <c r="G3527" s="334"/>
      <c r="H3527" s="334"/>
      <c r="I3527" s="399"/>
      <c r="J3527" s="377"/>
      <c r="K3527" s="334"/>
      <c r="L3527" s="412"/>
      <c r="M3527" s="334"/>
      <c r="N3527" s="334"/>
      <c r="O3527" s="380"/>
      <c r="P3527" s="380"/>
      <c r="Q3527" s="380"/>
    </row>
    <row r="3528" spans="1:17" x14ac:dyDescent="0.2">
      <c r="A3528" s="334" t="s">
        <v>3143</v>
      </c>
      <c r="B3528" s="380"/>
      <c r="C3528" s="380"/>
      <c r="D3528" s="380"/>
      <c r="E3528" s="334"/>
      <c r="F3528" s="412"/>
      <c r="G3528" s="334"/>
      <c r="H3528" s="334"/>
      <c r="I3528" s="399"/>
      <c r="J3528" s="377"/>
      <c r="K3528" s="334"/>
      <c r="L3528" s="412"/>
      <c r="M3528" s="334"/>
      <c r="N3528" s="334"/>
      <c r="O3528" s="380"/>
      <c r="P3528" s="380"/>
      <c r="Q3528" s="380"/>
    </row>
    <row r="3529" spans="1:17" x14ac:dyDescent="0.2">
      <c r="A3529" s="380"/>
      <c r="B3529" s="380"/>
      <c r="C3529" s="384" t="s">
        <v>2163</v>
      </c>
      <c r="D3529" s="334" t="s">
        <v>3145</v>
      </c>
      <c r="E3529" s="334" t="s">
        <v>3147</v>
      </c>
      <c r="F3529" s="412"/>
      <c r="G3529" s="334"/>
      <c r="H3529" s="334"/>
      <c r="I3529" s="399"/>
      <c r="J3529" s="377"/>
      <c r="K3529" s="334"/>
      <c r="L3529" s="412"/>
      <c r="M3529" s="334"/>
      <c r="N3529" s="334"/>
      <c r="O3529" s="380"/>
      <c r="P3529" s="380"/>
      <c r="Q3529" s="380"/>
    </row>
    <row r="3530" spans="1:17" x14ac:dyDescent="0.2">
      <c r="A3530" s="334" t="s">
        <v>342</v>
      </c>
      <c r="B3530" s="380"/>
      <c r="C3530" s="334" t="s">
        <v>342</v>
      </c>
      <c r="D3530" s="334" t="s">
        <v>1116</v>
      </c>
      <c r="E3530" s="334" t="s">
        <v>3146</v>
      </c>
      <c r="F3530" s="412"/>
      <c r="G3530" s="334"/>
      <c r="H3530" s="334"/>
      <c r="I3530" s="399"/>
      <c r="J3530" s="377"/>
      <c r="K3530" s="334"/>
      <c r="L3530" s="412"/>
      <c r="M3530" s="334"/>
      <c r="N3530" s="334"/>
      <c r="O3530" s="380"/>
      <c r="P3530" s="380"/>
      <c r="Q3530" s="380"/>
    </row>
    <row r="3531" spans="1:17" x14ac:dyDescent="0.2">
      <c r="A3531" s="334" t="s">
        <v>1723</v>
      </c>
      <c r="B3531" s="380"/>
      <c r="C3531" s="334" t="s">
        <v>1880</v>
      </c>
      <c r="D3531" s="334" t="s">
        <v>181</v>
      </c>
      <c r="E3531" s="334" t="s">
        <v>181</v>
      </c>
      <c r="F3531" s="412"/>
      <c r="G3531" s="334"/>
      <c r="H3531" s="334"/>
      <c r="I3531" s="399"/>
      <c r="J3531" s="377"/>
      <c r="K3531" s="334"/>
      <c r="L3531" s="412"/>
      <c r="M3531" s="334"/>
      <c r="N3531" s="334"/>
      <c r="O3531" s="380"/>
      <c r="P3531" s="380"/>
      <c r="Q3531" s="380"/>
    </row>
    <row r="3532" spans="1:17" x14ac:dyDescent="0.2">
      <c r="A3532" s="334" t="s">
        <v>342</v>
      </c>
      <c r="B3532" s="380"/>
      <c r="C3532" s="334" t="s">
        <v>342</v>
      </c>
      <c r="D3532" s="334" t="s">
        <v>342</v>
      </c>
      <c r="E3532" s="334" t="s">
        <v>342</v>
      </c>
      <c r="F3532" s="412"/>
      <c r="G3532" s="334"/>
      <c r="H3532" s="334"/>
      <c r="I3532" s="399"/>
      <c r="J3532" s="377"/>
      <c r="K3532" s="334"/>
      <c r="L3532" s="412"/>
      <c r="M3532" s="334"/>
      <c r="N3532" s="334"/>
      <c r="O3532" s="380"/>
      <c r="P3532" s="380"/>
      <c r="Q3532" s="380"/>
    </row>
    <row r="3533" spans="1:17" x14ac:dyDescent="0.2">
      <c r="A3533" s="334" t="s">
        <v>1568</v>
      </c>
      <c r="B3533" s="380"/>
      <c r="C3533" s="380" t="s">
        <v>1817</v>
      </c>
      <c r="D3533" s="377"/>
      <c r="E3533" s="377"/>
      <c r="F3533" s="412"/>
      <c r="G3533" s="334"/>
      <c r="H3533" s="334"/>
      <c r="I3533" s="399"/>
      <c r="J3533" s="377"/>
      <c r="K3533" s="334"/>
      <c r="L3533" s="412"/>
      <c r="M3533" s="334"/>
      <c r="N3533" s="334"/>
      <c r="O3533" s="380"/>
      <c r="P3533" s="380"/>
      <c r="Q3533" s="380"/>
    </row>
    <row r="3534" spans="1:17" x14ac:dyDescent="0.2">
      <c r="A3534" s="384" t="s">
        <v>1569</v>
      </c>
      <c r="B3534" s="380"/>
      <c r="C3534" s="334" t="s">
        <v>1888</v>
      </c>
      <c r="D3534" s="427"/>
      <c r="E3534" s="427"/>
      <c r="F3534" s="412"/>
      <c r="G3534" s="334"/>
      <c r="H3534" s="334"/>
      <c r="I3534" s="399"/>
      <c r="J3534" s="377"/>
      <c r="K3534" s="334"/>
      <c r="L3534" s="412"/>
      <c r="M3534" s="334"/>
      <c r="N3534" s="334"/>
      <c r="O3534" s="380"/>
      <c r="P3534" s="380"/>
      <c r="Q3534" s="380"/>
    </row>
    <row r="3535" spans="1:17" x14ac:dyDescent="0.2">
      <c r="A3535" s="334" t="s">
        <v>1743</v>
      </c>
      <c r="B3535" s="380"/>
      <c r="C3535" s="334" t="s">
        <v>1886</v>
      </c>
      <c r="D3535" s="427">
        <v>2500</v>
      </c>
      <c r="E3535" s="427">
        <v>2500</v>
      </c>
      <c r="F3535" s="412"/>
      <c r="G3535" s="334"/>
      <c r="H3535" s="334"/>
      <c r="I3535" s="399"/>
      <c r="J3535" s="377"/>
      <c r="K3535" s="334"/>
      <c r="L3535" s="412"/>
      <c r="M3535" s="334"/>
      <c r="N3535" s="334"/>
      <c r="O3535" s="380"/>
      <c r="P3535" s="380"/>
      <c r="Q3535" s="380"/>
    </row>
    <row r="3536" spans="1:17" x14ac:dyDescent="0.2">
      <c r="A3536" s="334" t="s">
        <v>1724</v>
      </c>
      <c r="B3536" s="380"/>
      <c r="C3536" s="334" t="s">
        <v>1881</v>
      </c>
      <c r="D3536" s="427"/>
      <c r="E3536" s="427"/>
      <c r="F3536" s="412"/>
      <c r="G3536" s="334"/>
      <c r="H3536" s="334"/>
      <c r="I3536" s="399"/>
      <c r="J3536" s="377"/>
      <c r="K3536" s="334"/>
      <c r="L3536" s="412"/>
      <c r="M3536" s="334"/>
      <c r="N3536" s="334"/>
      <c r="O3536" s="380"/>
      <c r="P3536" s="380"/>
      <c r="Q3536" s="380"/>
    </row>
    <row r="3537" spans="1:17" x14ac:dyDescent="0.2">
      <c r="A3537" s="334" t="s">
        <v>1736</v>
      </c>
      <c r="B3537" s="380"/>
      <c r="C3537" s="334" t="s">
        <v>1747</v>
      </c>
      <c r="D3537" s="427"/>
      <c r="E3537" s="427"/>
      <c r="F3537" s="412"/>
      <c r="G3537" s="334"/>
      <c r="H3537" s="334"/>
      <c r="I3537" s="399"/>
      <c r="J3537" s="377"/>
      <c r="K3537" s="334"/>
      <c r="L3537" s="412"/>
      <c r="M3537" s="334"/>
      <c r="N3537" s="334"/>
      <c r="O3537" s="380"/>
      <c r="P3537" s="380"/>
      <c r="Q3537" s="380"/>
    </row>
    <row r="3538" spans="1:17" x14ac:dyDescent="0.2">
      <c r="A3538" s="334" t="s">
        <v>1744</v>
      </c>
      <c r="B3538" s="380"/>
      <c r="C3538" s="334" t="s">
        <v>1254</v>
      </c>
      <c r="D3538" s="427"/>
      <c r="E3538" s="427"/>
      <c r="F3538" s="412"/>
      <c r="G3538" s="334"/>
      <c r="H3538" s="334"/>
      <c r="I3538" s="399"/>
      <c r="J3538" s="377"/>
      <c r="K3538" s="334"/>
      <c r="L3538" s="412"/>
      <c r="M3538" s="334"/>
      <c r="N3538" s="334"/>
      <c r="O3538" s="380"/>
      <c r="P3538" s="380"/>
      <c r="Q3538" s="380"/>
    </row>
    <row r="3539" spans="1:17" x14ac:dyDescent="0.2">
      <c r="A3539" s="334" t="s">
        <v>1582</v>
      </c>
      <c r="B3539" s="380"/>
      <c r="C3539" s="334" t="s">
        <v>3135</v>
      </c>
      <c r="D3539" s="427"/>
      <c r="E3539" s="427"/>
      <c r="F3539" s="412"/>
      <c r="G3539" s="334"/>
      <c r="H3539" s="334"/>
      <c r="I3539" s="399"/>
      <c r="J3539" s="377"/>
      <c r="K3539" s="334"/>
      <c r="L3539" s="412"/>
      <c r="M3539" s="334"/>
      <c r="N3539" s="334"/>
      <c r="O3539" s="380"/>
      <c r="P3539" s="380"/>
      <c r="Q3539" s="380"/>
    </row>
    <row r="3540" spans="1:17" x14ac:dyDescent="0.2">
      <c r="A3540" s="334" t="s">
        <v>1575</v>
      </c>
      <c r="B3540" s="380"/>
      <c r="C3540" s="334" t="s">
        <v>1889</v>
      </c>
      <c r="D3540" s="427"/>
      <c r="E3540" s="427"/>
      <c r="F3540" s="412"/>
      <c r="G3540" s="334"/>
      <c r="H3540" s="334"/>
      <c r="I3540" s="399"/>
      <c r="J3540" s="377"/>
      <c r="K3540" s="334"/>
      <c r="L3540" s="412"/>
      <c r="M3540" s="334"/>
      <c r="N3540" s="334"/>
      <c r="O3540" s="380"/>
      <c r="P3540" s="380"/>
      <c r="Q3540" s="380"/>
    </row>
    <row r="3541" spans="1:17" x14ac:dyDescent="0.2">
      <c r="A3541" s="334" t="s">
        <v>1725</v>
      </c>
      <c r="B3541" s="380"/>
      <c r="C3541" s="334" t="s">
        <v>1890</v>
      </c>
      <c r="D3541" s="427"/>
      <c r="E3541" s="427"/>
      <c r="F3541" s="412"/>
      <c r="G3541" s="334"/>
      <c r="H3541" s="334"/>
      <c r="I3541" s="399"/>
      <c r="J3541" s="377"/>
      <c r="K3541" s="334"/>
      <c r="L3541" s="412"/>
      <c r="M3541" s="334"/>
      <c r="N3541" s="334"/>
      <c r="O3541" s="380"/>
      <c r="P3541" s="380"/>
      <c r="Q3541" s="380"/>
    </row>
    <row r="3542" spans="1:17" x14ac:dyDescent="0.2">
      <c r="A3542" s="334" t="s">
        <v>1576</v>
      </c>
      <c r="B3542" s="380"/>
      <c r="C3542" s="334" t="s">
        <v>1590</v>
      </c>
      <c r="D3542" s="427"/>
      <c r="E3542" s="427"/>
      <c r="F3542" s="412"/>
      <c r="G3542" s="334"/>
      <c r="H3542" s="334"/>
      <c r="I3542" s="399"/>
      <c r="J3542" s="377"/>
      <c r="K3542" s="334"/>
      <c r="L3542" s="412"/>
      <c r="M3542" s="334"/>
      <c r="N3542" s="334"/>
      <c r="O3542" s="380"/>
      <c r="P3542" s="380"/>
      <c r="Q3542" s="380"/>
    </row>
    <row r="3543" spans="1:17" x14ac:dyDescent="0.2">
      <c r="A3543" s="334" t="s">
        <v>1737</v>
      </c>
      <c r="B3543" s="380"/>
      <c r="C3543" s="334" t="s">
        <v>1984</v>
      </c>
      <c r="D3543" s="427"/>
      <c r="E3543" s="427"/>
      <c r="F3543" s="412"/>
      <c r="G3543" s="334"/>
      <c r="H3543" s="334"/>
      <c r="I3543" s="399"/>
      <c r="J3543" s="377"/>
      <c r="K3543" s="334"/>
      <c r="L3543" s="412"/>
      <c r="M3543" s="334"/>
      <c r="N3543" s="334"/>
      <c r="O3543" s="380"/>
      <c r="P3543" s="380"/>
      <c r="Q3543" s="380"/>
    </row>
    <row r="3544" spans="1:17" x14ac:dyDescent="0.2">
      <c r="A3544" s="334" t="s">
        <v>1828</v>
      </c>
      <c r="B3544" s="380"/>
      <c r="C3544" s="334" t="s">
        <v>2712</v>
      </c>
      <c r="D3544" s="427"/>
      <c r="E3544" s="427"/>
      <c r="F3544" s="412"/>
      <c r="G3544" s="334"/>
      <c r="H3544" s="334"/>
      <c r="I3544" s="399"/>
      <c r="J3544" s="377"/>
      <c r="K3544" s="334"/>
      <c r="L3544" s="412"/>
      <c r="M3544" s="334"/>
      <c r="N3544" s="334"/>
      <c r="O3544" s="380"/>
      <c r="P3544" s="380"/>
      <c r="Q3544" s="380"/>
    </row>
    <row r="3545" spans="1:17" x14ac:dyDescent="0.2">
      <c r="A3545" s="334" t="s">
        <v>1734</v>
      </c>
      <c r="B3545" s="380"/>
      <c r="C3545" s="334" t="s">
        <v>1746</v>
      </c>
      <c r="D3545" s="427"/>
      <c r="E3545" s="427"/>
      <c r="F3545" s="412"/>
      <c r="G3545" s="334"/>
      <c r="H3545" s="334"/>
      <c r="I3545" s="399"/>
      <c r="J3545" s="377"/>
      <c r="K3545" s="334"/>
      <c r="L3545" s="412"/>
      <c r="M3545" s="334"/>
      <c r="N3545" s="334"/>
      <c r="O3545" s="380"/>
      <c r="P3545" s="380"/>
      <c r="Q3545" s="380"/>
    </row>
    <row r="3546" spans="1:17" x14ac:dyDescent="0.2">
      <c r="A3546" s="334" t="s">
        <v>1571</v>
      </c>
      <c r="B3546" s="380"/>
      <c r="C3546" s="334" t="s">
        <v>3</v>
      </c>
      <c r="D3546" s="427"/>
      <c r="E3546" s="427"/>
      <c r="F3546" s="412"/>
      <c r="G3546" s="334"/>
      <c r="H3546" s="334"/>
      <c r="I3546" s="399"/>
      <c r="J3546" s="377"/>
      <c r="K3546" s="334"/>
      <c r="L3546" s="412"/>
      <c r="M3546" s="334"/>
      <c r="N3546" s="334"/>
      <c r="O3546" s="380"/>
      <c r="P3546" s="380"/>
      <c r="Q3546" s="380"/>
    </row>
    <row r="3547" spans="1:17" x14ac:dyDescent="0.2">
      <c r="A3547" s="334" t="s">
        <v>1738</v>
      </c>
      <c r="B3547" s="380"/>
      <c r="C3547" s="334" t="s">
        <v>1591</v>
      </c>
      <c r="D3547" s="427"/>
      <c r="E3547" s="427"/>
      <c r="F3547" s="412"/>
      <c r="G3547" s="334"/>
      <c r="H3547" s="334"/>
      <c r="I3547" s="399"/>
      <c r="J3547" s="377"/>
      <c r="K3547" s="334"/>
      <c r="L3547" s="412"/>
      <c r="M3547" s="334"/>
      <c r="N3547" s="334"/>
      <c r="O3547" s="380"/>
      <c r="P3547" s="380"/>
      <c r="Q3547" s="380"/>
    </row>
    <row r="3548" spans="1:17" x14ac:dyDescent="0.2">
      <c r="A3548" s="334" t="s">
        <v>1727</v>
      </c>
      <c r="B3548" s="380"/>
      <c r="C3548" s="334" t="s">
        <v>307</v>
      </c>
      <c r="D3548" s="427"/>
      <c r="E3548" s="427"/>
      <c r="F3548" s="412"/>
      <c r="G3548" s="334"/>
      <c r="H3548" s="334"/>
      <c r="I3548" s="399"/>
      <c r="J3548" s="377"/>
      <c r="K3548" s="334"/>
      <c r="L3548" s="412"/>
      <c r="M3548" s="334"/>
      <c r="N3548" s="334"/>
      <c r="O3548" s="380"/>
      <c r="P3548" s="380"/>
      <c r="Q3548" s="380"/>
    </row>
    <row r="3549" spans="1:17" x14ac:dyDescent="0.2">
      <c r="A3549" s="334" t="s">
        <v>1728</v>
      </c>
      <c r="B3549" s="380"/>
      <c r="C3549" s="334" t="s">
        <v>310</v>
      </c>
      <c r="D3549" s="427"/>
      <c r="E3549" s="427"/>
      <c r="F3549" s="412"/>
      <c r="G3549" s="334"/>
      <c r="H3549" s="334"/>
      <c r="I3549" s="399"/>
      <c r="J3549" s="377"/>
      <c r="K3549" s="334"/>
      <c r="L3549" s="412"/>
      <c r="M3549" s="334"/>
      <c r="N3549" s="334"/>
      <c r="O3549" s="380"/>
      <c r="P3549" s="380"/>
      <c r="Q3549" s="380"/>
    </row>
    <row r="3550" spans="1:17" x14ac:dyDescent="0.2">
      <c r="A3550" s="334" t="s">
        <v>1729</v>
      </c>
      <c r="B3550" s="380"/>
      <c r="C3550" s="380" t="s">
        <v>1551</v>
      </c>
      <c r="D3550" s="427">
        <v>-798.56</v>
      </c>
      <c r="E3550" s="427">
        <v>-798.56</v>
      </c>
      <c r="F3550" s="412"/>
      <c r="G3550" s="334"/>
      <c r="H3550" s="334"/>
      <c r="I3550" s="399"/>
      <c r="J3550" s="377"/>
      <c r="K3550" s="334"/>
      <c r="L3550" s="412"/>
      <c r="M3550" s="334"/>
      <c r="N3550" s="334"/>
      <c r="O3550" s="380"/>
      <c r="P3550" s="380"/>
      <c r="Q3550" s="380"/>
    </row>
    <row r="3551" spans="1:17" x14ac:dyDescent="0.2">
      <c r="A3551" s="334" t="s">
        <v>1735</v>
      </c>
      <c r="B3551" s="380"/>
      <c r="C3551" s="380" t="s">
        <v>194</v>
      </c>
      <c r="D3551" s="427"/>
      <c r="E3551" s="427"/>
      <c r="F3551" s="412"/>
      <c r="G3551" s="334"/>
      <c r="H3551" s="334"/>
      <c r="I3551" s="399"/>
      <c r="J3551" s="377"/>
      <c r="K3551" s="334"/>
      <c r="L3551" s="412"/>
      <c r="M3551" s="334"/>
      <c r="N3551" s="334"/>
      <c r="O3551" s="380"/>
      <c r="P3551" s="380"/>
      <c r="Q3551" s="380"/>
    </row>
    <row r="3552" spans="1:17" x14ac:dyDescent="0.2">
      <c r="A3552" s="403" t="s">
        <v>1741</v>
      </c>
      <c r="B3552" s="380"/>
      <c r="C3552" s="334" t="s">
        <v>1748</v>
      </c>
      <c r="D3552" s="427"/>
      <c r="E3552" s="427"/>
      <c r="F3552" s="412"/>
      <c r="G3552" s="334"/>
      <c r="H3552" s="334"/>
      <c r="I3552" s="399"/>
      <c r="J3552" s="377"/>
      <c r="K3552" s="334"/>
      <c r="L3552" s="412"/>
      <c r="M3552" s="334"/>
      <c r="N3552" s="334"/>
      <c r="O3552" s="380"/>
      <c r="P3552" s="380"/>
      <c r="Q3552" s="380"/>
    </row>
    <row r="3553" spans="1:17" x14ac:dyDescent="0.2">
      <c r="A3553" s="334" t="s">
        <v>1754</v>
      </c>
      <c r="B3553" s="380"/>
      <c r="C3553" s="334" t="s">
        <v>1929</v>
      </c>
      <c r="D3553" s="427"/>
      <c r="E3553" s="427"/>
      <c r="F3553" s="412"/>
      <c r="G3553" s="334"/>
      <c r="H3553" s="334"/>
      <c r="I3553" s="399"/>
      <c r="J3553" s="377"/>
      <c r="K3553" s="334"/>
      <c r="L3553" s="412"/>
      <c r="M3553" s="334"/>
      <c r="N3553" s="334"/>
      <c r="O3553" s="380"/>
      <c r="P3553" s="380"/>
      <c r="Q3553" s="380"/>
    </row>
    <row r="3554" spans="1:17" x14ac:dyDescent="0.2">
      <c r="A3554" s="334" t="s">
        <v>1572</v>
      </c>
      <c r="B3554" s="380"/>
      <c r="C3554" s="334" t="s">
        <v>3134</v>
      </c>
      <c r="D3554" s="427"/>
      <c r="E3554" s="427"/>
      <c r="F3554" s="412"/>
      <c r="G3554" s="334"/>
      <c r="H3554" s="334"/>
      <c r="I3554" s="399"/>
      <c r="J3554" s="377"/>
      <c r="K3554" s="334"/>
      <c r="L3554" s="412"/>
      <c r="M3554" s="334"/>
      <c r="N3554" s="334"/>
      <c r="O3554" s="380"/>
      <c r="P3554" s="380"/>
      <c r="Q3554" s="380"/>
    </row>
    <row r="3555" spans="1:17" x14ac:dyDescent="0.2">
      <c r="A3555" s="334" t="s">
        <v>1730</v>
      </c>
      <c r="B3555" s="380"/>
      <c r="C3555" s="334" t="s">
        <v>1985</v>
      </c>
      <c r="D3555" s="427"/>
      <c r="E3555" s="427"/>
      <c r="F3555" s="412"/>
      <c r="G3555" s="334"/>
      <c r="H3555" s="334"/>
      <c r="I3555" s="399"/>
      <c r="J3555" s="377"/>
      <c r="K3555" s="334"/>
      <c r="L3555" s="412"/>
      <c r="M3555" s="334"/>
      <c r="N3555" s="334"/>
      <c r="O3555" s="380"/>
      <c r="P3555" s="380"/>
      <c r="Q3555" s="380"/>
    </row>
    <row r="3556" spans="1:17" x14ac:dyDescent="0.2">
      <c r="A3556" s="334" t="s">
        <v>1566</v>
      </c>
      <c r="B3556" s="380"/>
      <c r="C3556" s="334" t="s">
        <v>366</v>
      </c>
      <c r="D3556" s="427"/>
      <c r="E3556" s="427"/>
      <c r="F3556" s="412"/>
      <c r="G3556" s="334"/>
      <c r="H3556" s="334"/>
      <c r="I3556" s="399"/>
      <c r="J3556" s="377"/>
      <c r="K3556" s="334"/>
      <c r="L3556" s="412"/>
      <c r="M3556" s="334"/>
      <c r="N3556" s="334"/>
      <c r="O3556" s="380"/>
      <c r="P3556" s="380"/>
      <c r="Q3556" s="380"/>
    </row>
    <row r="3557" spans="1:17" x14ac:dyDescent="0.2">
      <c r="A3557" s="334" t="s">
        <v>1588</v>
      </c>
      <c r="B3557" s="380"/>
      <c r="C3557" s="334" t="s">
        <v>191</v>
      </c>
      <c r="D3557" s="427"/>
      <c r="E3557" s="427"/>
      <c r="F3557" s="412"/>
      <c r="G3557" s="334"/>
      <c r="H3557" s="334"/>
      <c r="I3557" s="399"/>
      <c r="J3557" s="377"/>
      <c r="K3557" s="334"/>
      <c r="L3557" s="412"/>
      <c r="M3557" s="334"/>
      <c r="N3557" s="334"/>
      <c r="O3557" s="380"/>
      <c r="P3557" s="380"/>
      <c r="Q3557" s="380"/>
    </row>
    <row r="3558" spans="1:17" x14ac:dyDescent="0.2">
      <c r="A3558" s="403" t="s">
        <v>1903</v>
      </c>
      <c r="B3558" s="380"/>
      <c r="C3558" s="334" t="s">
        <v>35</v>
      </c>
      <c r="D3558" s="427"/>
      <c r="E3558" s="427"/>
      <c r="F3558" s="412"/>
      <c r="G3558" s="334"/>
      <c r="H3558" s="334"/>
      <c r="I3558" s="399"/>
      <c r="J3558" s="377"/>
      <c r="K3558" s="334"/>
      <c r="L3558" s="412"/>
      <c r="M3558" s="334"/>
      <c r="N3558" s="334"/>
      <c r="O3558" s="380"/>
      <c r="P3558" s="380"/>
      <c r="Q3558" s="380"/>
    </row>
    <row r="3559" spans="1:17" x14ac:dyDescent="0.2">
      <c r="A3559" s="384" t="s">
        <v>1962</v>
      </c>
      <c r="B3559" s="380"/>
      <c r="C3559" s="380" t="s">
        <v>572</v>
      </c>
      <c r="D3559" s="427"/>
      <c r="E3559" s="427"/>
      <c r="F3559" s="412"/>
      <c r="G3559" s="334"/>
      <c r="H3559" s="334"/>
      <c r="I3559" s="399"/>
      <c r="J3559" s="377"/>
      <c r="K3559" s="334"/>
      <c r="L3559" s="412"/>
      <c r="M3559" s="334"/>
      <c r="N3559" s="334"/>
      <c r="O3559" s="380"/>
      <c r="P3559" s="380"/>
      <c r="Q3559" s="380"/>
    </row>
    <row r="3560" spans="1:17" x14ac:dyDescent="0.2">
      <c r="A3560" s="405" t="s">
        <v>1567</v>
      </c>
      <c r="B3560" s="380"/>
      <c r="C3560" s="334" t="s">
        <v>3142</v>
      </c>
      <c r="D3560" s="377"/>
      <c r="E3560" s="377"/>
      <c r="F3560" s="412"/>
      <c r="G3560" s="334"/>
      <c r="H3560" s="334"/>
      <c r="I3560" s="399"/>
      <c r="J3560" s="377"/>
      <c r="K3560" s="334"/>
      <c r="L3560" s="412"/>
      <c r="M3560" s="334"/>
      <c r="N3560" s="334"/>
      <c r="O3560" s="380"/>
      <c r="P3560" s="380"/>
      <c r="Q3560" s="380"/>
    </row>
    <row r="3561" spans="1:17" x14ac:dyDescent="0.2">
      <c r="A3561" s="334" t="s">
        <v>342</v>
      </c>
      <c r="B3561" s="380"/>
      <c r="C3561" s="334" t="s">
        <v>342</v>
      </c>
      <c r="D3561" s="410"/>
      <c r="E3561" s="410" t="s">
        <v>342</v>
      </c>
      <c r="F3561" s="412"/>
      <c r="G3561" s="334"/>
      <c r="H3561" s="334"/>
      <c r="I3561" s="399"/>
      <c r="J3561" s="377"/>
      <c r="K3561" s="334"/>
      <c r="L3561" s="412"/>
      <c r="M3561" s="334"/>
      <c r="N3561" s="334"/>
      <c r="O3561" s="380"/>
      <c r="P3561" s="380"/>
      <c r="Q3561" s="380"/>
    </row>
    <row r="3562" spans="1:17" x14ac:dyDescent="0.2">
      <c r="A3562" s="334" t="s">
        <v>342</v>
      </c>
      <c r="B3562" s="380"/>
      <c r="C3562" s="334" t="s">
        <v>342</v>
      </c>
      <c r="D3562" s="455">
        <f>SUM(D3533:D3561)</f>
        <v>1701.44</v>
      </c>
      <c r="E3562" s="455">
        <f>SUM(E3533:E3560)</f>
        <v>1701.44</v>
      </c>
      <c r="F3562" s="412"/>
      <c r="G3562" s="334"/>
      <c r="H3562" s="334"/>
      <c r="I3562" s="399"/>
      <c r="J3562" s="377"/>
      <c r="K3562" s="334"/>
      <c r="L3562" s="412"/>
      <c r="M3562" s="334"/>
      <c r="N3562" s="334"/>
      <c r="O3562" s="380"/>
      <c r="P3562" s="380"/>
      <c r="Q3562" s="380"/>
    </row>
    <row r="3563" spans="1:17" ht="15.75" thickTop="1" x14ac:dyDescent="0.2">
      <c r="A3563" s="380"/>
      <c r="B3563" s="380"/>
      <c r="C3563" s="380"/>
      <c r="D3563" s="400">
        <f>D3562-D3533</f>
        <v>1701.44</v>
      </c>
      <c r="E3563" s="400">
        <f>E3562-E3533</f>
        <v>1701.44</v>
      </c>
      <c r="F3563" s="412"/>
      <c r="G3563" s="334"/>
      <c r="H3563" s="334"/>
      <c r="I3563" s="399"/>
      <c r="J3563" s="377"/>
      <c r="K3563" s="334"/>
      <c r="L3563" s="412"/>
      <c r="M3563" s="334"/>
      <c r="N3563" s="334"/>
      <c r="O3563" s="380"/>
      <c r="P3563" s="380"/>
      <c r="Q3563" s="380"/>
    </row>
    <row r="3564" spans="1:17" x14ac:dyDescent="0.2">
      <c r="A3564" s="380"/>
      <c r="B3564" s="380"/>
      <c r="C3564" s="380"/>
      <c r="D3564" s="334" t="s">
        <v>342</v>
      </c>
      <c r="E3564" s="380"/>
      <c r="F3564" s="412"/>
      <c r="G3564" s="334"/>
      <c r="H3564" s="334"/>
      <c r="I3564" s="399"/>
      <c r="J3564" s="377"/>
      <c r="K3564" s="334"/>
      <c r="L3564" s="412"/>
      <c r="M3564" s="334"/>
      <c r="N3564" s="334"/>
      <c r="O3564" s="380"/>
      <c r="P3564" s="380"/>
      <c r="Q3564" s="380"/>
    </row>
    <row r="3565" spans="1:17" x14ac:dyDescent="0.2">
      <c r="A3565" s="334" t="s">
        <v>342</v>
      </c>
      <c r="B3565" s="377"/>
      <c r="C3565" s="334" t="s">
        <v>342</v>
      </c>
      <c r="D3565" s="377"/>
      <c r="E3565" s="334"/>
      <c r="F3565" s="412" t="s">
        <v>342</v>
      </c>
      <c r="G3565" s="334"/>
      <c r="H3565" s="377"/>
      <c r="I3565" s="399"/>
      <c r="J3565" s="377"/>
      <c r="K3565" s="334"/>
      <c r="L3565" s="412" t="s">
        <v>342</v>
      </c>
      <c r="M3565" s="334"/>
      <c r="N3565" s="377"/>
      <c r="O3565" s="380"/>
      <c r="P3565" s="380"/>
      <c r="Q3565" s="380"/>
    </row>
    <row r="3566" spans="1:17" x14ac:dyDescent="0.2">
      <c r="A3566" s="334" t="s">
        <v>3144</v>
      </c>
      <c r="B3566" s="380"/>
      <c r="C3566" s="380"/>
      <c r="D3566" s="380"/>
      <c r="E3566" s="334" t="s">
        <v>287</v>
      </c>
      <c r="F3566" s="412" t="s">
        <v>288</v>
      </c>
      <c r="G3566" s="334"/>
      <c r="H3566" s="377"/>
      <c r="I3566" s="382"/>
      <c r="J3566" s="380"/>
      <c r="K3566" s="334" t="s">
        <v>287</v>
      </c>
      <c r="L3566" s="412" t="s">
        <v>288</v>
      </c>
      <c r="M3566" s="334"/>
      <c r="N3566" s="377"/>
      <c r="O3566" s="380"/>
      <c r="P3566" s="380"/>
      <c r="Q3566" s="380"/>
    </row>
    <row r="3567" spans="1:17" x14ac:dyDescent="0.2">
      <c r="A3567" s="380"/>
      <c r="B3567" s="380"/>
      <c r="C3567" s="384" t="s">
        <v>2163</v>
      </c>
      <c r="D3567" s="380"/>
      <c r="E3567" s="334" t="s">
        <v>232</v>
      </c>
      <c r="F3567" s="412" t="s">
        <v>239</v>
      </c>
      <c r="G3567" s="334" t="s">
        <v>2858</v>
      </c>
      <c r="H3567" s="377"/>
      <c r="I3567" s="382"/>
      <c r="J3567" s="380"/>
      <c r="K3567" s="334" t="s">
        <v>232</v>
      </c>
      <c r="L3567" s="412" t="s">
        <v>239</v>
      </c>
      <c r="M3567" s="334" t="s">
        <v>2858</v>
      </c>
      <c r="N3567" s="377"/>
      <c r="O3567" s="380"/>
      <c r="P3567" s="380"/>
      <c r="Q3567" s="380"/>
    </row>
    <row r="3568" spans="1:17" x14ac:dyDescent="0.2">
      <c r="A3568" s="334" t="s">
        <v>342</v>
      </c>
      <c r="B3568" s="380"/>
      <c r="C3568" s="334" t="s">
        <v>342</v>
      </c>
      <c r="D3568" s="334" t="s">
        <v>679</v>
      </c>
      <c r="E3568" s="334" t="s">
        <v>671</v>
      </c>
      <c r="F3568" s="412" t="s">
        <v>669</v>
      </c>
      <c r="G3568" s="334" t="s">
        <v>410</v>
      </c>
      <c r="H3568" s="377"/>
      <c r="I3568" s="385"/>
      <c r="J3568" s="334" t="s">
        <v>679</v>
      </c>
      <c r="K3568" s="334" t="s">
        <v>671</v>
      </c>
      <c r="L3568" s="412" t="s">
        <v>669</v>
      </c>
      <c r="M3568" s="334" t="s">
        <v>410</v>
      </c>
      <c r="N3568" s="377"/>
      <c r="O3568" s="380"/>
      <c r="P3568" s="380"/>
      <c r="Q3568" s="380"/>
    </row>
    <row r="3569" spans="1:17" x14ac:dyDescent="0.2">
      <c r="A3569" s="334" t="s">
        <v>1723</v>
      </c>
      <c r="B3569" s="380"/>
      <c r="C3569" s="334" t="s">
        <v>1880</v>
      </c>
      <c r="D3569" s="334" t="s">
        <v>181</v>
      </c>
      <c r="E3569" s="334" t="s">
        <v>181</v>
      </c>
      <c r="F3569" s="412" t="s">
        <v>181</v>
      </c>
      <c r="G3569" s="334" t="s">
        <v>2719</v>
      </c>
      <c r="H3569" s="334" t="s">
        <v>343</v>
      </c>
      <c r="I3569" s="385"/>
      <c r="J3569" s="334" t="s">
        <v>181</v>
      </c>
      <c r="K3569" s="334" t="s">
        <v>181</v>
      </c>
      <c r="L3569" s="412" t="s">
        <v>181</v>
      </c>
      <c r="M3569" s="334" t="s">
        <v>2719</v>
      </c>
      <c r="N3569" s="334" t="s">
        <v>343</v>
      </c>
      <c r="O3569" s="380"/>
      <c r="P3569" s="380"/>
      <c r="Q3569" s="380"/>
    </row>
    <row r="3570" spans="1:17" x14ac:dyDescent="0.2">
      <c r="A3570" s="334" t="s">
        <v>342</v>
      </c>
      <c r="B3570" s="380"/>
      <c r="C3570" s="334" t="s">
        <v>342</v>
      </c>
      <c r="D3570" s="334" t="s">
        <v>342</v>
      </c>
      <c r="E3570" s="334" t="s">
        <v>342</v>
      </c>
      <c r="F3570" s="412" t="s">
        <v>342</v>
      </c>
      <c r="G3570" s="334"/>
      <c r="H3570" s="377"/>
      <c r="I3570" s="385"/>
      <c r="J3570" s="334" t="s">
        <v>342</v>
      </c>
      <c r="K3570" s="334" t="s">
        <v>342</v>
      </c>
      <c r="L3570" s="412" t="s">
        <v>342</v>
      </c>
      <c r="M3570" s="334"/>
      <c r="N3570" s="377"/>
      <c r="O3570" s="380"/>
      <c r="P3570" s="380"/>
      <c r="Q3570" s="380"/>
    </row>
    <row r="3571" spans="1:17" x14ac:dyDescent="0.2">
      <c r="A3571" s="334" t="s">
        <v>1568</v>
      </c>
      <c r="B3571" s="380"/>
      <c r="C3571" s="380" t="s">
        <v>1817</v>
      </c>
      <c r="D3571" s="377"/>
      <c r="E3571" s="377"/>
      <c r="F3571" s="378"/>
      <c r="G3571" s="377"/>
      <c r="H3571" s="377">
        <f>D3571+E3571+F3571+G3571+D3533+E3533</f>
        <v>0</v>
      </c>
      <c r="I3571" s="399"/>
      <c r="J3571" s="377"/>
      <c r="K3571" s="377"/>
      <c r="L3571" s="378"/>
      <c r="M3571" s="377"/>
      <c r="N3571" s="377">
        <f>J3571+K3571+L3571+M3571</f>
        <v>0</v>
      </c>
      <c r="O3571" s="380"/>
      <c r="P3571" s="380"/>
      <c r="Q3571" s="380"/>
    </row>
    <row r="3572" spans="1:17" x14ac:dyDescent="0.2">
      <c r="A3572" s="384" t="s">
        <v>1569</v>
      </c>
      <c r="B3572" s="380"/>
      <c r="C3572" s="334" t="s">
        <v>1888</v>
      </c>
      <c r="D3572" s="427"/>
      <c r="E3572" s="427"/>
      <c r="F3572" s="464"/>
      <c r="G3572" s="427"/>
      <c r="H3572" s="377">
        <f t="shared" ref="H3572:H3598" si="30">D3572+E3572+F3572+G3572+D3534+E3534</f>
        <v>0</v>
      </c>
      <c r="I3572" s="399"/>
      <c r="J3572" s="377"/>
      <c r="K3572" s="377"/>
      <c r="L3572" s="378"/>
      <c r="M3572" s="377"/>
      <c r="N3572" s="377">
        <f t="shared" ref="N3572:N3598" si="31">J3572+K3572+L3572+M3572</f>
        <v>0</v>
      </c>
      <c r="O3572" s="380"/>
      <c r="P3572" s="380"/>
      <c r="Q3572" s="380"/>
    </row>
    <row r="3573" spans="1:17" x14ac:dyDescent="0.2">
      <c r="A3573" s="334" t="s">
        <v>1743</v>
      </c>
      <c r="B3573" s="380"/>
      <c r="C3573" s="334" t="s">
        <v>1886</v>
      </c>
      <c r="D3573" s="427">
        <v>15000</v>
      </c>
      <c r="E3573" s="427">
        <v>30000</v>
      </c>
      <c r="F3573" s="427">
        <v>30000</v>
      </c>
      <c r="G3573" s="427">
        <v>32000</v>
      </c>
      <c r="H3573" s="377">
        <f t="shared" si="30"/>
        <v>112000</v>
      </c>
      <c r="I3573" s="399"/>
      <c r="J3573" s="377">
        <v>15000</v>
      </c>
      <c r="K3573" s="377">
        <v>32000</v>
      </c>
      <c r="L3573" s="378">
        <v>32000</v>
      </c>
      <c r="M3573" s="377">
        <v>25000</v>
      </c>
      <c r="N3573" s="377">
        <f t="shared" si="31"/>
        <v>104000</v>
      </c>
      <c r="O3573" s="380"/>
      <c r="P3573" s="380"/>
      <c r="Q3573" s="380"/>
    </row>
    <row r="3574" spans="1:17" x14ac:dyDescent="0.2">
      <c r="A3574" s="334" t="s">
        <v>1724</v>
      </c>
      <c r="B3574" s="380"/>
      <c r="C3574" s="334" t="s">
        <v>1881</v>
      </c>
      <c r="D3574" s="427">
        <v>2000</v>
      </c>
      <c r="E3574" s="427">
        <v>400</v>
      </c>
      <c r="F3574" s="427">
        <v>400</v>
      </c>
      <c r="G3574" s="427"/>
      <c r="H3574" s="377">
        <f t="shared" si="30"/>
        <v>2800</v>
      </c>
      <c r="I3574" s="399"/>
      <c r="J3574" s="377">
        <v>2000</v>
      </c>
      <c r="K3574" s="377"/>
      <c r="L3574" s="378"/>
      <c r="M3574" s="377"/>
      <c r="N3574" s="377">
        <f t="shared" si="31"/>
        <v>2000</v>
      </c>
      <c r="O3574" s="380"/>
      <c r="P3574" s="380"/>
      <c r="Q3574" s="380"/>
    </row>
    <row r="3575" spans="1:17" x14ac:dyDescent="0.2">
      <c r="A3575" s="334" t="s">
        <v>1736</v>
      </c>
      <c r="B3575" s="380"/>
      <c r="C3575" s="334" t="s">
        <v>1747</v>
      </c>
      <c r="D3575" s="427">
        <v>4300</v>
      </c>
      <c r="E3575" s="427"/>
      <c r="F3575" s="427"/>
      <c r="G3575" s="427"/>
      <c r="H3575" s="377">
        <f t="shared" si="30"/>
        <v>4300</v>
      </c>
      <c r="I3575" s="399"/>
      <c r="J3575" s="377">
        <v>1275</v>
      </c>
      <c r="K3575" s="377"/>
      <c r="L3575" s="378"/>
      <c r="M3575" s="377"/>
      <c r="N3575" s="377">
        <f t="shared" si="31"/>
        <v>1275</v>
      </c>
      <c r="O3575" s="380"/>
      <c r="P3575" s="380"/>
      <c r="Q3575" s="380"/>
    </row>
    <row r="3576" spans="1:17" x14ac:dyDescent="0.2">
      <c r="A3576" s="334" t="s">
        <v>1744</v>
      </c>
      <c r="B3576" s="380"/>
      <c r="C3576" s="334" t="s">
        <v>1254</v>
      </c>
      <c r="D3576" s="427">
        <v>2100</v>
      </c>
      <c r="E3576" s="427">
        <v>400</v>
      </c>
      <c r="F3576" s="427">
        <v>400</v>
      </c>
      <c r="G3576" s="427">
        <v>400</v>
      </c>
      <c r="H3576" s="377">
        <f t="shared" si="30"/>
        <v>3300</v>
      </c>
      <c r="I3576" s="399"/>
      <c r="J3576" s="377">
        <v>3000</v>
      </c>
      <c r="K3576" s="377">
        <v>400</v>
      </c>
      <c r="L3576" s="378">
        <v>400</v>
      </c>
      <c r="M3576" s="377">
        <v>400</v>
      </c>
      <c r="N3576" s="377">
        <f t="shared" si="31"/>
        <v>4200</v>
      </c>
      <c r="O3576" s="380"/>
      <c r="P3576" s="380"/>
      <c r="Q3576" s="380"/>
    </row>
    <row r="3577" spans="1:17" x14ac:dyDescent="0.2">
      <c r="A3577" s="334" t="s">
        <v>1582</v>
      </c>
      <c r="B3577" s="380"/>
      <c r="C3577" s="334" t="s">
        <v>3135</v>
      </c>
      <c r="D3577" s="427">
        <v>17200</v>
      </c>
      <c r="E3577" s="427">
        <v>400</v>
      </c>
      <c r="F3577" s="427">
        <v>400</v>
      </c>
      <c r="G3577" s="427">
        <v>400</v>
      </c>
      <c r="H3577" s="377">
        <f t="shared" si="30"/>
        <v>18400</v>
      </c>
      <c r="I3577" s="399"/>
      <c r="J3577" s="377">
        <v>9400</v>
      </c>
      <c r="K3577" s="377">
        <v>400</v>
      </c>
      <c r="L3577" s="378">
        <v>400</v>
      </c>
      <c r="M3577" s="377">
        <v>400</v>
      </c>
      <c r="N3577" s="377">
        <f t="shared" si="31"/>
        <v>10600</v>
      </c>
      <c r="O3577" s="380"/>
      <c r="P3577" s="380"/>
      <c r="Q3577" s="380"/>
    </row>
    <row r="3578" spans="1:17" x14ac:dyDescent="0.2">
      <c r="A3578" s="334" t="s">
        <v>1575</v>
      </c>
      <c r="B3578" s="380"/>
      <c r="C3578" s="334" t="s">
        <v>1889</v>
      </c>
      <c r="D3578" s="427">
        <v>200</v>
      </c>
      <c r="E3578" s="427"/>
      <c r="F3578" s="427"/>
      <c r="G3578" s="427"/>
      <c r="H3578" s="377">
        <f t="shared" si="30"/>
        <v>200</v>
      </c>
      <c r="I3578" s="399"/>
      <c r="J3578" s="377">
        <v>200</v>
      </c>
      <c r="K3578" s="377"/>
      <c r="L3578" s="378"/>
      <c r="M3578" s="377"/>
      <c r="N3578" s="377">
        <f t="shared" si="31"/>
        <v>200</v>
      </c>
      <c r="O3578" s="380"/>
      <c r="P3578" s="380"/>
      <c r="Q3578" s="380"/>
    </row>
    <row r="3579" spans="1:17" x14ac:dyDescent="0.2">
      <c r="A3579" s="334" t="s">
        <v>1725</v>
      </c>
      <c r="B3579" s="380"/>
      <c r="C3579" s="334" t="s">
        <v>1890</v>
      </c>
      <c r="D3579" s="427"/>
      <c r="E3579" s="427"/>
      <c r="F3579" s="427"/>
      <c r="G3579" s="427"/>
      <c r="H3579" s="377">
        <f t="shared" si="30"/>
        <v>0</v>
      </c>
      <c r="I3579" s="399"/>
      <c r="J3579" s="377"/>
      <c r="K3579" s="377"/>
      <c r="L3579" s="378"/>
      <c r="M3579" s="377"/>
      <c r="N3579" s="377">
        <f t="shared" si="31"/>
        <v>0</v>
      </c>
      <c r="O3579" s="380"/>
      <c r="P3579" s="380"/>
      <c r="Q3579" s="380"/>
    </row>
    <row r="3580" spans="1:17" x14ac:dyDescent="0.2">
      <c r="A3580" s="334" t="s">
        <v>1576</v>
      </c>
      <c r="B3580" s="380"/>
      <c r="C3580" s="334" t="s">
        <v>1590</v>
      </c>
      <c r="D3580" s="427">
        <v>100</v>
      </c>
      <c r="E3580" s="427"/>
      <c r="F3580" s="427"/>
      <c r="G3580" s="427"/>
      <c r="H3580" s="377">
        <f t="shared" si="30"/>
        <v>100</v>
      </c>
      <c r="I3580" s="399"/>
      <c r="J3580" s="377"/>
      <c r="K3580" s="377"/>
      <c r="L3580" s="378"/>
      <c r="M3580" s="377"/>
      <c r="N3580" s="377">
        <f t="shared" si="31"/>
        <v>0</v>
      </c>
      <c r="O3580" s="380"/>
      <c r="P3580" s="380"/>
      <c r="Q3580" s="380"/>
    </row>
    <row r="3581" spans="1:17" x14ac:dyDescent="0.2">
      <c r="A3581" s="334" t="s">
        <v>1737</v>
      </c>
      <c r="B3581" s="380"/>
      <c r="C3581" s="334" t="s">
        <v>1984</v>
      </c>
      <c r="D3581" s="427">
        <v>250</v>
      </c>
      <c r="E3581" s="427"/>
      <c r="F3581" s="427"/>
      <c r="G3581" s="427"/>
      <c r="H3581" s="377">
        <f t="shared" si="30"/>
        <v>250</v>
      </c>
      <c r="I3581" s="399"/>
      <c r="J3581" s="377">
        <v>250</v>
      </c>
      <c r="K3581" s="377"/>
      <c r="L3581" s="378"/>
      <c r="M3581" s="377"/>
      <c r="N3581" s="377">
        <f t="shared" si="31"/>
        <v>250</v>
      </c>
      <c r="O3581" s="380"/>
      <c r="P3581" s="380"/>
      <c r="Q3581" s="380"/>
    </row>
    <row r="3582" spans="1:17" x14ac:dyDescent="0.2">
      <c r="A3582" s="334" t="s">
        <v>1828</v>
      </c>
      <c r="B3582" s="380"/>
      <c r="C3582" s="334" t="s">
        <v>2712</v>
      </c>
      <c r="D3582" s="427"/>
      <c r="E3582" s="427"/>
      <c r="F3582" s="427"/>
      <c r="G3582" s="427"/>
      <c r="H3582" s="377">
        <f t="shared" si="30"/>
        <v>0</v>
      </c>
      <c r="I3582" s="399"/>
      <c r="J3582" s="377"/>
      <c r="K3582" s="377"/>
      <c r="L3582" s="378"/>
      <c r="M3582" s="377"/>
      <c r="N3582" s="377">
        <f t="shared" si="31"/>
        <v>0</v>
      </c>
      <c r="O3582" s="380"/>
      <c r="P3582" s="380"/>
      <c r="Q3582" s="380"/>
    </row>
    <row r="3583" spans="1:17" x14ac:dyDescent="0.2">
      <c r="A3583" s="334" t="s">
        <v>1734</v>
      </c>
      <c r="B3583" s="380"/>
      <c r="C3583" s="334" t="s">
        <v>1746</v>
      </c>
      <c r="D3583" s="427">
        <v>2000</v>
      </c>
      <c r="E3583" s="427"/>
      <c r="F3583" s="427"/>
      <c r="G3583" s="427"/>
      <c r="H3583" s="377">
        <f t="shared" si="30"/>
        <v>2000</v>
      </c>
      <c r="I3583" s="399"/>
      <c r="J3583" s="377">
        <v>2000</v>
      </c>
      <c r="K3583" s="377"/>
      <c r="L3583" s="378"/>
      <c r="M3583" s="377"/>
      <c r="N3583" s="377">
        <f t="shared" si="31"/>
        <v>2000</v>
      </c>
      <c r="O3583" s="380"/>
      <c r="P3583" s="380"/>
      <c r="Q3583" s="380"/>
    </row>
    <row r="3584" spans="1:17" x14ac:dyDescent="0.2">
      <c r="A3584" s="334" t="s">
        <v>1571</v>
      </c>
      <c r="B3584" s="380"/>
      <c r="C3584" s="334" t="s">
        <v>3</v>
      </c>
      <c r="D3584" s="427"/>
      <c r="E3584" s="427"/>
      <c r="F3584" s="427"/>
      <c r="G3584" s="427"/>
      <c r="H3584" s="377">
        <f t="shared" si="30"/>
        <v>0</v>
      </c>
      <c r="I3584" s="399"/>
      <c r="J3584" s="377"/>
      <c r="K3584" s="377"/>
      <c r="L3584" s="378"/>
      <c r="M3584" s="377"/>
      <c r="N3584" s="377">
        <f t="shared" si="31"/>
        <v>0</v>
      </c>
      <c r="O3584" s="380"/>
      <c r="P3584" s="380"/>
      <c r="Q3584" s="380"/>
    </row>
    <row r="3585" spans="1:17" x14ac:dyDescent="0.2">
      <c r="A3585" s="334" t="s">
        <v>1738</v>
      </c>
      <c r="B3585" s="380"/>
      <c r="C3585" s="334" t="s">
        <v>1591</v>
      </c>
      <c r="D3585" s="427">
        <v>550</v>
      </c>
      <c r="E3585" s="427"/>
      <c r="F3585" s="427"/>
      <c r="G3585" s="427"/>
      <c r="H3585" s="377">
        <f t="shared" si="30"/>
        <v>550</v>
      </c>
      <c r="I3585" s="399"/>
      <c r="J3585" s="377">
        <v>550</v>
      </c>
      <c r="K3585" s="377"/>
      <c r="L3585" s="378"/>
      <c r="M3585" s="377"/>
      <c r="N3585" s="377">
        <f t="shared" si="31"/>
        <v>550</v>
      </c>
      <c r="O3585" s="380"/>
      <c r="P3585" s="380"/>
      <c r="Q3585" s="380"/>
    </row>
    <row r="3586" spans="1:17" x14ac:dyDescent="0.2">
      <c r="A3586" s="334" t="s">
        <v>1727</v>
      </c>
      <c r="B3586" s="380"/>
      <c r="C3586" s="334" t="s">
        <v>307</v>
      </c>
      <c r="D3586" s="427">
        <v>500</v>
      </c>
      <c r="E3586" s="427"/>
      <c r="F3586" s="427">
        <v>300</v>
      </c>
      <c r="G3586" s="427"/>
      <c r="H3586" s="377">
        <f t="shared" si="30"/>
        <v>800</v>
      </c>
      <c r="I3586" s="399"/>
      <c r="J3586" s="377">
        <v>2000</v>
      </c>
      <c r="K3586" s="377"/>
      <c r="L3586" s="378"/>
      <c r="M3586" s="377"/>
      <c r="N3586" s="377">
        <f t="shared" si="31"/>
        <v>2000</v>
      </c>
      <c r="O3586" s="380"/>
      <c r="P3586" s="380"/>
      <c r="Q3586" s="380"/>
    </row>
    <row r="3587" spans="1:17" x14ac:dyDescent="0.2">
      <c r="A3587" s="334" t="s">
        <v>1728</v>
      </c>
      <c r="B3587" s="380"/>
      <c r="C3587" s="334" t="s">
        <v>310</v>
      </c>
      <c r="D3587" s="427">
        <v>350</v>
      </c>
      <c r="E3587" s="427"/>
      <c r="F3587" s="427"/>
      <c r="G3587" s="427"/>
      <c r="H3587" s="377">
        <f t="shared" si="30"/>
        <v>350</v>
      </c>
      <c r="I3587" s="399"/>
      <c r="J3587" s="377">
        <v>350</v>
      </c>
      <c r="K3587" s="377"/>
      <c r="L3587" s="378"/>
      <c r="M3587" s="377"/>
      <c r="N3587" s="377">
        <f t="shared" si="31"/>
        <v>350</v>
      </c>
      <c r="O3587" s="380"/>
      <c r="P3587" s="380"/>
      <c r="Q3587" s="380"/>
    </row>
    <row r="3588" spans="1:17" x14ac:dyDescent="0.2">
      <c r="A3588" s="334" t="s">
        <v>1729</v>
      </c>
      <c r="B3588" s="380"/>
      <c r="C3588" s="380" t="s">
        <v>1551</v>
      </c>
      <c r="D3588" s="427">
        <v>-24292.23</v>
      </c>
      <c r="E3588" s="427">
        <v>-11499.28</v>
      </c>
      <c r="F3588" s="427">
        <v>-11595.11</v>
      </c>
      <c r="G3588" s="427">
        <v>-10956.26</v>
      </c>
      <c r="H3588" s="377">
        <f t="shared" si="30"/>
        <v>-59940</v>
      </c>
      <c r="I3588" s="399"/>
      <c r="J3588" s="377">
        <v>100</v>
      </c>
      <c r="K3588" s="377"/>
      <c r="L3588" s="378"/>
      <c r="M3588" s="377"/>
      <c r="N3588" s="377">
        <f t="shared" si="31"/>
        <v>100</v>
      </c>
      <c r="O3588" s="380"/>
      <c r="P3588" s="380"/>
      <c r="Q3588" s="380"/>
    </row>
    <row r="3589" spans="1:17" x14ac:dyDescent="0.2">
      <c r="A3589" s="334" t="s">
        <v>1735</v>
      </c>
      <c r="B3589" s="380"/>
      <c r="C3589" s="380" t="s">
        <v>194</v>
      </c>
      <c r="D3589" s="427"/>
      <c r="E3589" s="427"/>
      <c r="F3589" s="427"/>
      <c r="G3589" s="427"/>
      <c r="H3589" s="377">
        <f t="shared" si="30"/>
        <v>0</v>
      </c>
      <c r="I3589" s="399"/>
      <c r="J3589" s="377">
        <v>200</v>
      </c>
      <c r="K3589" s="377"/>
      <c r="L3589" s="378"/>
      <c r="M3589" s="377"/>
      <c r="N3589" s="377">
        <f t="shared" si="31"/>
        <v>200</v>
      </c>
      <c r="O3589" s="380"/>
      <c r="P3589" s="380"/>
      <c r="Q3589" s="380"/>
    </row>
    <row r="3590" spans="1:17" x14ac:dyDescent="0.2">
      <c r="A3590" s="403" t="s">
        <v>1741</v>
      </c>
      <c r="B3590" s="380"/>
      <c r="C3590" s="334" t="s">
        <v>1748</v>
      </c>
      <c r="D3590" s="427">
        <v>500</v>
      </c>
      <c r="E3590" s="427">
        <v>300</v>
      </c>
      <c r="F3590" s="427">
        <v>300</v>
      </c>
      <c r="G3590" s="427">
        <v>300</v>
      </c>
      <c r="H3590" s="377">
        <f t="shared" si="30"/>
        <v>1400</v>
      </c>
      <c r="I3590" s="399"/>
      <c r="J3590" s="377">
        <v>1500</v>
      </c>
      <c r="K3590" s="377"/>
      <c r="L3590" s="378"/>
      <c r="M3590" s="377"/>
      <c r="N3590" s="377">
        <f t="shared" si="31"/>
        <v>1500</v>
      </c>
      <c r="O3590" s="380"/>
      <c r="P3590" s="380"/>
      <c r="Q3590" s="380"/>
    </row>
    <row r="3591" spans="1:17" x14ac:dyDescent="0.2">
      <c r="A3591" s="334" t="s">
        <v>1754</v>
      </c>
      <c r="B3591" s="380"/>
      <c r="C3591" s="334" t="s">
        <v>1929</v>
      </c>
      <c r="D3591" s="427"/>
      <c r="E3591" s="427"/>
      <c r="F3591" s="427"/>
      <c r="G3591" s="427"/>
      <c r="H3591" s="377">
        <f t="shared" si="30"/>
        <v>0</v>
      </c>
      <c r="I3591" s="399"/>
      <c r="J3591" s="377"/>
      <c r="K3591" s="377"/>
      <c r="L3591" s="378"/>
      <c r="M3591" s="377"/>
      <c r="N3591" s="377">
        <f t="shared" si="31"/>
        <v>0</v>
      </c>
      <c r="O3591" s="380"/>
      <c r="P3591" s="380"/>
      <c r="Q3591" s="380"/>
    </row>
    <row r="3592" spans="1:17" x14ac:dyDescent="0.2">
      <c r="A3592" s="334" t="s">
        <v>1572</v>
      </c>
      <c r="B3592" s="380"/>
      <c r="C3592" s="334" t="s">
        <v>3134</v>
      </c>
      <c r="D3592" s="427"/>
      <c r="E3592" s="427"/>
      <c r="F3592" s="427"/>
      <c r="G3592" s="427"/>
      <c r="H3592" s="377">
        <f t="shared" si="30"/>
        <v>0</v>
      </c>
      <c r="I3592" s="399"/>
      <c r="J3592" s="377"/>
      <c r="K3592" s="377"/>
      <c r="L3592" s="378"/>
      <c r="M3592" s="377"/>
      <c r="N3592" s="377">
        <f t="shared" si="31"/>
        <v>0</v>
      </c>
      <c r="O3592" s="380"/>
      <c r="P3592" s="380"/>
      <c r="Q3592" s="380"/>
    </row>
    <row r="3593" spans="1:17" x14ac:dyDescent="0.2">
      <c r="A3593" s="334" t="s">
        <v>1730</v>
      </c>
      <c r="B3593" s="380"/>
      <c r="C3593" s="334" t="s">
        <v>1985</v>
      </c>
      <c r="D3593" s="427">
        <v>4000</v>
      </c>
      <c r="E3593" s="427"/>
      <c r="F3593" s="427"/>
      <c r="G3593" s="427"/>
      <c r="H3593" s="377">
        <f t="shared" si="30"/>
        <v>4000</v>
      </c>
      <c r="I3593" s="399"/>
      <c r="J3593" s="377">
        <v>4000</v>
      </c>
      <c r="K3593" s="377"/>
      <c r="L3593" s="378"/>
      <c r="M3593" s="377"/>
      <c r="N3593" s="377">
        <f t="shared" si="31"/>
        <v>4000</v>
      </c>
      <c r="O3593" s="380"/>
      <c r="P3593" s="380"/>
      <c r="Q3593" s="380"/>
    </row>
    <row r="3594" spans="1:17" x14ac:dyDescent="0.2">
      <c r="A3594" s="334" t="s">
        <v>1566</v>
      </c>
      <c r="B3594" s="380"/>
      <c r="C3594" s="334" t="s">
        <v>366</v>
      </c>
      <c r="D3594" s="427">
        <v>1000</v>
      </c>
      <c r="E3594" s="427"/>
      <c r="F3594" s="427"/>
      <c r="G3594" s="427"/>
      <c r="H3594" s="377">
        <f t="shared" si="30"/>
        <v>1000</v>
      </c>
      <c r="I3594" s="399"/>
      <c r="J3594" s="377">
        <v>500</v>
      </c>
      <c r="K3594" s="377"/>
      <c r="L3594" s="378"/>
      <c r="M3594" s="377"/>
      <c r="N3594" s="377">
        <f t="shared" si="31"/>
        <v>500</v>
      </c>
      <c r="O3594" s="380"/>
      <c r="P3594" s="380"/>
      <c r="Q3594" s="380"/>
    </row>
    <row r="3595" spans="1:17" x14ac:dyDescent="0.2">
      <c r="A3595" s="334" t="s">
        <v>1588</v>
      </c>
      <c r="B3595" s="380"/>
      <c r="C3595" s="334" t="s">
        <v>191</v>
      </c>
      <c r="D3595" s="427">
        <v>1500</v>
      </c>
      <c r="E3595" s="427">
        <v>1500</v>
      </c>
      <c r="F3595" s="427">
        <v>1500</v>
      </c>
      <c r="G3595" s="427"/>
      <c r="H3595" s="377">
        <f t="shared" si="30"/>
        <v>4500</v>
      </c>
      <c r="I3595" s="399"/>
      <c r="J3595" s="377"/>
      <c r="K3595" s="377"/>
      <c r="L3595" s="378"/>
      <c r="M3595" s="377"/>
      <c r="N3595" s="377">
        <f t="shared" si="31"/>
        <v>0</v>
      </c>
      <c r="O3595" s="380"/>
      <c r="P3595" s="380"/>
      <c r="Q3595" s="380"/>
    </row>
    <row r="3596" spans="1:17" x14ac:dyDescent="0.2">
      <c r="A3596" s="403" t="s">
        <v>1903</v>
      </c>
      <c r="B3596" s="380"/>
      <c r="C3596" s="334" t="s">
        <v>35</v>
      </c>
      <c r="D3596" s="427">
        <v>8500</v>
      </c>
      <c r="E3596" s="427"/>
      <c r="F3596" s="427"/>
      <c r="G3596" s="427"/>
      <c r="H3596" s="377">
        <f t="shared" si="30"/>
        <v>8500</v>
      </c>
      <c r="I3596" s="399"/>
      <c r="J3596" s="377">
        <v>8500</v>
      </c>
      <c r="K3596" s="377"/>
      <c r="L3596" s="378"/>
      <c r="M3596" s="377"/>
      <c r="N3596" s="377">
        <f t="shared" si="31"/>
        <v>8500</v>
      </c>
      <c r="O3596" s="380"/>
      <c r="P3596" s="380"/>
      <c r="Q3596" s="380"/>
    </row>
    <row r="3597" spans="1:17" x14ac:dyDescent="0.2">
      <c r="A3597" s="384" t="s">
        <v>1962</v>
      </c>
      <c r="B3597" s="380"/>
      <c r="C3597" s="380" t="s">
        <v>572</v>
      </c>
      <c r="D3597" s="427">
        <v>16000</v>
      </c>
      <c r="E3597" s="427">
        <v>3000</v>
      </c>
      <c r="F3597" s="427">
        <v>3000</v>
      </c>
      <c r="G3597" s="427">
        <v>1200</v>
      </c>
      <c r="H3597" s="377">
        <f t="shared" si="30"/>
        <v>23200</v>
      </c>
      <c r="I3597" s="399"/>
      <c r="J3597" s="377">
        <v>37000</v>
      </c>
      <c r="K3597" s="377">
        <v>3000</v>
      </c>
      <c r="L3597" s="378">
        <v>3000</v>
      </c>
      <c r="M3597" s="377">
        <v>3000</v>
      </c>
      <c r="N3597" s="377">
        <f t="shared" si="31"/>
        <v>46000</v>
      </c>
      <c r="O3597" s="380"/>
      <c r="P3597" s="380"/>
      <c r="Q3597" s="380"/>
    </row>
    <row r="3598" spans="1:17" x14ac:dyDescent="0.2">
      <c r="A3598" s="405" t="s">
        <v>1567</v>
      </c>
      <c r="B3598" s="380"/>
      <c r="C3598" s="334" t="s">
        <v>3142</v>
      </c>
      <c r="D3598" s="377"/>
      <c r="E3598" s="377"/>
      <c r="F3598" s="378"/>
      <c r="G3598" s="377"/>
      <c r="H3598" s="377">
        <f t="shared" si="30"/>
        <v>0</v>
      </c>
      <c r="I3598" s="399"/>
      <c r="J3598" s="377"/>
      <c r="K3598" s="377"/>
      <c r="L3598" s="378"/>
      <c r="M3598" s="377"/>
      <c r="N3598" s="377">
        <f t="shared" si="31"/>
        <v>0</v>
      </c>
      <c r="O3598" s="380"/>
      <c r="P3598" s="380"/>
      <c r="Q3598" s="380"/>
    </row>
    <row r="3599" spans="1:17" x14ac:dyDescent="0.2">
      <c r="A3599" s="334" t="s">
        <v>342</v>
      </c>
      <c r="B3599" s="380"/>
      <c r="C3599" s="334" t="s">
        <v>342</v>
      </c>
      <c r="D3599" s="410"/>
      <c r="E3599" s="410" t="s">
        <v>342</v>
      </c>
      <c r="F3599" s="445" t="s">
        <v>342</v>
      </c>
      <c r="G3599" s="432"/>
      <c r="H3599" s="407"/>
      <c r="I3599" s="385"/>
      <c r="J3599" s="410"/>
      <c r="K3599" s="410" t="s">
        <v>342</v>
      </c>
      <c r="L3599" s="445" t="s">
        <v>342</v>
      </c>
      <c r="M3599" s="385"/>
      <c r="N3599" s="377"/>
      <c r="O3599" s="380"/>
      <c r="P3599" s="380"/>
      <c r="Q3599" s="380"/>
    </row>
    <row r="3600" spans="1:17" x14ac:dyDescent="0.2">
      <c r="A3600" s="334" t="s">
        <v>342</v>
      </c>
      <c r="B3600" s="380"/>
      <c r="C3600" s="334" t="s">
        <v>342</v>
      </c>
      <c r="D3600" s="334">
        <f>SUM(D3571:D3599)</f>
        <v>51757.77</v>
      </c>
      <c r="E3600" s="334">
        <f>SUM(E3571:E3598)</f>
        <v>24500.720000000001</v>
      </c>
      <c r="F3600" s="412">
        <f>SUM(F3571:F3598)</f>
        <v>24704.89</v>
      </c>
      <c r="G3600" s="455">
        <f>SUM(G3571:G3598)</f>
        <v>23343.74</v>
      </c>
      <c r="H3600" s="377">
        <f>D3600+E3600+F3600+G3600+D3562+E3562</f>
        <v>127710</v>
      </c>
      <c r="I3600" s="385"/>
      <c r="J3600" s="334">
        <f>SUM(J3571:J3599)</f>
        <v>87825</v>
      </c>
      <c r="K3600" s="334">
        <f>SUM(K3571:K3598)</f>
        <v>35800</v>
      </c>
      <c r="L3600" s="412">
        <f>SUM(L3571:L3598)</f>
        <v>35800</v>
      </c>
      <c r="M3600" s="334">
        <f>SUM(M3571:M3598)</f>
        <v>28800</v>
      </c>
      <c r="N3600" s="377">
        <f>J3600+K3600+L3600+M3600</f>
        <v>188225</v>
      </c>
      <c r="O3600" s="380"/>
      <c r="P3600" s="380"/>
      <c r="Q3600" s="380"/>
    </row>
    <row r="3601" spans="1:17" ht="15.75" thickTop="1" x14ac:dyDescent="0.2">
      <c r="A3601" s="380"/>
      <c r="B3601" s="380"/>
      <c r="C3601" s="380"/>
      <c r="D3601" s="400">
        <f>D3600-D3571</f>
        <v>51757.77</v>
      </c>
      <c r="E3601" s="400">
        <f>E3600-E3571</f>
        <v>24500.720000000001</v>
      </c>
      <c r="F3601" s="447">
        <f>F3600-F3571</f>
        <v>24704.89</v>
      </c>
      <c r="G3601" s="400">
        <f>G3600-G3571</f>
        <v>23343.74</v>
      </c>
      <c r="H3601" s="400">
        <f>H3600-H3571</f>
        <v>127710</v>
      </c>
      <c r="I3601" s="385"/>
      <c r="J3601" s="400">
        <f>J3600-J3571</f>
        <v>87825</v>
      </c>
      <c r="K3601" s="400">
        <f>K3600-K3571</f>
        <v>35800</v>
      </c>
      <c r="L3601" s="447">
        <f>L3600-L3571</f>
        <v>35800</v>
      </c>
      <c r="M3601" s="400">
        <f>M3600-M3571</f>
        <v>28800</v>
      </c>
      <c r="N3601" s="400">
        <f>N3600-N3571</f>
        <v>188225</v>
      </c>
      <c r="O3601" s="380"/>
      <c r="P3601" s="380"/>
      <c r="Q3601" s="380"/>
    </row>
    <row r="3602" spans="1:17" x14ac:dyDescent="0.2">
      <c r="A3602" s="380"/>
      <c r="B3602" s="380"/>
      <c r="C3602" s="380"/>
      <c r="D3602" s="334" t="s">
        <v>342</v>
      </c>
      <c r="E3602" s="380"/>
      <c r="F3602" s="378"/>
      <c r="G3602" s="380"/>
      <c r="H3602" s="380"/>
      <c r="I3602" s="385"/>
      <c r="J3602" s="334" t="s">
        <v>342</v>
      </c>
      <c r="K3602" s="380"/>
      <c r="L3602" s="378"/>
      <c r="M3602" s="380"/>
      <c r="N3602" s="380"/>
      <c r="O3602" s="380"/>
      <c r="P3602" s="380"/>
      <c r="Q3602" s="380"/>
    </row>
    <row r="3603" spans="1:17" x14ac:dyDescent="0.2">
      <c r="A3603" s="334" t="s">
        <v>342</v>
      </c>
      <c r="B3603" s="377"/>
      <c r="C3603" s="334" t="s">
        <v>342</v>
      </c>
      <c r="D3603" s="334" t="s">
        <v>342</v>
      </c>
      <c r="E3603" s="334"/>
      <c r="F3603" s="412"/>
      <c r="G3603" s="334"/>
      <c r="H3603" s="334"/>
      <c r="I3603" s="385"/>
      <c r="J3603" s="382"/>
      <c r="K3603" s="382"/>
      <c r="L3603" s="380"/>
      <c r="M3603" s="380"/>
      <c r="N3603" s="380"/>
      <c r="O3603" s="380"/>
      <c r="P3603" s="380"/>
      <c r="Q3603" s="380"/>
    </row>
    <row r="3604" spans="1:17" x14ac:dyDescent="0.2">
      <c r="A3604" s="334" t="s">
        <v>556</v>
      </c>
      <c r="B3604" s="380"/>
      <c r="C3604" s="380"/>
      <c r="D3604" s="380"/>
      <c r="E3604" s="334"/>
      <c r="F3604" s="412"/>
      <c r="G3604" s="334"/>
      <c r="H3604" s="334"/>
      <c r="I3604" s="382"/>
      <c r="J3604" s="382"/>
      <c r="K3604" s="382"/>
      <c r="L3604" s="380"/>
      <c r="M3604" s="380"/>
      <c r="N3604" s="380"/>
      <c r="O3604" s="380"/>
      <c r="P3604" s="380"/>
      <c r="Q3604" s="380"/>
    </row>
    <row r="3605" spans="1:17" x14ac:dyDescent="0.2">
      <c r="A3605" s="380"/>
      <c r="B3605" s="380"/>
      <c r="C3605" s="384" t="s">
        <v>342</v>
      </c>
      <c r="D3605" s="384" t="s">
        <v>3698</v>
      </c>
      <c r="E3605" s="384" t="s">
        <v>3700</v>
      </c>
      <c r="F3605" s="421" t="s">
        <v>2931</v>
      </c>
      <c r="G3605" s="334"/>
      <c r="H3605" s="380"/>
      <c r="I3605" s="382"/>
      <c r="J3605" s="384" t="s">
        <v>3698</v>
      </c>
      <c r="K3605" s="384" t="s">
        <v>3700</v>
      </c>
      <c r="L3605" s="421" t="s">
        <v>2931</v>
      </c>
      <c r="M3605" s="334"/>
      <c r="N3605" s="380"/>
      <c r="O3605" s="380"/>
      <c r="P3605" s="380"/>
      <c r="Q3605" s="380"/>
    </row>
    <row r="3606" spans="1:17" x14ac:dyDescent="0.2">
      <c r="A3606" s="334" t="s">
        <v>342</v>
      </c>
      <c r="B3606" s="380"/>
      <c r="C3606" s="334" t="s">
        <v>342</v>
      </c>
      <c r="D3606" s="334" t="s">
        <v>555</v>
      </c>
      <c r="E3606" s="334" t="s">
        <v>2965</v>
      </c>
      <c r="F3606" s="412" t="s">
        <v>1146</v>
      </c>
      <c r="G3606" s="334"/>
      <c r="H3606" s="377"/>
      <c r="I3606" s="385"/>
      <c r="J3606" s="334" t="s">
        <v>555</v>
      </c>
      <c r="K3606" s="380" t="s">
        <v>554</v>
      </c>
      <c r="L3606" s="412" t="s">
        <v>1146</v>
      </c>
      <c r="M3606" s="334"/>
      <c r="N3606" s="377"/>
      <c r="O3606" s="380"/>
      <c r="P3606" s="380"/>
      <c r="Q3606" s="380"/>
    </row>
    <row r="3607" spans="1:17" x14ac:dyDescent="0.2">
      <c r="A3607" s="334" t="s">
        <v>1723</v>
      </c>
      <c r="B3607" s="380"/>
      <c r="C3607" s="334" t="s">
        <v>1880</v>
      </c>
      <c r="D3607" s="334" t="s">
        <v>181</v>
      </c>
      <c r="E3607" s="334" t="s">
        <v>181</v>
      </c>
      <c r="F3607" s="412" t="s">
        <v>181</v>
      </c>
      <c r="G3607" s="334"/>
      <c r="H3607" s="334"/>
      <c r="I3607" s="385"/>
      <c r="J3607" s="334" t="s">
        <v>181</v>
      </c>
      <c r="K3607" s="334" t="s">
        <v>181</v>
      </c>
      <c r="L3607" s="412" t="s">
        <v>181</v>
      </c>
      <c r="M3607" s="334"/>
      <c r="N3607" s="334"/>
      <c r="O3607" s="380"/>
      <c r="P3607" s="380"/>
      <c r="Q3607" s="380"/>
    </row>
    <row r="3608" spans="1:17" x14ac:dyDescent="0.2">
      <c r="A3608" s="380"/>
      <c r="B3608" s="380"/>
      <c r="C3608" s="380"/>
      <c r="D3608" s="380"/>
      <c r="E3608" s="380"/>
      <c r="F3608" s="378"/>
      <c r="G3608" s="380"/>
      <c r="H3608" s="380"/>
      <c r="I3608" s="382"/>
      <c r="J3608" s="380"/>
      <c r="K3608" s="380"/>
      <c r="L3608" s="378"/>
      <c r="M3608" s="380"/>
      <c r="N3608" s="380"/>
      <c r="O3608" s="380"/>
      <c r="P3608" s="380"/>
      <c r="Q3608" s="380"/>
    </row>
    <row r="3609" spans="1:17" x14ac:dyDescent="0.2">
      <c r="A3609" s="405" t="s">
        <v>1743</v>
      </c>
      <c r="B3609" s="380"/>
      <c r="C3609" s="334" t="s">
        <v>1886</v>
      </c>
      <c r="D3609" s="377"/>
      <c r="E3609" s="377"/>
      <c r="F3609" s="378"/>
      <c r="G3609" s="377"/>
      <c r="H3609" s="377"/>
      <c r="I3609" s="399"/>
      <c r="J3609" s="377"/>
      <c r="K3609" s="377"/>
      <c r="L3609" s="378"/>
      <c r="M3609" s="377"/>
      <c r="N3609" s="377"/>
      <c r="O3609" s="380"/>
      <c r="P3609" s="380"/>
      <c r="Q3609" s="380"/>
    </row>
    <row r="3610" spans="1:17" x14ac:dyDescent="0.2">
      <c r="A3610" s="465" t="s">
        <v>1758</v>
      </c>
      <c r="B3610" s="380"/>
      <c r="C3610" s="334" t="s">
        <v>1987</v>
      </c>
      <c r="D3610" s="377"/>
      <c r="E3610" s="377"/>
      <c r="F3610" s="378"/>
      <c r="G3610" s="377"/>
      <c r="H3610" s="377"/>
      <c r="I3610" s="399"/>
      <c r="J3610" s="377"/>
      <c r="K3610" s="377"/>
      <c r="L3610" s="378"/>
      <c r="M3610" s="377"/>
      <c r="N3610" s="377"/>
      <c r="O3610" s="380"/>
      <c r="P3610" s="380"/>
      <c r="Q3610" s="380"/>
    </row>
    <row r="3611" spans="1:17" x14ac:dyDescent="0.2">
      <c r="A3611" s="465" t="s">
        <v>1733</v>
      </c>
      <c r="B3611" s="380"/>
      <c r="C3611" s="334" t="s">
        <v>27</v>
      </c>
      <c r="D3611" s="377"/>
      <c r="E3611" s="377"/>
      <c r="F3611" s="378">
        <v>22000</v>
      </c>
      <c r="G3611" s="377"/>
      <c r="H3611" s="377"/>
      <c r="I3611" s="399"/>
      <c r="J3611" s="377"/>
      <c r="K3611" s="377"/>
      <c r="L3611" s="378">
        <f>178000+72000-229632.65</f>
        <v>20367.349999999999</v>
      </c>
      <c r="M3611" s="377"/>
      <c r="N3611" s="377"/>
      <c r="O3611" s="380"/>
      <c r="P3611" s="380"/>
      <c r="Q3611" s="380"/>
    </row>
    <row r="3612" spans="1:17" x14ac:dyDescent="0.2">
      <c r="A3612" s="334" t="s">
        <v>1724</v>
      </c>
      <c r="B3612" s="380"/>
      <c r="C3612" s="334" t="s">
        <v>1881</v>
      </c>
      <c r="D3612" s="379">
        <v>600</v>
      </c>
      <c r="E3612" s="377">
        <v>1000</v>
      </c>
      <c r="F3612" s="378">
        <v>2500</v>
      </c>
      <c r="G3612" s="377"/>
      <c r="H3612" s="377"/>
      <c r="I3612" s="399"/>
      <c r="J3612" s="377">
        <v>600</v>
      </c>
      <c r="K3612" s="377">
        <v>1000</v>
      </c>
      <c r="L3612" s="378">
        <v>2000</v>
      </c>
      <c r="M3612" s="377"/>
      <c r="N3612" s="377"/>
      <c r="O3612" s="380"/>
      <c r="P3612" s="380"/>
      <c r="Q3612" s="380"/>
    </row>
    <row r="3613" spans="1:17" x14ac:dyDescent="0.2">
      <c r="A3613" s="334" t="s">
        <v>1736</v>
      </c>
      <c r="B3613" s="380"/>
      <c r="C3613" s="334" t="s">
        <v>1747</v>
      </c>
      <c r="D3613" s="379">
        <v>1500</v>
      </c>
      <c r="E3613" s="377">
        <v>200</v>
      </c>
      <c r="F3613" s="378"/>
      <c r="G3613" s="377"/>
      <c r="H3613" s="377"/>
      <c r="I3613" s="399"/>
      <c r="J3613" s="377">
        <v>1500</v>
      </c>
      <c r="K3613" s="377">
        <v>500</v>
      </c>
      <c r="L3613" s="378"/>
      <c r="M3613" s="377"/>
      <c r="N3613" s="377"/>
      <c r="O3613" s="380"/>
      <c r="P3613" s="380"/>
      <c r="Q3613" s="380"/>
    </row>
    <row r="3614" spans="1:17" x14ac:dyDescent="0.2">
      <c r="A3614" s="334" t="s">
        <v>1744</v>
      </c>
      <c r="B3614" s="380"/>
      <c r="C3614" s="334" t="s">
        <v>1254</v>
      </c>
      <c r="D3614" s="379">
        <v>250</v>
      </c>
      <c r="E3614" s="377">
        <v>1200</v>
      </c>
      <c r="F3614" s="378"/>
      <c r="G3614" s="377"/>
      <c r="H3614" s="377"/>
      <c r="I3614" s="399"/>
      <c r="J3614" s="377">
        <v>250</v>
      </c>
      <c r="K3614" s="377">
        <v>500</v>
      </c>
      <c r="L3614" s="378">
        <v>600</v>
      </c>
      <c r="M3614" s="377"/>
      <c r="N3614" s="377"/>
      <c r="O3614" s="380"/>
      <c r="P3614" s="380"/>
      <c r="Q3614" s="380"/>
    </row>
    <row r="3615" spans="1:17" x14ac:dyDescent="0.2">
      <c r="A3615" s="403" t="s">
        <v>1582</v>
      </c>
      <c r="B3615" s="380"/>
      <c r="C3615" s="334" t="s">
        <v>3135</v>
      </c>
      <c r="D3615" s="379"/>
      <c r="E3615" s="377"/>
      <c r="F3615" s="378"/>
      <c r="G3615" s="377"/>
      <c r="H3615" s="377"/>
      <c r="I3615" s="399"/>
      <c r="J3615" s="377"/>
      <c r="K3615" s="377"/>
      <c r="L3615" s="378"/>
      <c r="M3615" s="377"/>
      <c r="N3615" s="377"/>
      <c r="O3615" s="380"/>
      <c r="P3615" s="380"/>
      <c r="Q3615" s="380"/>
    </row>
    <row r="3616" spans="1:17" x14ac:dyDescent="0.2">
      <c r="A3616" s="384" t="s">
        <v>1576</v>
      </c>
      <c r="B3616" s="380"/>
      <c r="C3616" s="334" t="s">
        <v>1590</v>
      </c>
      <c r="D3616" s="379"/>
      <c r="E3616" s="377"/>
      <c r="F3616" s="378">
        <v>500</v>
      </c>
      <c r="G3616" s="377"/>
      <c r="H3616" s="377"/>
      <c r="I3616" s="399"/>
      <c r="J3616" s="377"/>
      <c r="K3616" s="377"/>
      <c r="L3616" s="378">
        <v>500</v>
      </c>
      <c r="M3616" s="377"/>
      <c r="N3616" s="377"/>
      <c r="O3616" s="380"/>
      <c r="P3616" s="380"/>
      <c r="Q3616" s="380"/>
    </row>
    <row r="3617" spans="1:17" x14ac:dyDescent="0.2">
      <c r="A3617" s="334" t="s">
        <v>1565</v>
      </c>
      <c r="B3617" s="380"/>
      <c r="C3617" s="334" t="s">
        <v>1927</v>
      </c>
      <c r="D3617" s="379">
        <v>50</v>
      </c>
      <c r="E3617" s="377"/>
      <c r="F3617" s="378">
        <v>2000</v>
      </c>
      <c r="G3617" s="377"/>
      <c r="H3617" s="377"/>
      <c r="I3617" s="399"/>
      <c r="J3617" s="377">
        <v>50</v>
      </c>
      <c r="K3617" s="377"/>
      <c r="L3617" s="378">
        <v>2000</v>
      </c>
      <c r="M3617" s="377"/>
      <c r="N3617" s="377"/>
      <c r="O3617" s="380"/>
      <c r="P3617" s="380"/>
      <c r="Q3617" s="380"/>
    </row>
    <row r="3618" spans="1:17" x14ac:dyDescent="0.2">
      <c r="A3618" s="334" t="s">
        <v>1737</v>
      </c>
      <c r="B3618" s="380"/>
      <c r="C3618" s="334" t="s">
        <v>1984</v>
      </c>
      <c r="D3618" s="379">
        <v>50</v>
      </c>
      <c r="E3618" s="377">
        <v>200</v>
      </c>
      <c r="F3618" s="378"/>
      <c r="G3618" s="377"/>
      <c r="H3618" s="377"/>
      <c r="I3618" s="399"/>
      <c r="J3618" s="377">
        <v>50</v>
      </c>
      <c r="K3618" s="377"/>
      <c r="L3618" s="378"/>
      <c r="M3618" s="377"/>
      <c r="N3618" s="377"/>
      <c r="O3618" s="380"/>
      <c r="P3618" s="380"/>
      <c r="Q3618" s="380"/>
    </row>
    <row r="3619" spans="1:17" x14ac:dyDescent="0.2">
      <c r="A3619" s="403" t="s">
        <v>2940</v>
      </c>
      <c r="B3619" s="380"/>
      <c r="C3619" s="334" t="s">
        <v>693</v>
      </c>
      <c r="D3619" s="379"/>
      <c r="E3619" s="377"/>
      <c r="F3619" s="378">
        <v>200</v>
      </c>
      <c r="G3619" s="377"/>
      <c r="H3619" s="377"/>
      <c r="I3619" s="399"/>
      <c r="J3619" s="377"/>
      <c r="K3619" s="377"/>
      <c r="L3619" s="378">
        <v>200</v>
      </c>
      <c r="M3619" s="377"/>
      <c r="N3619" s="377"/>
      <c r="O3619" s="380"/>
      <c r="P3619" s="380"/>
      <c r="Q3619" s="380"/>
    </row>
    <row r="3620" spans="1:17" x14ac:dyDescent="0.2">
      <c r="A3620" s="384" t="s">
        <v>1751</v>
      </c>
      <c r="B3620" s="380"/>
      <c r="C3620" s="334" t="s">
        <v>3138</v>
      </c>
      <c r="D3620" s="379"/>
      <c r="E3620" s="377"/>
      <c r="F3620" s="378"/>
      <c r="G3620" s="377"/>
      <c r="H3620" s="377"/>
      <c r="I3620" s="399"/>
      <c r="J3620" s="377"/>
      <c r="K3620" s="377">
        <v>500</v>
      </c>
      <c r="L3620" s="378">
        <v>1000</v>
      </c>
      <c r="M3620" s="377"/>
      <c r="N3620" s="377"/>
      <c r="O3620" s="380"/>
      <c r="P3620" s="380"/>
      <c r="Q3620" s="380"/>
    </row>
    <row r="3621" spans="1:17" x14ac:dyDescent="0.2">
      <c r="A3621" s="384" t="s">
        <v>1753</v>
      </c>
      <c r="B3621" s="380"/>
      <c r="C3621" s="334" t="s">
        <v>1816</v>
      </c>
      <c r="D3621" s="379"/>
      <c r="E3621" s="377"/>
      <c r="F3621" s="378"/>
      <c r="G3621" s="377"/>
      <c r="H3621" s="377"/>
      <c r="I3621" s="399"/>
      <c r="J3621" s="377"/>
      <c r="K3621" s="377"/>
      <c r="L3621" s="378">
        <v>500</v>
      </c>
      <c r="M3621" s="377"/>
      <c r="N3621" s="377"/>
      <c r="O3621" s="380"/>
      <c r="P3621" s="380"/>
      <c r="Q3621" s="380"/>
    </row>
    <row r="3622" spans="1:17" x14ac:dyDescent="0.2">
      <c r="A3622" s="334" t="s">
        <v>1945</v>
      </c>
      <c r="B3622" s="380"/>
      <c r="C3622" s="334" t="s">
        <v>2941</v>
      </c>
      <c r="D3622" s="379"/>
      <c r="E3622" s="377"/>
      <c r="F3622" s="378">
        <v>100</v>
      </c>
      <c r="G3622" s="377"/>
      <c r="H3622" s="377"/>
      <c r="I3622" s="399"/>
      <c r="J3622" s="377"/>
      <c r="K3622" s="377"/>
      <c r="L3622" s="378"/>
      <c r="M3622" s="377"/>
      <c r="N3622" s="377"/>
      <c r="O3622" s="380"/>
      <c r="P3622" s="380"/>
      <c r="Q3622" s="380"/>
    </row>
    <row r="3623" spans="1:17" x14ac:dyDescent="0.2">
      <c r="A3623" s="334" t="s">
        <v>1738</v>
      </c>
      <c r="B3623" s="380"/>
      <c r="C3623" s="334" t="s">
        <v>1591</v>
      </c>
      <c r="D3623" s="379">
        <v>150</v>
      </c>
      <c r="E3623" s="377">
        <v>200</v>
      </c>
      <c r="F3623" s="378">
        <v>500</v>
      </c>
      <c r="G3623" s="377"/>
      <c r="H3623" s="377"/>
      <c r="I3623" s="399"/>
      <c r="J3623" s="377">
        <v>150</v>
      </c>
      <c r="K3623" s="377">
        <v>500</v>
      </c>
      <c r="L3623" s="378">
        <v>150</v>
      </c>
      <c r="M3623" s="377"/>
      <c r="N3623" s="377"/>
      <c r="O3623" s="380"/>
      <c r="P3623" s="380"/>
      <c r="Q3623" s="380"/>
    </row>
    <row r="3624" spans="1:17" x14ac:dyDescent="0.2">
      <c r="A3624" s="334" t="s">
        <v>1727</v>
      </c>
      <c r="B3624" s="380"/>
      <c r="C3624" s="334" t="s">
        <v>307</v>
      </c>
      <c r="D3624" s="379"/>
      <c r="E3624" s="377">
        <v>200</v>
      </c>
      <c r="F3624" s="378">
        <v>100</v>
      </c>
      <c r="G3624" s="377"/>
      <c r="H3624" s="377"/>
      <c r="I3624" s="399"/>
      <c r="J3624" s="377"/>
      <c r="K3624" s="377">
        <v>250</v>
      </c>
      <c r="L3624" s="378">
        <v>150</v>
      </c>
      <c r="M3624" s="377"/>
      <c r="N3624" s="377"/>
      <c r="O3624" s="380"/>
      <c r="P3624" s="380"/>
      <c r="Q3624" s="380"/>
    </row>
    <row r="3625" spans="1:17" x14ac:dyDescent="0.2">
      <c r="A3625" s="334" t="s">
        <v>1728</v>
      </c>
      <c r="B3625" s="380"/>
      <c r="C3625" s="334" t="s">
        <v>310</v>
      </c>
      <c r="D3625" s="379">
        <v>75</v>
      </c>
      <c r="E3625" s="377">
        <v>200</v>
      </c>
      <c r="F3625" s="378">
        <v>300</v>
      </c>
      <c r="G3625" s="377"/>
      <c r="H3625" s="377"/>
      <c r="I3625" s="399"/>
      <c r="J3625" s="377">
        <v>75</v>
      </c>
      <c r="K3625" s="377">
        <v>250</v>
      </c>
      <c r="L3625" s="378">
        <v>150</v>
      </c>
      <c r="M3625" s="377"/>
      <c r="N3625" s="377"/>
      <c r="O3625" s="380"/>
      <c r="P3625" s="380"/>
      <c r="Q3625" s="380"/>
    </row>
    <row r="3626" spans="1:17" x14ac:dyDescent="0.2">
      <c r="A3626" s="334" t="s">
        <v>1729</v>
      </c>
      <c r="B3626" s="380"/>
      <c r="C3626" s="380" t="s">
        <v>1551</v>
      </c>
      <c r="D3626" s="379">
        <f>-695-1500</f>
        <v>-2195</v>
      </c>
      <c r="E3626" s="377">
        <v>-1220</v>
      </c>
      <c r="F3626" s="378">
        <f>-10080-15000</f>
        <v>-25080</v>
      </c>
      <c r="G3626" s="377"/>
      <c r="H3626" s="377"/>
      <c r="I3626" s="399"/>
      <c r="J3626" s="377"/>
      <c r="K3626" s="377">
        <v>100</v>
      </c>
      <c r="L3626" s="378">
        <v>500</v>
      </c>
      <c r="M3626" s="377"/>
      <c r="N3626" s="377"/>
      <c r="O3626" s="380"/>
      <c r="P3626" s="380"/>
      <c r="Q3626" s="380"/>
    </row>
    <row r="3627" spans="1:17" x14ac:dyDescent="0.2">
      <c r="A3627" s="334" t="s">
        <v>1735</v>
      </c>
      <c r="B3627" s="380"/>
      <c r="C3627" s="380" t="s">
        <v>194</v>
      </c>
      <c r="D3627" s="379"/>
      <c r="E3627" s="377"/>
      <c r="F3627" s="378"/>
      <c r="G3627" s="377"/>
      <c r="H3627" s="377"/>
      <c r="I3627" s="399"/>
      <c r="J3627" s="377"/>
      <c r="K3627" s="377">
        <v>100</v>
      </c>
      <c r="L3627" s="378">
        <v>600</v>
      </c>
      <c r="M3627" s="377"/>
      <c r="N3627" s="377"/>
      <c r="O3627" s="380"/>
      <c r="P3627" s="380"/>
      <c r="Q3627" s="380"/>
    </row>
    <row r="3628" spans="1:17" x14ac:dyDescent="0.2">
      <c r="A3628" s="384" t="s">
        <v>1741</v>
      </c>
      <c r="B3628" s="380"/>
      <c r="C3628" s="334" t="s">
        <v>1748</v>
      </c>
      <c r="D3628" s="379"/>
      <c r="E3628" s="377"/>
      <c r="F3628" s="378">
        <v>1200</v>
      </c>
      <c r="G3628" s="377"/>
      <c r="H3628" s="377"/>
      <c r="I3628" s="399"/>
      <c r="J3628" s="377"/>
      <c r="K3628" s="377">
        <v>300</v>
      </c>
      <c r="L3628" s="378">
        <v>1000</v>
      </c>
      <c r="M3628" s="377"/>
      <c r="N3628" s="377"/>
      <c r="O3628" s="380"/>
      <c r="P3628" s="380"/>
      <c r="Q3628" s="380"/>
    </row>
    <row r="3629" spans="1:17" x14ac:dyDescent="0.2">
      <c r="A3629" s="334" t="s">
        <v>1742</v>
      </c>
      <c r="B3629" s="380"/>
      <c r="C3629" s="334" t="s">
        <v>1553</v>
      </c>
      <c r="D3629" s="379"/>
      <c r="E3629" s="377"/>
      <c r="F3629" s="378">
        <v>2000</v>
      </c>
      <c r="G3629" s="377"/>
      <c r="H3629" s="377"/>
      <c r="I3629" s="399"/>
      <c r="J3629" s="377"/>
      <c r="K3629" s="377"/>
      <c r="L3629" s="378"/>
      <c r="M3629" s="377"/>
      <c r="N3629" s="377"/>
      <c r="O3629" s="380"/>
      <c r="P3629" s="380"/>
      <c r="Q3629" s="380"/>
    </row>
    <row r="3630" spans="1:17" x14ac:dyDescent="0.2">
      <c r="A3630" s="384" t="s">
        <v>1754</v>
      </c>
      <c r="B3630" s="380"/>
      <c r="C3630" s="334" t="s">
        <v>1929</v>
      </c>
      <c r="D3630" s="379"/>
      <c r="E3630" s="377"/>
      <c r="F3630" s="378">
        <v>1000</v>
      </c>
      <c r="G3630" s="377"/>
      <c r="H3630" s="377"/>
      <c r="I3630" s="399"/>
      <c r="J3630" s="377"/>
      <c r="K3630" s="377"/>
      <c r="L3630" s="378">
        <v>200</v>
      </c>
      <c r="M3630" s="377"/>
      <c r="N3630" s="377"/>
      <c r="O3630" s="380"/>
      <c r="P3630" s="380"/>
      <c r="Q3630" s="380"/>
    </row>
    <row r="3631" spans="1:17" x14ac:dyDescent="0.2">
      <c r="A3631" s="334" t="s">
        <v>1584</v>
      </c>
      <c r="B3631" s="380"/>
      <c r="C3631" s="334" t="s">
        <v>0</v>
      </c>
      <c r="D3631" s="379"/>
      <c r="E3631" s="377"/>
      <c r="F3631" s="378"/>
      <c r="G3631" s="377"/>
      <c r="H3631" s="377"/>
      <c r="I3631" s="399"/>
      <c r="J3631" s="377"/>
      <c r="K3631" s="377"/>
      <c r="L3631" s="378"/>
      <c r="M3631" s="377"/>
      <c r="N3631" s="377"/>
      <c r="O3631" s="380"/>
      <c r="P3631" s="380"/>
      <c r="Q3631" s="380"/>
    </row>
    <row r="3632" spans="1:17" x14ac:dyDescent="0.2">
      <c r="A3632" s="334" t="s">
        <v>1572</v>
      </c>
      <c r="B3632" s="380"/>
      <c r="C3632" s="334" t="s">
        <v>3134</v>
      </c>
      <c r="D3632" s="379"/>
      <c r="E3632" s="377"/>
      <c r="F3632" s="378">
        <v>7500</v>
      </c>
      <c r="G3632" s="377"/>
      <c r="H3632" s="377"/>
      <c r="I3632" s="399"/>
      <c r="J3632" s="377"/>
      <c r="K3632" s="377"/>
      <c r="L3632" s="378"/>
      <c r="M3632" s="377"/>
      <c r="N3632" s="377"/>
      <c r="O3632" s="380"/>
      <c r="P3632" s="380"/>
      <c r="Q3632" s="380"/>
    </row>
    <row r="3633" spans="1:17" x14ac:dyDescent="0.2">
      <c r="A3633" s="334" t="s">
        <v>1730</v>
      </c>
      <c r="B3633" s="380"/>
      <c r="C3633" s="334" t="s">
        <v>1985</v>
      </c>
      <c r="D3633" s="379">
        <v>400</v>
      </c>
      <c r="E3633" s="377">
        <v>200</v>
      </c>
      <c r="F3633" s="378"/>
      <c r="G3633" s="377"/>
      <c r="H3633" s="377"/>
      <c r="I3633" s="399"/>
      <c r="J3633" s="377">
        <v>400</v>
      </c>
      <c r="K3633" s="377">
        <v>1500</v>
      </c>
      <c r="L3633" s="378">
        <v>7500</v>
      </c>
      <c r="M3633" s="377"/>
      <c r="N3633" s="377"/>
      <c r="O3633" s="380"/>
      <c r="P3633" s="380"/>
      <c r="Q3633" s="380"/>
    </row>
    <row r="3634" spans="1:17" x14ac:dyDescent="0.2">
      <c r="A3634" s="334" t="s">
        <v>1566</v>
      </c>
      <c r="B3634" s="380"/>
      <c r="C3634" s="334" t="s">
        <v>366</v>
      </c>
      <c r="D3634" s="379">
        <v>400</v>
      </c>
      <c r="E3634" s="377">
        <v>2700</v>
      </c>
      <c r="F3634" s="378"/>
      <c r="G3634" s="377"/>
      <c r="H3634" s="377"/>
      <c r="I3634" s="399"/>
      <c r="J3634" s="377">
        <v>400</v>
      </c>
      <c r="K3634" s="377">
        <v>1500</v>
      </c>
      <c r="L3634" s="378"/>
      <c r="M3634" s="377"/>
      <c r="N3634" s="377"/>
      <c r="O3634" s="380"/>
      <c r="P3634" s="380"/>
      <c r="Q3634" s="380"/>
    </row>
    <row r="3635" spans="1:17" x14ac:dyDescent="0.2">
      <c r="A3635" s="403" t="s">
        <v>1587</v>
      </c>
      <c r="B3635" s="380"/>
      <c r="C3635" s="334" t="s">
        <v>34</v>
      </c>
      <c r="D3635" s="379"/>
      <c r="E3635" s="377"/>
      <c r="F3635" s="378">
        <v>500</v>
      </c>
      <c r="G3635" s="377"/>
      <c r="H3635" s="377"/>
      <c r="I3635" s="399"/>
      <c r="J3635" s="377"/>
      <c r="K3635" s="377"/>
      <c r="L3635" s="378">
        <v>100</v>
      </c>
      <c r="M3635" s="377"/>
      <c r="N3635" s="377"/>
      <c r="O3635" s="380"/>
      <c r="P3635" s="380"/>
      <c r="Q3635" s="380"/>
    </row>
    <row r="3636" spans="1:17" x14ac:dyDescent="0.2">
      <c r="A3636" s="403" t="s">
        <v>1946</v>
      </c>
      <c r="B3636" s="380"/>
      <c r="C3636" s="392" t="s">
        <v>931</v>
      </c>
      <c r="D3636" s="377"/>
      <c r="E3636" s="377"/>
      <c r="F3636" s="378">
        <v>4000</v>
      </c>
      <c r="G3636" s="377"/>
      <c r="H3636" s="377"/>
      <c r="I3636" s="399"/>
      <c r="J3636" s="377"/>
      <c r="K3636" s="377"/>
      <c r="L3636" s="378">
        <v>2500</v>
      </c>
      <c r="M3636" s="377"/>
      <c r="N3636" s="377"/>
      <c r="O3636" s="380"/>
      <c r="P3636" s="380"/>
      <c r="Q3636" s="380"/>
    </row>
    <row r="3637" spans="1:17" x14ac:dyDescent="0.2">
      <c r="A3637" s="384" t="s">
        <v>1588</v>
      </c>
      <c r="B3637" s="380"/>
      <c r="C3637" s="334" t="s">
        <v>191</v>
      </c>
      <c r="D3637" s="377"/>
      <c r="E3637" s="377"/>
      <c r="F3637" s="378">
        <v>6000</v>
      </c>
      <c r="G3637" s="377"/>
      <c r="H3637" s="399"/>
      <c r="I3637" s="399"/>
      <c r="J3637" s="377"/>
      <c r="K3637" s="377"/>
      <c r="L3637" s="378">
        <v>6000</v>
      </c>
      <c r="M3637" s="377"/>
      <c r="N3637" s="399"/>
      <c r="O3637" s="380"/>
      <c r="P3637" s="380"/>
      <c r="Q3637" s="380"/>
    </row>
    <row r="3638" spans="1:17" x14ac:dyDescent="0.2">
      <c r="A3638" s="384" t="s">
        <v>1962</v>
      </c>
      <c r="B3638" s="380"/>
      <c r="C3638" s="380" t="s">
        <v>572</v>
      </c>
      <c r="D3638" s="377"/>
      <c r="E3638" s="440">
        <v>0</v>
      </c>
      <c r="F3638" s="378"/>
      <c r="G3638" s="388" t="s">
        <v>3196</v>
      </c>
      <c r="H3638" s="399"/>
      <c r="I3638" s="399"/>
      <c r="J3638" s="377"/>
      <c r="K3638" s="377"/>
      <c r="L3638" s="378"/>
      <c r="M3638" s="377"/>
      <c r="N3638" s="399"/>
      <c r="O3638" s="380"/>
      <c r="P3638" s="380"/>
      <c r="Q3638" s="380"/>
    </row>
    <row r="3639" spans="1:17" x14ac:dyDescent="0.2">
      <c r="A3639" s="334" t="s">
        <v>436</v>
      </c>
      <c r="B3639" s="380"/>
      <c r="C3639" s="380"/>
      <c r="D3639" s="410" t="s">
        <v>342</v>
      </c>
      <c r="E3639" s="410" t="s">
        <v>342</v>
      </c>
      <c r="F3639" s="445" t="s">
        <v>342</v>
      </c>
      <c r="G3639" s="385" t="s">
        <v>3197</v>
      </c>
      <c r="H3639" s="385"/>
      <c r="I3639" s="385"/>
      <c r="J3639" s="410" t="s">
        <v>342</v>
      </c>
      <c r="K3639" s="410" t="s">
        <v>342</v>
      </c>
      <c r="L3639" s="445" t="s">
        <v>342</v>
      </c>
      <c r="M3639" s="385"/>
      <c r="N3639" s="385"/>
      <c r="O3639" s="380"/>
      <c r="P3639" s="380"/>
      <c r="Q3639" s="380"/>
    </row>
    <row r="3640" spans="1:17" x14ac:dyDescent="0.2">
      <c r="A3640" s="380"/>
      <c r="B3640" s="380"/>
      <c r="C3640" s="380"/>
      <c r="D3640" s="334">
        <f>SUM(D3609:D3638)</f>
        <v>1280</v>
      </c>
      <c r="E3640" s="334">
        <f>SUM(E3609:E3638)</f>
        <v>4880</v>
      </c>
      <c r="F3640" s="412">
        <f>SUM(F3609:F3638)</f>
        <v>25320</v>
      </c>
      <c r="G3640" s="334"/>
      <c r="H3640" s="385"/>
      <c r="I3640" s="385"/>
      <c r="J3640" s="334">
        <f>SUM(J3609:J3638)</f>
        <v>3475</v>
      </c>
      <c r="K3640" s="334">
        <f>SUM(K3609:K3638)</f>
        <v>7000</v>
      </c>
      <c r="L3640" s="412">
        <f>SUM(L3609:L3638)</f>
        <v>46017.35</v>
      </c>
      <c r="M3640" s="334"/>
      <c r="N3640" s="385"/>
      <c r="O3640" s="380"/>
      <c r="P3640" s="380"/>
      <c r="Q3640" s="380"/>
    </row>
    <row r="3641" spans="1:17" ht="15.75" thickTop="1" x14ac:dyDescent="0.2">
      <c r="A3641" s="380"/>
      <c r="B3641" s="380"/>
      <c r="C3641" s="380"/>
      <c r="D3641" s="395">
        <f>D3640-D3609</f>
        <v>1280</v>
      </c>
      <c r="E3641" s="395">
        <f>E3640-E3609</f>
        <v>4880</v>
      </c>
      <c r="F3641" s="401">
        <f>F3640</f>
        <v>25320</v>
      </c>
      <c r="G3641" s="399"/>
      <c r="H3641" s="399"/>
      <c r="I3641" s="399"/>
      <c r="J3641" s="395">
        <f>J3640-J3609</f>
        <v>3475</v>
      </c>
      <c r="K3641" s="395">
        <f>K3640-K3609</f>
        <v>7000</v>
      </c>
      <c r="L3641" s="401">
        <f>L3640</f>
        <v>46017.35</v>
      </c>
      <c r="M3641" s="399"/>
      <c r="N3641" s="399"/>
      <c r="O3641" s="380"/>
      <c r="P3641" s="380"/>
      <c r="Q3641" s="380"/>
    </row>
    <row r="3642" spans="1:17" x14ac:dyDescent="0.2">
      <c r="A3642" s="334" t="s">
        <v>342</v>
      </c>
      <c r="B3642" s="380"/>
      <c r="C3642" s="334" t="s">
        <v>342</v>
      </c>
      <c r="D3642" s="380"/>
      <c r="E3642" s="380"/>
      <c r="F3642" s="378"/>
      <c r="G3642" s="380"/>
      <c r="H3642" s="380"/>
      <c r="I3642" s="382"/>
      <c r="J3642" s="380"/>
      <c r="K3642" s="380"/>
      <c r="L3642" s="378"/>
      <c r="M3642" s="380"/>
      <c r="N3642" s="380"/>
      <c r="O3642" s="380"/>
      <c r="P3642" s="380"/>
      <c r="Q3642" s="380"/>
    </row>
    <row r="3643" spans="1:17" x14ac:dyDescent="0.2">
      <c r="A3643" s="377"/>
      <c r="B3643" s="377"/>
      <c r="C3643" s="334" t="s">
        <v>342</v>
      </c>
      <c r="D3643" s="334" t="s">
        <v>342</v>
      </c>
      <c r="E3643" s="377"/>
      <c r="F3643" s="378"/>
      <c r="G3643" s="377"/>
      <c r="H3643" s="377"/>
      <c r="I3643" s="385"/>
      <c r="J3643" s="334" t="s">
        <v>342</v>
      </c>
      <c r="K3643" s="377"/>
      <c r="L3643" s="378"/>
      <c r="M3643" s="377"/>
      <c r="N3643" s="377"/>
      <c r="O3643" s="380"/>
      <c r="P3643" s="380"/>
      <c r="Q3643" s="380"/>
    </row>
    <row r="3644" spans="1:17" x14ac:dyDescent="0.2">
      <c r="A3644" s="334" t="s">
        <v>1829</v>
      </c>
      <c r="B3644" s="380"/>
      <c r="C3644" s="380"/>
      <c r="D3644" s="380"/>
      <c r="E3644" s="380"/>
      <c r="F3644" s="378"/>
      <c r="G3644" s="380"/>
      <c r="H3644" s="380"/>
      <c r="I3644" s="382"/>
      <c r="J3644" s="380"/>
      <c r="K3644" s="380"/>
      <c r="L3644" s="378"/>
      <c r="M3644" s="380"/>
      <c r="N3644" s="380"/>
      <c r="O3644" s="380"/>
      <c r="P3644" s="380"/>
      <c r="Q3644" s="380"/>
    </row>
    <row r="3645" spans="1:17" x14ac:dyDescent="0.2">
      <c r="A3645" s="334" t="s">
        <v>1660</v>
      </c>
      <c r="B3645" s="380"/>
      <c r="C3645" s="384" t="s">
        <v>2164</v>
      </c>
      <c r="D3645" s="380"/>
      <c r="E3645" s="380"/>
      <c r="F3645" s="378"/>
      <c r="G3645" s="380"/>
      <c r="H3645" s="380"/>
      <c r="I3645" s="382"/>
      <c r="J3645" s="380"/>
      <c r="K3645" s="380"/>
      <c r="L3645" s="378"/>
      <c r="M3645" s="380"/>
      <c r="N3645" s="380"/>
      <c r="O3645" s="380"/>
      <c r="P3645" s="380"/>
      <c r="Q3645" s="380"/>
    </row>
    <row r="3646" spans="1:17" x14ac:dyDescent="0.2">
      <c r="A3646" s="334" t="s">
        <v>342</v>
      </c>
      <c r="B3646" s="380"/>
      <c r="C3646" s="334" t="s">
        <v>342</v>
      </c>
      <c r="D3646" s="334" t="s">
        <v>342</v>
      </c>
      <c r="E3646" s="380"/>
      <c r="F3646" s="378"/>
      <c r="G3646" s="380"/>
      <c r="H3646" s="380"/>
      <c r="I3646" s="385"/>
      <c r="J3646" s="334" t="s">
        <v>342</v>
      </c>
      <c r="K3646" s="380"/>
      <c r="L3646" s="378"/>
      <c r="M3646" s="380"/>
      <c r="N3646" s="380"/>
      <c r="O3646" s="380"/>
      <c r="P3646" s="380"/>
      <c r="Q3646" s="380"/>
    </row>
    <row r="3647" spans="1:17" x14ac:dyDescent="0.2">
      <c r="A3647" s="334" t="s">
        <v>1723</v>
      </c>
      <c r="B3647" s="380"/>
      <c r="C3647" s="334" t="s">
        <v>1880</v>
      </c>
      <c r="D3647" s="334" t="s">
        <v>181</v>
      </c>
      <c r="E3647" s="380"/>
      <c r="F3647" s="378"/>
      <c r="G3647" s="380"/>
      <c r="H3647" s="380"/>
      <c r="I3647" s="385"/>
      <c r="J3647" s="334" t="s">
        <v>181</v>
      </c>
      <c r="K3647" s="380"/>
      <c r="L3647" s="378"/>
      <c r="M3647" s="380"/>
      <c r="N3647" s="380"/>
      <c r="O3647" s="380"/>
      <c r="P3647" s="380"/>
      <c r="Q3647" s="380"/>
    </row>
    <row r="3648" spans="1:17" x14ac:dyDescent="0.2">
      <c r="A3648" s="334" t="s">
        <v>342</v>
      </c>
      <c r="B3648" s="380"/>
      <c r="C3648" s="334" t="s">
        <v>342</v>
      </c>
      <c r="D3648" s="380"/>
      <c r="E3648" s="380"/>
      <c r="F3648" s="378"/>
      <c r="G3648" s="380"/>
      <c r="H3648" s="380"/>
      <c r="I3648" s="382"/>
      <c r="J3648" s="380"/>
      <c r="K3648" s="380"/>
      <c r="L3648" s="378"/>
      <c r="M3648" s="380"/>
      <c r="N3648" s="380"/>
      <c r="O3648" s="380"/>
      <c r="P3648" s="380"/>
      <c r="Q3648" s="380"/>
    </row>
    <row r="3649" spans="1:17" x14ac:dyDescent="0.2">
      <c r="A3649" s="334" t="s">
        <v>1568</v>
      </c>
      <c r="B3649" s="380"/>
      <c r="C3649" s="380" t="s">
        <v>1817</v>
      </c>
      <c r="D3649" s="377"/>
      <c r="E3649" s="380"/>
      <c r="F3649" s="378"/>
      <c r="G3649" s="380"/>
      <c r="H3649" s="380"/>
      <c r="I3649" s="399"/>
      <c r="J3649" s="377"/>
      <c r="K3649" s="380"/>
      <c r="L3649" s="378"/>
      <c r="M3649" s="380"/>
      <c r="N3649" s="380"/>
      <c r="O3649" s="380"/>
      <c r="P3649" s="380"/>
      <c r="Q3649" s="380"/>
    </row>
    <row r="3650" spans="1:17" x14ac:dyDescent="0.2">
      <c r="A3650" s="334" t="s">
        <v>1724</v>
      </c>
      <c r="B3650" s="380"/>
      <c r="C3650" s="334" t="s">
        <v>1881</v>
      </c>
      <c r="D3650" s="377"/>
      <c r="E3650" s="380"/>
      <c r="F3650" s="378"/>
      <c r="G3650" s="380"/>
      <c r="H3650" s="380"/>
      <c r="I3650" s="399"/>
      <c r="J3650" s="377"/>
      <c r="K3650" s="380"/>
      <c r="L3650" s="378"/>
      <c r="M3650" s="380"/>
      <c r="N3650" s="380"/>
      <c r="O3650" s="380"/>
      <c r="P3650" s="380"/>
      <c r="Q3650" s="380"/>
    </row>
    <row r="3651" spans="1:17" x14ac:dyDescent="0.2">
      <c r="A3651" s="384" t="s">
        <v>1736</v>
      </c>
      <c r="B3651" s="380"/>
      <c r="C3651" s="334" t="s">
        <v>1747</v>
      </c>
      <c r="D3651" s="377"/>
      <c r="E3651" s="380"/>
      <c r="F3651" s="378"/>
      <c r="G3651" s="380"/>
      <c r="H3651" s="380"/>
      <c r="I3651" s="399"/>
      <c r="J3651" s="377"/>
      <c r="K3651" s="380"/>
      <c r="L3651" s="378"/>
      <c r="M3651" s="380"/>
      <c r="N3651" s="380"/>
      <c r="O3651" s="380"/>
      <c r="P3651" s="380"/>
      <c r="Q3651" s="380"/>
    </row>
    <row r="3652" spans="1:17" x14ac:dyDescent="0.2">
      <c r="A3652" s="384" t="s">
        <v>1744</v>
      </c>
      <c r="B3652" s="380"/>
      <c r="C3652" s="334" t="s">
        <v>1254</v>
      </c>
      <c r="D3652" s="377"/>
      <c r="E3652" s="380"/>
      <c r="F3652" s="378"/>
      <c r="G3652" s="380"/>
      <c r="H3652" s="380"/>
      <c r="I3652" s="399"/>
      <c r="J3652" s="377"/>
      <c r="K3652" s="380"/>
      <c r="L3652" s="378"/>
      <c r="M3652" s="380"/>
      <c r="N3652" s="380"/>
      <c r="O3652" s="380"/>
      <c r="P3652" s="380"/>
      <c r="Q3652" s="380"/>
    </row>
    <row r="3653" spans="1:17" x14ac:dyDescent="0.2">
      <c r="A3653" s="384" t="s">
        <v>1725</v>
      </c>
      <c r="B3653" s="380"/>
      <c r="C3653" s="334" t="s">
        <v>1890</v>
      </c>
      <c r="D3653" s="377"/>
      <c r="E3653" s="380"/>
      <c r="F3653" s="378"/>
      <c r="G3653" s="380"/>
      <c r="H3653" s="380"/>
      <c r="I3653" s="399"/>
      <c r="J3653" s="377"/>
      <c r="K3653" s="380"/>
      <c r="L3653" s="378"/>
      <c r="M3653" s="380"/>
      <c r="N3653" s="380"/>
      <c r="O3653" s="380"/>
      <c r="P3653" s="380"/>
      <c r="Q3653" s="380"/>
    </row>
    <row r="3654" spans="1:17" x14ac:dyDescent="0.2">
      <c r="A3654" s="334" t="s">
        <v>1737</v>
      </c>
      <c r="B3654" s="380"/>
      <c r="C3654" s="334" t="s">
        <v>1984</v>
      </c>
      <c r="D3654" s="377"/>
      <c r="E3654" s="380"/>
      <c r="F3654" s="378"/>
      <c r="G3654" s="380"/>
      <c r="H3654" s="380"/>
      <c r="I3654" s="399"/>
      <c r="J3654" s="377"/>
      <c r="K3654" s="380"/>
      <c r="L3654" s="378"/>
      <c r="M3654" s="380"/>
      <c r="N3654" s="380"/>
      <c r="O3654" s="380"/>
      <c r="P3654" s="380"/>
      <c r="Q3654" s="380"/>
    </row>
    <row r="3655" spans="1:17" x14ac:dyDescent="0.2">
      <c r="A3655" s="334" t="s">
        <v>1726</v>
      </c>
      <c r="B3655" s="380"/>
      <c r="C3655" s="334" t="s">
        <v>1117</v>
      </c>
      <c r="D3655" s="377"/>
      <c r="E3655" s="380"/>
      <c r="F3655" s="378"/>
      <c r="G3655" s="380"/>
      <c r="H3655" s="380"/>
      <c r="I3655" s="399"/>
      <c r="J3655" s="377"/>
      <c r="K3655" s="380"/>
      <c r="L3655" s="378"/>
      <c r="M3655" s="380"/>
      <c r="N3655" s="380"/>
      <c r="O3655" s="380"/>
      <c r="P3655" s="380"/>
      <c r="Q3655" s="380"/>
    </row>
    <row r="3656" spans="1:17" x14ac:dyDescent="0.2">
      <c r="A3656" s="334" t="s">
        <v>1738</v>
      </c>
      <c r="B3656" s="380"/>
      <c r="C3656" s="334" t="s">
        <v>1591</v>
      </c>
      <c r="D3656" s="377"/>
      <c r="E3656" s="380"/>
      <c r="F3656" s="378"/>
      <c r="G3656" s="380"/>
      <c r="H3656" s="380"/>
      <c r="I3656" s="399"/>
      <c r="J3656" s="377"/>
      <c r="K3656" s="380"/>
      <c r="L3656" s="378"/>
      <c r="M3656" s="380"/>
      <c r="N3656" s="380"/>
      <c r="O3656" s="380"/>
      <c r="P3656" s="380"/>
      <c r="Q3656" s="380"/>
    </row>
    <row r="3657" spans="1:17" x14ac:dyDescent="0.2">
      <c r="A3657" s="334" t="s">
        <v>1727</v>
      </c>
      <c r="B3657" s="380"/>
      <c r="C3657" s="334" t="s">
        <v>307</v>
      </c>
      <c r="D3657" s="377"/>
      <c r="E3657" s="380"/>
      <c r="F3657" s="378"/>
      <c r="G3657" s="380"/>
      <c r="H3657" s="380"/>
      <c r="I3657" s="399"/>
      <c r="J3657" s="377"/>
      <c r="K3657" s="380"/>
      <c r="L3657" s="378"/>
      <c r="M3657" s="380"/>
      <c r="N3657" s="380"/>
      <c r="O3657" s="380"/>
      <c r="P3657" s="380"/>
      <c r="Q3657" s="380"/>
    </row>
    <row r="3658" spans="1:17" x14ac:dyDescent="0.2">
      <c r="A3658" s="334" t="s">
        <v>1728</v>
      </c>
      <c r="B3658" s="380"/>
      <c r="C3658" s="334" t="s">
        <v>310</v>
      </c>
      <c r="D3658" s="377"/>
      <c r="E3658" s="380"/>
      <c r="F3658" s="378"/>
      <c r="G3658" s="380"/>
      <c r="H3658" s="380"/>
      <c r="I3658" s="399"/>
      <c r="J3658" s="377"/>
      <c r="K3658" s="380"/>
      <c r="L3658" s="378"/>
      <c r="M3658" s="380"/>
      <c r="N3658" s="380"/>
      <c r="O3658" s="380"/>
      <c r="P3658" s="380"/>
      <c r="Q3658" s="380"/>
    </row>
    <row r="3659" spans="1:17" x14ac:dyDescent="0.2">
      <c r="A3659" s="334" t="s">
        <v>1729</v>
      </c>
      <c r="B3659" s="380"/>
      <c r="C3659" s="380" t="s">
        <v>1551</v>
      </c>
      <c r="D3659" s="377"/>
      <c r="E3659" s="380"/>
      <c r="F3659" s="378"/>
      <c r="G3659" s="380"/>
      <c r="H3659" s="380"/>
      <c r="I3659" s="399"/>
      <c r="J3659" s="377"/>
      <c r="K3659" s="380"/>
      <c r="L3659" s="378"/>
      <c r="M3659" s="380"/>
      <c r="N3659" s="380"/>
      <c r="O3659" s="380"/>
      <c r="P3659" s="380"/>
      <c r="Q3659" s="380"/>
    </row>
    <row r="3660" spans="1:17" x14ac:dyDescent="0.2">
      <c r="A3660" s="384" t="s">
        <v>1735</v>
      </c>
      <c r="B3660" s="380"/>
      <c r="C3660" s="380" t="s">
        <v>194</v>
      </c>
      <c r="D3660" s="377"/>
      <c r="E3660" s="380"/>
      <c r="F3660" s="378"/>
      <c r="G3660" s="380"/>
      <c r="H3660" s="380"/>
      <c r="I3660" s="399"/>
      <c r="J3660" s="377"/>
      <c r="K3660" s="380"/>
      <c r="L3660" s="378"/>
      <c r="M3660" s="380"/>
      <c r="N3660" s="380"/>
      <c r="O3660" s="380"/>
      <c r="P3660" s="380"/>
      <c r="Q3660" s="380"/>
    </row>
    <row r="3661" spans="1:17" x14ac:dyDescent="0.2">
      <c r="A3661" s="384" t="s">
        <v>1754</v>
      </c>
      <c r="B3661" s="380"/>
      <c r="C3661" s="334" t="s">
        <v>1929</v>
      </c>
      <c r="D3661" s="377"/>
      <c r="E3661" s="380"/>
      <c r="F3661" s="378"/>
      <c r="G3661" s="380"/>
      <c r="H3661" s="380"/>
      <c r="I3661" s="399"/>
      <c r="J3661" s="377"/>
      <c r="K3661" s="380"/>
      <c r="L3661" s="378"/>
      <c r="M3661" s="380"/>
      <c r="N3661" s="380"/>
      <c r="O3661" s="380"/>
      <c r="P3661" s="380"/>
      <c r="Q3661" s="380"/>
    </row>
    <row r="3662" spans="1:17" x14ac:dyDescent="0.2">
      <c r="A3662" s="334" t="s">
        <v>1584</v>
      </c>
      <c r="B3662" s="380"/>
      <c r="C3662" s="334" t="s">
        <v>0</v>
      </c>
      <c r="D3662" s="377"/>
      <c r="E3662" s="380"/>
      <c r="F3662" s="378"/>
      <c r="G3662" s="380"/>
      <c r="H3662" s="380"/>
      <c r="I3662" s="399"/>
      <c r="J3662" s="377"/>
      <c r="K3662" s="380"/>
      <c r="L3662" s="378"/>
      <c r="M3662" s="380"/>
      <c r="N3662" s="380"/>
      <c r="O3662" s="380"/>
      <c r="P3662" s="380"/>
      <c r="Q3662" s="380"/>
    </row>
    <row r="3663" spans="1:17" x14ac:dyDescent="0.2">
      <c r="A3663" s="334" t="s">
        <v>1572</v>
      </c>
      <c r="B3663" s="380"/>
      <c r="C3663" s="334" t="s">
        <v>3134</v>
      </c>
      <c r="D3663" s="377"/>
      <c r="E3663" s="380"/>
      <c r="F3663" s="378"/>
      <c r="G3663" s="380"/>
      <c r="H3663" s="380"/>
      <c r="I3663" s="399"/>
      <c r="J3663" s="377"/>
      <c r="K3663" s="380"/>
      <c r="L3663" s="378"/>
      <c r="M3663" s="380"/>
      <c r="N3663" s="380"/>
      <c r="O3663" s="380"/>
      <c r="P3663" s="380"/>
      <c r="Q3663" s="380"/>
    </row>
    <row r="3664" spans="1:17" x14ac:dyDescent="0.2">
      <c r="A3664" s="334" t="s">
        <v>1730</v>
      </c>
      <c r="B3664" s="380"/>
      <c r="C3664" s="334" t="s">
        <v>1985</v>
      </c>
      <c r="D3664" s="377"/>
      <c r="E3664" s="380"/>
      <c r="F3664" s="378"/>
      <c r="G3664" s="380"/>
      <c r="H3664" s="380"/>
      <c r="I3664" s="399"/>
      <c r="J3664" s="377"/>
      <c r="K3664" s="380"/>
      <c r="L3664" s="378"/>
      <c r="M3664" s="380"/>
      <c r="N3664" s="380"/>
      <c r="O3664" s="380"/>
      <c r="P3664" s="380"/>
      <c r="Q3664" s="380"/>
    </row>
    <row r="3665" spans="1:17" x14ac:dyDescent="0.2">
      <c r="A3665" s="334" t="s">
        <v>1566</v>
      </c>
      <c r="B3665" s="380"/>
      <c r="C3665" s="334" t="s">
        <v>366</v>
      </c>
      <c r="D3665" s="377"/>
      <c r="E3665" s="380"/>
      <c r="F3665" s="378"/>
      <c r="G3665" s="380"/>
      <c r="H3665" s="380"/>
      <c r="I3665" s="399"/>
      <c r="J3665" s="377"/>
      <c r="K3665" s="380"/>
      <c r="L3665" s="378"/>
      <c r="M3665" s="380"/>
      <c r="N3665" s="380"/>
      <c r="O3665" s="380"/>
      <c r="P3665" s="380"/>
      <c r="Q3665" s="380"/>
    </row>
    <row r="3666" spans="1:17" x14ac:dyDescent="0.2">
      <c r="A3666" s="384" t="s">
        <v>1962</v>
      </c>
      <c r="B3666" s="380"/>
      <c r="C3666" s="380" t="s">
        <v>572</v>
      </c>
      <c r="D3666" s="377"/>
      <c r="E3666" s="380"/>
      <c r="F3666" s="378"/>
      <c r="G3666" s="380"/>
      <c r="H3666" s="380"/>
      <c r="I3666" s="399"/>
      <c r="J3666" s="377"/>
      <c r="K3666" s="380"/>
      <c r="L3666" s="378"/>
      <c r="M3666" s="380"/>
      <c r="N3666" s="380"/>
      <c r="O3666" s="380"/>
      <c r="P3666" s="380"/>
      <c r="Q3666" s="380"/>
    </row>
    <row r="3667" spans="1:17" x14ac:dyDescent="0.2">
      <c r="A3667" s="334" t="s">
        <v>436</v>
      </c>
      <c r="B3667" s="380"/>
      <c r="C3667" s="334" t="s">
        <v>342</v>
      </c>
      <c r="D3667" s="410" t="s">
        <v>342</v>
      </c>
      <c r="E3667" s="380"/>
      <c r="F3667" s="378"/>
      <c r="G3667" s="380"/>
      <c r="H3667" s="380"/>
      <c r="I3667" s="385"/>
      <c r="J3667" s="410" t="s">
        <v>342</v>
      </c>
      <c r="K3667" s="380"/>
      <c r="L3667" s="378"/>
      <c r="M3667" s="380"/>
      <c r="N3667" s="380"/>
      <c r="O3667" s="380"/>
      <c r="P3667" s="380"/>
      <c r="Q3667" s="380"/>
    </row>
    <row r="3668" spans="1:17" x14ac:dyDescent="0.2">
      <c r="A3668" s="380"/>
      <c r="B3668" s="380"/>
      <c r="C3668" s="380"/>
      <c r="D3668" s="334">
        <f>SUM(D3649:D3666)</f>
        <v>0</v>
      </c>
      <c r="E3668" s="380"/>
      <c r="F3668" s="378"/>
      <c r="G3668" s="380"/>
      <c r="H3668" s="380"/>
      <c r="I3668" s="385"/>
      <c r="J3668" s="334">
        <f>SUM(J3649:J3666)</f>
        <v>0</v>
      </c>
      <c r="K3668" s="380"/>
      <c r="L3668" s="378"/>
      <c r="M3668" s="380"/>
      <c r="N3668" s="380"/>
      <c r="O3668" s="380"/>
      <c r="P3668" s="380"/>
      <c r="Q3668" s="380"/>
    </row>
    <row r="3669" spans="1:17" ht="15.75" thickTop="1" x14ac:dyDescent="0.2">
      <c r="A3669" s="380"/>
      <c r="B3669" s="380"/>
      <c r="C3669" s="380"/>
      <c r="D3669" s="395">
        <f>D3668-D3649</f>
        <v>0</v>
      </c>
      <c r="E3669" s="380"/>
      <c r="F3669" s="378"/>
      <c r="G3669" s="380"/>
      <c r="H3669" s="380"/>
      <c r="I3669" s="399"/>
      <c r="J3669" s="395">
        <f>J3668-J3649</f>
        <v>0</v>
      </c>
      <c r="K3669" s="380"/>
      <c r="L3669" s="378"/>
      <c r="M3669" s="380"/>
      <c r="N3669" s="380"/>
      <c r="O3669" s="380"/>
      <c r="P3669" s="380"/>
      <c r="Q3669" s="380"/>
    </row>
    <row r="3670" spans="1:17" x14ac:dyDescent="0.2">
      <c r="A3670" s="380"/>
      <c r="B3670" s="380"/>
      <c r="C3670" s="380"/>
      <c r="D3670" s="380"/>
      <c r="E3670" s="380"/>
      <c r="F3670" s="378"/>
      <c r="G3670" s="380"/>
      <c r="H3670" s="380"/>
      <c r="I3670" s="382"/>
      <c r="J3670" s="380"/>
      <c r="K3670" s="380"/>
      <c r="L3670" s="378"/>
      <c r="M3670" s="380"/>
      <c r="N3670" s="380"/>
      <c r="O3670" s="380"/>
      <c r="P3670" s="380"/>
      <c r="Q3670" s="380"/>
    </row>
    <row r="3671" spans="1:17" x14ac:dyDescent="0.2">
      <c r="A3671" s="377"/>
      <c r="B3671" s="377"/>
      <c r="C3671" s="377"/>
      <c r="D3671" s="377"/>
      <c r="E3671" s="377"/>
      <c r="F3671" s="378"/>
      <c r="G3671" s="377"/>
      <c r="H3671" s="377"/>
      <c r="I3671" s="399"/>
      <c r="J3671" s="377"/>
      <c r="K3671" s="377"/>
      <c r="L3671" s="378"/>
      <c r="M3671" s="377"/>
      <c r="N3671" s="377"/>
      <c r="O3671" s="380"/>
      <c r="P3671" s="380"/>
      <c r="Q3671" s="380"/>
    </row>
    <row r="3672" spans="1:17" x14ac:dyDescent="0.2">
      <c r="A3672" s="334" t="s">
        <v>1830</v>
      </c>
      <c r="B3672" s="380"/>
      <c r="C3672" s="380"/>
      <c r="D3672" s="380"/>
      <c r="E3672" s="380"/>
      <c r="F3672" s="378"/>
      <c r="G3672" s="380"/>
      <c r="H3672" s="380"/>
      <c r="I3672" s="382"/>
      <c r="J3672" s="380"/>
      <c r="K3672" s="380"/>
      <c r="L3672" s="378"/>
      <c r="M3672" s="380"/>
      <c r="N3672" s="380"/>
      <c r="O3672" s="380"/>
      <c r="P3672" s="380"/>
      <c r="Q3672" s="380"/>
    </row>
    <row r="3673" spans="1:17" x14ac:dyDescent="0.2">
      <c r="A3673" s="334" t="s">
        <v>1799</v>
      </c>
      <c r="B3673" s="380"/>
      <c r="C3673" s="384" t="s">
        <v>2164</v>
      </c>
      <c r="D3673" s="380"/>
      <c r="E3673" s="380"/>
      <c r="F3673" s="378"/>
      <c r="G3673" s="380"/>
      <c r="H3673" s="380"/>
      <c r="I3673" s="382"/>
      <c r="J3673" s="380"/>
      <c r="K3673" s="380"/>
      <c r="L3673" s="378"/>
      <c r="M3673" s="380"/>
      <c r="N3673" s="380"/>
      <c r="O3673" s="380"/>
      <c r="P3673" s="380"/>
      <c r="Q3673" s="380"/>
    </row>
    <row r="3674" spans="1:17" x14ac:dyDescent="0.2">
      <c r="A3674" s="334" t="s">
        <v>342</v>
      </c>
      <c r="B3674" s="380"/>
      <c r="C3674" s="334" t="s">
        <v>342</v>
      </c>
      <c r="D3674" s="334" t="s">
        <v>342</v>
      </c>
      <c r="E3674" s="380"/>
      <c r="F3674" s="378"/>
      <c r="G3674" s="380"/>
      <c r="H3674" s="380"/>
      <c r="I3674" s="385"/>
      <c r="J3674" s="334" t="s">
        <v>342</v>
      </c>
      <c r="K3674" s="380"/>
      <c r="L3674" s="378"/>
      <c r="M3674" s="380"/>
      <c r="N3674" s="380"/>
      <c r="O3674" s="380"/>
      <c r="P3674" s="380"/>
      <c r="Q3674" s="380"/>
    </row>
    <row r="3675" spans="1:17" x14ac:dyDescent="0.2">
      <c r="A3675" s="334" t="s">
        <v>1723</v>
      </c>
      <c r="B3675" s="380"/>
      <c r="C3675" s="334" t="s">
        <v>1880</v>
      </c>
      <c r="D3675" s="334" t="s">
        <v>181</v>
      </c>
      <c r="E3675" s="380"/>
      <c r="F3675" s="378"/>
      <c r="G3675" s="380"/>
      <c r="H3675" s="380"/>
      <c r="I3675" s="385"/>
      <c r="J3675" s="334" t="s">
        <v>181</v>
      </c>
      <c r="K3675" s="380"/>
      <c r="L3675" s="378"/>
      <c r="M3675" s="380"/>
      <c r="N3675" s="380"/>
      <c r="O3675" s="380"/>
      <c r="P3675" s="380"/>
      <c r="Q3675" s="380"/>
    </row>
    <row r="3676" spans="1:17" x14ac:dyDescent="0.2">
      <c r="A3676" s="334" t="s">
        <v>342</v>
      </c>
      <c r="B3676" s="380"/>
      <c r="C3676" s="334" t="s">
        <v>342</v>
      </c>
      <c r="D3676" s="334" t="s">
        <v>342</v>
      </c>
      <c r="E3676" s="380"/>
      <c r="F3676" s="378"/>
      <c r="G3676" s="380"/>
      <c r="H3676" s="380"/>
      <c r="I3676" s="385"/>
      <c r="J3676" s="334" t="s">
        <v>342</v>
      </c>
      <c r="K3676" s="380"/>
      <c r="L3676" s="378"/>
      <c r="M3676" s="380"/>
      <c r="N3676" s="380"/>
      <c r="O3676" s="380"/>
      <c r="P3676" s="380"/>
      <c r="Q3676" s="380"/>
    </row>
    <row r="3677" spans="1:17" x14ac:dyDescent="0.2">
      <c r="A3677" s="334" t="s">
        <v>1758</v>
      </c>
      <c r="B3677" s="380"/>
      <c r="C3677" s="334" t="s">
        <v>1987</v>
      </c>
      <c r="D3677" s="377"/>
      <c r="E3677" s="380"/>
      <c r="F3677" s="378"/>
      <c r="G3677" s="380"/>
      <c r="H3677" s="380"/>
      <c r="I3677" s="399"/>
      <c r="J3677" s="377"/>
      <c r="K3677" s="380"/>
      <c r="L3677" s="378"/>
      <c r="M3677" s="380"/>
      <c r="N3677" s="380"/>
      <c r="O3677" s="380"/>
      <c r="P3677" s="380"/>
      <c r="Q3677" s="380"/>
    </row>
    <row r="3678" spans="1:17" x14ac:dyDescent="0.2">
      <c r="A3678" s="334" t="s">
        <v>1724</v>
      </c>
      <c r="B3678" s="380"/>
      <c r="C3678" s="334" t="s">
        <v>1881</v>
      </c>
      <c r="D3678" s="377"/>
      <c r="E3678" s="380"/>
      <c r="F3678" s="378"/>
      <c r="G3678" s="380"/>
      <c r="H3678" s="380"/>
      <c r="I3678" s="399"/>
      <c r="J3678" s="377"/>
      <c r="K3678" s="380"/>
      <c r="L3678" s="378"/>
      <c r="M3678" s="380"/>
      <c r="N3678" s="380"/>
      <c r="O3678" s="380"/>
      <c r="P3678" s="380"/>
      <c r="Q3678" s="380"/>
    </row>
    <row r="3679" spans="1:17" x14ac:dyDescent="0.2">
      <c r="A3679" s="334" t="s">
        <v>1725</v>
      </c>
      <c r="B3679" s="380"/>
      <c r="C3679" s="334" t="s">
        <v>1890</v>
      </c>
      <c r="D3679" s="377"/>
      <c r="E3679" s="380"/>
      <c r="F3679" s="378"/>
      <c r="G3679" s="380"/>
      <c r="H3679" s="380"/>
      <c r="I3679" s="399"/>
      <c r="J3679" s="377"/>
      <c r="K3679" s="380"/>
      <c r="L3679" s="378"/>
      <c r="M3679" s="380"/>
      <c r="N3679" s="380"/>
      <c r="O3679" s="380"/>
      <c r="P3679" s="380"/>
      <c r="Q3679" s="380"/>
    </row>
    <row r="3680" spans="1:17" x14ac:dyDescent="0.2">
      <c r="A3680" s="334" t="s">
        <v>1738</v>
      </c>
      <c r="B3680" s="380"/>
      <c r="C3680" s="334" t="s">
        <v>1591</v>
      </c>
      <c r="D3680" s="377"/>
      <c r="E3680" s="380"/>
      <c r="F3680" s="378"/>
      <c r="G3680" s="380"/>
      <c r="H3680" s="380"/>
      <c r="I3680" s="399"/>
      <c r="J3680" s="377"/>
      <c r="K3680" s="380"/>
      <c r="L3680" s="378"/>
      <c r="M3680" s="380"/>
      <c r="N3680" s="380"/>
      <c r="O3680" s="380"/>
      <c r="P3680" s="380"/>
      <c r="Q3680" s="380"/>
    </row>
    <row r="3681" spans="1:17" x14ac:dyDescent="0.2">
      <c r="A3681" s="334" t="s">
        <v>1727</v>
      </c>
      <c r="B3681" s="380"/>
      <c r="C3681" s="334" t="s">
        <v>307</v>
      </c>
      <c r="D3681" s="377"/>
      <c r="E3681" s="380"/>
      <c r="F3681" s="378"/>
      <c r="G3681" s="380"/>
      <c r="H3681" s="380"/>
      <c r="I3681" s="399"/>
      <c r="J3681" s="377"/>
      <c r="K3681" s="380"/>
      <c r="L3681" s="378"/>
      <c r="M3681" s="380"/>
      <c r="N3681" s="380"/>
      <c r="O3681" s="380"/>
      <c r="P3681" s="380"/>
      <c r="Q3681" s="380"/>
    </row>
    <row r="3682" spans="1:17" x14ac:dyDescent="0.2">
      <c r="A3682" s="334" t="s">
        <v>1728</v>
      </c>
      <c r="B3682" s="380"/>
      <c r="C3682" s="334" t="s">
        <v>310</v>
      </c>
      <c r="D3682" s="377"/>
      <c r="E3682" s="380"/>
      <c r="F3682" s="378"/>
      <c r="G3682" s="380"/>
      <c r="H3682" s="380"/>
      <c r="I3682" s="399"/>
      <c r="J3682" s="377"/>
      <c r="K3682" s="380"/>
      <c r="L3682" s="378"/>
      <c r="M3682" s="380"/>
      <c r="N3682" s="380"/>
      <c r="O3682" s="380"/>
      <c r="P3682" s="380"/>
      <c r="Q3682" s="380"/>
    </row>
    <row r="3683" spans="1:17" x14ac:dyDescent="0.2">
      <c r="A3683" s="334" t="s">
        <v>1730</v>
      </c>
      <c r="B3683" s="380"/>
      <c r="C3683" s="334" t="s">
        <v>1985</v>
      </c>
      <c r="D3683" s="377"/>
      <c r="E3683" s="380"/>
      <c r="F3683" s="378"/>
      <c r="G3683" s="380"/>
      <c r="H3683" s="380"/>
      <c r="I3683" s="399"/>
      <c r="J3683" s="377"/>
      <c r="K3683" s="380"/>
      <c r="L3683" s="378"/>
      <c r="M3683" s="380"/>
      <c r="N3683" s="380"/>
      <c r="O3683" s="380"/>
      <c r="P3683" s="380"/>
      <c r="Q3683" s="380"/>
    </row>
    <row r="3684" spans="1:17" x14ac:dyDescent="0.2">
      <c r="A3684" s="334" t="s">
        <v>342</v>
      </c>
      <c r="B3684" s="380"/>
      <c r="C3684" s="334" t="s">
        <v>342</v>
      </c>
      <c r="D3684" s="410" t="s">
        <v>342</v>
      </c>
      <c r="E3684" s="380"/>
      <c r="F3684" s="378"/>
      <c r="G3684" s="380"/>
      <c r="H3684" s="380"/>
      <c r="I3684" s="385"/>
      <c r="J3684" s="410" t="s">
        <v>342</v>
      </c>
      <c r="K3684" s="380"/>
      <c r="L3684" s="378"/>
      <c r="M3684" s="380"/>
      <c r="N3684" s="380"/>
      <c r="O3684" s="380"/>
      <c r="P3684" s="380"/>
      <c r="Q3684" s="380"/>
    </row>
    <row r="3685" spans="1:17" x14ac:dyDescent="0.2">
      <c r="A3685" s="334" t="s">
        <v>342</v>
      </c>
      <c r="B3685" s="380"/>
      <c r="C3685" s="334" t="s">
        <v>342</v>
      </c>
      <c r="D3685" s="334">
        <f>SUM(D3677:D3683)</f>
        <v>0</v>
      </c>
      <c r="E3685" s="380"/>
      <c r="F3685" s="378"/>
      <c r="G3685" s="380"/>
      <c r="H3685" s="380"/>
      <c r="I3685" s="385"/>
      <c r="J3685" s="334">
        <f>SUM(J3677:J3683)</f>
        <v>0</v>
      </c>
      <c r="K3685" s="380"/>
      <c r="L3685" s="378"/>
      <c r="M3685" s="380"/>
      <c r="N3685" s="380"/>
      <c r="O3685" s="380"/>
      <c r="P3685" s="380"/>
      <c r="Q3685" s="380"/>
    </row>
    <row r="3686" spans="1:17" ht="15.75" thickTop="1" x14ac:dyDescent="0.2">
      <c r="A3686" s="334" t="s">
        <v>342</v>
      </c>
      <c r="B3686" s="380"/>
      <c r="C3686" s="334" t="s">
        <v>342</v>
      </c>
      <c r="D3686" s="400">
        <f>D3685-D3677</f>
        <v>0</v>
      </c>
      <c r="E3686" s="380"/>
      <c r="F3686" s="378"/>
      <c r="G3686" s="380"/>
      <c r="H3686" s="380"/>
      <c r="I3686" s="385"/>
      <c r="J3686" s="400">
        <f>J3685-J3677</f>
        <v>0</v>
      </c>
      <c r="K3686" s="380"/>
      <c r="L3686" s="378"/>
      <c r="M3686" s="380"/>
      <c r="N3686" s="380"/>
      <c r="O3686" s="380"/>
      <c r="P3686" s="380"/>
      <c r="Q3686" s="380"/>
    </row>
    <row r="3687" spans="1:17" x14ac:dyDescent="0.2">
      <c r="A3687" s="334" t="s">
        <v>342</v>
      </c>
      <c r="B3687" s="377"/>
      <c r="C3687" s="334" t="s">
        <v>342</v>
      </c>
      <c r="D3687" s="334" t="s">
        <v>342</v>
      </c>
      <c r="E3687" s="377"/>
      <c r="F3687" s="378"/>
      <c r="G3687" s="377"/>
      <c r="H3687" s="377"/>
      <c r="I3687" s="385"/>
      <c r="J3687" s="334" t="s">
        <v>342</v>
      </c>
      <c r="K3687" s="377"/>
      <c r="L3687" s="378"/>
      <c r="M3687" s="377"/>
      <c r="N3687" s="377"/>
      <c r="O3687" s="380"/>
      <c r="P3687" s="380"/>
      <c r="Q3687" s="380"/>
    </row>
    <row r="3688" spans="1:17" x14ac:dyDescent="0.2">
      <c r="A3688" s="334" t="s">
        <v>342</v>
      </c>
      <c r="B3688" s="380"/>
      <c r="C3688" s="334" t="s">
        <v>342</v>
      </c>
      <c r="D3688" s="334" t="s">
        <v>342</v>
      </c>
      <c r="E3688" s="380"/>
      <c r="F3688" s="378"/>
      <c r="G3688" s="380"/>
      <c r="H3688" s="380"/>
      <c r="I3688" s="385"/>
      <c r="J3688" s="334" t="s">
        <v>342</v>
      </c>
      <c r="K3688" s="380"/>
      <c r="L3688" s="378"/>
      <c r="M3688" s="380"/>
      <c r="N3688" s="380"/>
      <c r="O3688" s="380"/>
      <c r="P3688" s="380"/>
      <c r="Q3688" s="380"/>
    </row>
    <row r="3689" spans="1:17" x14ac:dyDescent="0.2">
      <c r="A3689" s="334" t="s">
        <v>1831</v>
      </c>
      <c r="B3689" s="380"/>
      <c r="C3689" s="380"/>
      <c r="D3689" s="380"/>
      <c r="E3689" s="380"/>
      <c r="F3689" s="378"/>
      <c r="G3689" s="380"/>
      <c r="H3689" s="380"/>
      <c r="I3689" s="382"/>
      <c r="J3689" s="380"/>
      <c r="K3689" s="380"/>
      <c r="L3689" s="378"/>
      <c r="M3689" s="380"/>
      <c r="N3689" s="380"/>
      <c r="O3689" s="380"/>
      <c r="P3689" s="380"/>
      <c r="Q3689" s="380"/>
    </row>
    <row r="3690" spans="1:17" x14ac:dyDescent="0.2">
      <c r="A3690" s="334" t="s">
        <v>342</v>
      </c>
      <c r="B3690" s="380"/>
      <c r="C3690" s="384" t="s">
        <v>2165</v>
      </c>
      <c r="D3690" s="380"/>
      <c r="E3690" s="380"/>
      <c r="F3690" s="378"/>
      <c r="G3690" s="380"/>
      <c r="H3690" s="380"/>
      <c r="I3690" s="382"/>
      <c r="J3690" s="380"/>
      <c r="K3690" s="380"/>
      <c r="L3690" s="378"/>
      <c r="M3690" s="380"/>
      <c r="N3690" s="380"/>
      <c r="O3690" s="380"/>
      <c r="P3690" s="380"/>
      <c r="Q3690" s="380"/>
    </row>
    <row r="3691" spans="1:17" x14ac:dyDescent="0.2">
      <c r="A3691" s="334" t="s">
        <v>342</v>
      </c>
      <c r="B3691" s="380"/>
      <c r="C3691" s="334" t="s">
        <v>342</v>
      </c>
      <c r="D3691" s="334" t="s">
        <v>108</v>
      </c>
      <c r="E3691" s="380" t="s">
        <v>530</v>
      </c>
      <c r="F3691" s="378" t="s">
        <v>343</v>
      </c>
      <c r="G3691" s="380"/>
      <c r="H3691" s="380"/>
      <c r="I3691" s="385"/>
      <c r="J3691" s="334" t="s">
        <v>108</v>
      </c>
      <c r="K3691" s="380" t="s">
        <v>530</v>
      </c>
      <c r="L3691" s="378" t="s">
        <v>343</v>
      </c>
      <c r="M3691" s="380"/>
      <c r="N3691" s="380"/>
      <c r="O3691" s="380"/>
      <c r="P3691" s="380"/>
      <c r="Q3691" s="380"/>
    </row>
    <row r="3692" spans="1:17" x14ac:dyDescent="0.2">
      <c r="A3692" s="334" t="s">
        <v>1723</v>
      </c>
      <c r="B3692" s="380"/>
      <c r="C3692" s="334" t="s">
        <v>1880</v>
      </c>
      <c r="D3692" s="334" t="s">
        <v>181</v>
      </c>
      <c r="E3692" s="380" t="s">
        <v>181</v>
      </c>
      <c r="F3692" s="378"/>
      <c r="G3692" s="380"/>
      <c r="H3692" s="380"/>
      <c r="I3692" s="385"/>
      <c r="J3692" s="334" t="s">
        <v>181</v>
      </c>
      <c r="K3692" s="380" t="s">
        <v>181</v>
      </c>
      <c r="L3692" s="378"/>
      <c r="M3692" s="380"/>
      <c r="N3692" s="380"/>
      <c r="O3692" s="380"/>
      <c r="P3692" s="380"/>
      <c r="Q3692" s="380"/>
    </row>
    <row r="3693" spans="1:17" x14ac:dyDescent="0.2">
      <c r="A3693" s="380"/>
      <c r="B3693" s="380"/>
      <c r="C3693" s="380"/>
      <c r="D3693" s="380"/>
      <c r="E3693" s="380"/>
      <c r="F3693" s="378"/>
      <c r="G3693" s="380"/>
      <c r="H3693" s="380"/>
      <c r="I3693" s="382"/>
      <c r="J3693" s="380"/>
      <c r="K3693" s="380"/>
      <c r="L3693" s="378"/>
      <c r="M3693" s="380"/>
      <c r="N3693" s="380"/>
      <c r="O3693" s="380"/>
      <c r="P3693" s="380"/>
      <c r="Q3693" s="380"/>
    </row>
    <row r="3694" spans="1:17" x14ac:dyDescent="0.2">
      <c r="A3694" s="334" t="s">
        <v>1568</v>
      </c>
      <c r="B3694" s="380"/>
      <c r="C3694" s="380" t="s">
        <v>1817</v>
      </c>
      <c r="D3694" s="377"/>
      <c r="E3694" s="377"/>
      <c r="F3694" s="416">
        <f>D3694+E3694</f>
        <v>0</v>
      </c>
      <c r="G3694" s="382"/>
      <c r="H3694" s="380"/>
      <c r="I3694" s="399"/>
      <c r="J3694" s="377"/>
      <c r="K3694" s="377"/>
      <c r="L3694" s="416">
        <f>J3694+K3694</f>
        <v>0</v>
      </c>
      <c r="M3694" s="382"/>
      <c r="N3694" s="380"/>
      <c r="O3694" s="380"/>
      <c r="P3694" s="380"/>
      <c r="Q3694" s="380"/>
    </row>
    <row r="3695" spans="1:17" x14ac:dyDescent="0.2">
      <c r="A3695" s="334" t="s">
        <v>1724</v>
      </c>
      <c r="B3695" s="380"/>
      <c r="C3695" s="334" t="s">
        <v>113</v>
      </c>
      <c r="D3695" s="377"/>
      <c r="E3695" s="377"/>
      <c r="F3695" s="416">
        <f t="shared" ref="F3695:F3719" si="32">D3695+E3695</f>
        <v>0</v>
      </c>
      <c r="G3695" s="382"/>
      <c r="H3695" s="380"/>
      <c r="I3695" s="399"/>
      <c r="J3695" s="377"/>
      <c r="K3695" s="377"/>
      <c r="L3695" s="416">
        <f t="shared" ref="L3695:L3719" si="33">J3695+K3695</f>
        <v>0</v>
      </c>
      <c r="M3695" s="382"/>
      <c r="N3695" s="380"/>
      <c r="O3695" s="380"/>
      <c r="P3695" s="380"/>
      <c r="Q3695" s="380"/>
    </row>
    <row r="3696" spans="1:17" x14ac:dyDescent="0.2">
      <c r="A3696" s="334" t="s">
        <v>1736</v>
      </c>
      <c r="B3696" s="380"/>
      <c r="C3696" s="334" t="s">
        <v>1747</v>
      </c>
      <c r="D3696" s="377"/>
      <c r="E3696" s="377"/>
      <c r="F3696" s="416">
        <f t="shared" si="32"/>
        <v>0</v>
      </c>
      <c r="G3696" s="382"/>
      <c r="H3696" s="380"/>
      <c r="I3696" s="399"/>
      <c r="J3696" s="377"/>
      <c r="K3696" s="377"/>
      <c r="L3696" s="416">
        <f t="shared" si="33"/>
        <v>0</v>
      </c>
      <c r="M3696" s="382"/>
      <c r="N3696" s="380"/>
      <c r="O3696" s="380"/>
      <c r="P3696" s="380"/>
      <c r="Q3696" s="380"/>
    </row>
    <row r="3697" spans="1:17" x14ac:dyDescent="0.2">
      <c r="A3697" s="334" t="s">
        <v>1744</v>
      </c>
      <c r="B3697" s="380"/>
      <c r="C3697" s="334" t="s">
        <v>1254</v>
      </c>
      <c r="D3697" s="377"/>
      <c r="E3697" s="377"/>
      <c r="F3697" s="416">
        <f t="shared" si="32"/>
        <v>0</v>
      </c>
      <c r="G3697" s="382"/>
      <c r="H3697" s="380"/>
      <c r="I3697" s="399"/>
      <c r="J3697" s="377"/>
      <c r="K3697" s="377"/>
      <c r="L3697" s="416">
        <f t="shared" si="33"/>
        <v>0</v>
      </c>
      <c r="M3697" s="382"/>
      <c r="N3697" s="380"/>
      <c r="O3697" s="380"/>
      <c r="P3697" s="380"/>
      <c r="Q3697" s="380"/>
    </row>
    <row r="3698" spans="1:17" x14ac:dyDescent="0.2">
      <c r="A3698" s="334" t="s">
        <v>1582</v>
      </c>
      <c r="B3698" s="380"/>
      <c r="C3698" s="334" t="s">
        <v>3135</v>
      </c>
      <c r="D3698" s="377"/>
      <c r="E3698" s="377"/>
      <c r="F3698" s="416">
        <f t="shared" si="32"/>
        <v>0</v>
      </c>
      <c r="G3698" s="382"/>
      <c r="H3698" s="380"/>
      <c r="I3698" s="399"/>
      <c r="J3698" s="377"/>
      <c r="K3698" s="377"/>
      <c r="L3698" s="416">
        <f t="shared" si="33"/>
        <v>0</v>
      </c>
      <c r="M3698" s="382"/>
      <c r="N3698" s="380"/>
      <c r="O3698" s="380"/>
      <c r="P3698" s="380"/>
      <c r="Q3698" s="380"/>
    </row>
    <row r="3699" spans="1:17" x14ac:dyDescent="0.2">
      <c r="A3699" s="334" t="s">
        <v>1575</v>
      </c>
      <c r="B3699" s="380"/>
      <c r="C3699" s="334" t="s">
        <v>1889</v>
      </c>
      <c r="D3699" s="377"/>
      <c r="E3699" s="377"/>
      <c r="F3699" s="416">
        <f t="shared" si="32"/>
        <v>0</v>
      </c>
      <c r="G3699" s="382"/>
      <c r="H3699" s="380"/>
      <c r="I3699" s="399"/>
      <c r="J3699" s="377"/>
      <c r="K3699" s="377"/>
      <c r="L3699" s="416">
        <f t="shared" si="33"/>
        <v>0</v>
      </c>
      <c r="M3699" s="382"/>
      <c r="N3699" s="380"/>
      <c r="O3699" s="380"/>
      <c r="P3699" s="380"/>
      <c r="Q3699" s="380"/>
    </row>
    <row r="3700" spans="1:17" x14ac:dyDescent="0.2">
      <c r="A3700" s="334" t="s">
        <v>1725</v>
      </c>
      <c r="B3700" s="380"/>
      <c r="C3700" s="334" t="s">
        <v>1890</v>
      </c>
      <c r="D3700" s="377"/>
      <c r="E3700" s="377"/>
      <c r="F3700" s="416">
        <f t="shared" si="32"/>
        <v>0</v>
      </c>
      <c r="G3700" s="382"/>
      <c r="H3700" s="380"/>
      <c r="I3700" s="399"/>
      <c r="J3700" s="377"/>
      <c r="K3700" s="377"/>
      <c r="L3700" s="416">
        <f t="shared" si="33"/>
        <v>0</v>
      </c>
      <c r="M3700" s="382"/>
      <c r="N3700" s="380"/>
      <c r="O3700" s="380"/>
      <c r="P3700" s="380"/>
      <c r="Q3700" s="380"/>
    </row>
    <row r="3701" spans="1:17" x14ac:dyDescent="0.2">
      <c r="A3701" s="384" t="s">
        <v>1737</v>
      </c>
      <c r="B3701" s="380"/>
      <c r="C3701" s="334" t="s">
        <v>1984</v>
      </c>
      <c r="D3701" s="377"/>
      <c r="E3701" s="377"/>
      <c r="F3701" s="416">
        <f t="shared" si="32"/>
        <v>0</v>
      </c>
      <c r="G3701" s="382"/>
      <c r="H3701" s="380"/>
      <c r="I3701" s="399"/>
      <c r="J3701" s="377"/>
      <c r="K3701" s="377"/>
      <c r="L3701" s="416">
        <f t="shared" si="33"/>
        <v>0</v>
      </c>
      <c r="M3701" s="382"/>
      <c r="N3701" s="380"/>
      <c r="O3701" s="380"/>
      <c r="P3701" s="380"/>
      <c r="Q3701" s="380"/>
    </row>
    <row r="3702" spans="1:17" x14ac:dyDescent="0.2">
      <c r="A3702" s="334" t="s">
        <v>1726</v>
      </c>
      <c r="B3702" s="380"/>
      <c r="C3702" s="334" t="s">
        <v>1117</v>
      </c>
      <c r="D3702" s="377"/>
      <c r="E3702" s="377"/>
      <c r="F3702" s="416">
        <f t="shared" si="32"/>
        <v>0</v>
      </c>
      <c r="G3702" s="382"/>
      <c r="H3702" s="380"/>
      <c r="I3702" s="399"/>
      <c r="J3702" s="377"/>
      <c r="K3702" s="377"/>
      <c r="L3702" s="416">
        <f t="shared" si="33"/>
        <v>0</v>
      </c>
      <c r="M3702" s="382"/>
      <c r="N3702" s="380"/>
      <c r="O3702" s="380"/>
      <c r="P3702" s="380"/>
      <c r="Q3702" s="380"/>
    </row>
    <row r="3703" spans="1:17" x14ac:dyDescent="0.2">
      <c r="A3703" s="384" t="s">
        <v>1751</v>
      </c>
      <c r="B3703" s="380"/>
      <c r="C3703" s="334" t="s">
        <v>3138</v>
      </c>
      <c r="D3703" s="377"/>
      <c r="E3703" s="377"/>
      <c r="F3703" s="416">
        <f t="shared" si="32"/>
        <v>0</v>
      </c>
      <c r="G3703" s="382"/>
      <c r="H3703" s="380"/>
      <c r="I3703" s="399"/>
      <c r="J3703" s="377"/>
      <c r="K3703" s="377"/>
      <c r="L3703" s="416">
        <f t="shared" si="33"/>
        <v>0</v>
      </c>
      <c r="M3703" s="382"/>
      <c r="N3703" s="380"/>
      <c r="O3703" s="380"/>
      <c r="P3703" s="380"/>
      <c r="Q3703" s="380"/>
    </row>
    <row r="3704" spans="1:17" x14ac:dyDescent="0.2">
      <c r="A3704" s="384" t="s">
        <v>1957</v>
      </c>
      <c r="B3704" s="380"/>
      <c r="C3704" s="334" t="s">
        <v>49</v>
      </c>
      <c r="D3704" s="377"/>
      <c r="E3704" s="377"/>
      <c r="F3704" s="416">
        <f t="shared" si="32"/>
        <v>0</v>
      </c>
      <c r="G3704" s="382"/>
      <c r="H3704" s="380"/>
      <c r="I3704" s="399"/>
      <c r="J3704" s="377"/>
      <c r="K3704" s="377"/>
      <c r="L3704" s="416">
        <f t="shared" si="33"/>
        <v>0</v>
      </c>
      <c r="M3704" s="382"/>
      <c r="N3704" s="380"/>
      <c r="O3704" s="380"/>
      <c r="P3704" s="380"/>
      <c r="Q3704" s="380"/>
    </row>
    <row r="3705" spans="1:17" x14ac:dyDescent="0.2">
      <c r="A3705" s="403" t="s">
        <v>1577</v>
      </c>
      <c r="B3705" s="380"/>
      <c r="C3705" s="334" t="s">
        <v>1815</v>
      </c>
      <c r="D3705" s="377"/>
      <c r="E3705" s="377"/>
      <c r="F3705" s="416">
        <f t="shared" si="32"/>
        <v>0</v>
      </c>
      <c r="G3705" s="382"/>
      <c r="H3705" s="380"/>
      <c r="I3705" s="399"/>
      <c r="J3705" s="377"/>
      <c r="K3705" s="377"/>
      <c r="L3705" s="416">
        <f t="shared" si="33"/>
        <v>0</v>
      </c>
      <c r="M3705" s="382"/>
      <c r="N3705" s="380"/>
      <c r="O3705" s="380"/>
      <c r="P3705" s="380"/>
      <c r="Q3705" s="380"/>
    </row>
    <row r="3706" spans="1:17" x14ac:dyDescent="0.2">
      <c r="A3706" s="334" t="s">
        <v>1734</v>
      </c>
      <c r="B3706" s="380"/>
      <c r="C3706" s="334" t="s">
        <v>1746</v>
      </c>
      <c r="D3706" s="377"/>
      <c r="E3706" s="377"/>
      <c r="F3706" s="416">
        <f t="shared" si="32"/>
        <v>0</v>
      </c>
      <c r="G3706" s="382"/>
      <c r="H3706" s="380"/>
      <c r="I3706" s="399"/>
      <c r="J3706" s="377"/>
      <c r="K3706" s="377"/>
      <c r="L3706" s="416">
        <f t="shared" si="33"/>
        <v>0</v>
      </c>
      <c r="M3706" s="382"/>
      <c r="N3706" s="380"/>
      <c r="O3706" s="380"/>
      <c r="P3706" s="380"/>
      <c r="Q3706" s="380"/>
    </row>
    <row r="3707" spans="1:17" x14ac:dyDescent="0.2">
      <c r="A3707" s="334" t="s">
        <v>1571</v>
      </c>
      <c r="B3707" s="380"/>
      <c r="C3707" s="334" t="s">
        <v>3</v>
      </c>
      <c r="D3707" s="377"/>
      <c r="E3707" s="377"/>
      <c r="F3707" s="416">
        <f t="shared" si="32"/>
        <v>0</v>
      </c>
      <c r="G3707" s="382"/>
      <c r="H3707" s="380"/>
      <c r="I3707" s="399"/>
      <c r="J3707" s="377"/>
      <c r="K3707" s="377"/>
      <c r="L3707" s="416">
        <f t="shared" si="33"/>
        <v>0</v>
      </c>
      <c r="M3707" s="382"/>
      <c r="N3707" s="380"/>
      <c r="O3707" s="380"/>
      <c r="P3707" s="380"/>
      <c r="Q3707" s="380"/>
    </row>
    <row r="3708" spans="1:17" x14ac:dyDescent="0.2">
      <c r="A3708" s="334" t="s">
        <v>1578</v>
      </c>
      <c r="B3708" s="380"/>
      <c r="C3708" s="334" t="s">
        <v>22</v>
      </c>
      <c r="D3708" s="377"/>
      <c r="E3708" s="377"/>
      <c r="F3708" s="416">
        <f t="shared" si="32"/>
        <v>0</v>
      </c>
      <c r="G3708" s="382"/>
      <c r="H3708" s="380"/>
      <c r="I3708" s="399"/>
      <c r="J3708" s="377"/>
      <c r="K3708" s="377"/>
      <c r="L3708" s="416">
        <f t="shared" si="33"/>
        <v>0</v>
      </c>
      <c r="M3708" s="382"/>
      <c r="N3708" s="380"/>
      <c r="O3708" s="380"/>
      <c r="P3708" s="380"/>
      <c r="Q3708" s="380"/>
    </row>
    <row r="3709" spans="1:17" x14ac:dyDescent="0.2">
      <c r="A3709" s="334" t="s">
        <v>1738</v>
      </c>
      <c r="B3709" s="380"/>
      <c r="C3709" s="334" t="s">
        <v>1591</v>
      </c>
      <c r="D3709" s="377"/>
      <c r="E3709" s="377"/>
      <c r="F3709" s="416">
        <f t="shared" si="32"/>
        <v>0</v>
      </c>
      <c r="G3709" s="382"/>
      <c r="H3709" s="380"/>
      <c r="I3709" s="399"/>
      <c r="J3709" s="377"/>
      <c r="K3709" s="377"/>
      <c r="L3709" s="416">
        <f t="shared" si="33"/>
        <v>0</v>
      </c>
      <c r="M3709" s="382"/>
      <c r="N3709" s="380"/>
      <c r="O3709" s="380"/>
      <c r="P3709" s="380"/>
      <c r="Q3709" s="380"/>
    </row>
    <row r="3710" spans="1:17" x14ac:dyDescent="0.2">
      <c r="A3710" s="334" t="s">
        <v>1727</v>
      </c>
      <c r="B3710" s="380"/>
      <c r="C3710" s="334" t="s">
        <v>307</v>
      </c>
      <c r="D3710" s="377"/>
      <c r="E3710" s="377"/>
      <c r="F3710" s="416">
        <f t="shared" si="32"/>
        <v>0</v>
      </c>
      <c r="G3710" s="382"/>
      <c r="H3710" s="380"/>
      <c r="I3710" s="399"/>
      <c r="J3710" s="377"/>
      <c r="K3710" s="377"/>
      <c r="L3710" s="416">
        <f t="shared" si="33"/>
        <v>0</v>
      </c>
      <c r="M3710" s="382"/>
      <c r="N3710" s="380"/>
      <c r="O3710" s="380"/>
      <c r="P3710" s="380"/>
      <c r="Q3710" s="380"/>
    </row>
    <row r="3711" spans="1:17" x14ac:dyDescent="0.2">
      <c r="A3711" s="334" t="s">
        <v>1728</v>
      </c>
      <c r="B3711" s="380"/>
      <c r="C3711" s="334" t="s">
        <v>310</v>
      </c>
      <c r="D3711" s="377"/>
      <c r="E3711" s="377"/>
      <c r="F3711" s="416">
        <f t="shared" si="32"/>
        <v>0</v>
      </c>
      <c r="G3711" s="382"/>
      <c r="H3711" s="380"/>
      <c r="I3711" s="399"/>
      <c r="J3711" s="377"/>
      <c r="K3711" s="377"/>
      <c r="L3711" s="416">
        <f t="shared" si="33"/>
        <v>0</v>
      </c>
      <c r="M3711" s="382"/>
      <c r="N3711" s="380"/>
      <c r="O3711" s="380"/>
      <c r="P3711" s="380"/>
      <c r="Q3711" s="380"/>
    </row>
    <row r="3712" spans="1:17" x14ac:dyDescent="0.2">
      <c r="A3712" s="334" t="s">
        <v>1729</v>
      </c>
      <c r="B3712" s="380"/>
      <c r="C3712" s="380" t="s">
        <v>1551</v>
      </c>
      <c r="D3712" s="377"/>
      <c r="E3712" s="377"/>
      <c r="F3712" s="416">
        <f t="shared" si="32"/>
        <v>0</v>
      </c>
      <c r="G3712" s="382"/>
      <c r="H3712" s="380"/>
      <c r="I3712" s="399"/>
      <c r="J3712" s="377"/>
      <c r="K3712" s="377"/>
      <c r="L3712" s="416">
        <f t="shared" si="33"/>
        <v>0</v>
      </c>
      <c r="M3712" s="382"/>
      <c r="N3712" s="380"/>
      <c r="O3712" s="380"/>
      <c r="P3712" s="380"/>
      <c r="Q3712" s="380"/>
    </row>
    <row r="3713" spans="1:17" x14ac:dyDescent="0.2">
      <c r="A3713" s="334" t="s">
        <v>1735</v>
      </c>
      <c r="B3713" s="380"/>
      <c r="C3713" s="380" t="s">
        <v>194</v>
      </c>
      <c r="D3713" s="377"/>
      <c r="E3713" s="377"/>
      <c r="F3713" s="416">
        <f t="shared" si="32"/>
        <v>0</v>
      </c>
      <c r="G3713" s="382"/>
      <c r="H3713" s="380"/>
      <c r="I3713" s="399"/>
      <c r="J3713" s="377"/>
      <c r="K3713" s="377"/>
      <c r="L3713" s="416">
        <f t="shared" si="33"/>
        <v>0</v>
      </c>
      <c r="M3713" s="382"/>
      <c r="N3713" s="380"/>
      <c r="O3713" s="380"/>
      <c r="P3713" s="380"/>
      <c r="Q3713" s="380"/>
    </row>
    <row r="3714" spans="1:17" x14ac:dyDescent="0.2">
      <c r="A3714" s="334" t="s">
        <v>1742</v>
      </c>
      <c r="B3714" s="380"/>
      <c r="C3714" s="334" t="s">
        <v>1553</v>
      </c>
      <c r="D3714" s="377"/>
      <c r="E3714" s="377"/>
      <c r="F3714" s="416">
        <f t="shared" si="32"/>
        <v>0</v>
      </c>
      <c r="G3714" s="382"/>
      <c r="H3714" s="380"/>
      <c r="I3714" s="399"/>
      <c r="J3714" s="377"/>
      <c r="K3714" s="377"/>
      <c r="L3714" s="416">
        <f t="shared" si="33"/>
        <v>0</v>
      </c>
      <c r="M3714" s="382"/>
      <c r="N3714" s="380"/>
      <c r="O3714" s="380"/>
      <c r="P3714" s="380"/>
      <c r="Q3714" s="380"/>
    </row>
    <row r="3715" spans="1:17" x14ac:dyDescent="0.2">
      <c r="A3715" s="334" t="s">
        <v>1584</v>
      </c>
      <c r="B3715" s="380"/>
      <c r="C3715" s="334" t="s">
        <v>0</v>
      </c>
      <c r="D3715" s="377"/>
      <c r="E3715" s="377"/>
      <c r="F3715" s="416">
        <f t="shared" si="32"/>
        <v>0</v>
      </c>
      <c r="G3715" s="382"/>
      <c r="H3715" s="380"/>
      <c r="I3715" s="399"/>
      <c r="J3715" s="377"/>
      <c r="K3715" s="377"/>
      <c r="L3715" s="416">
        <f t="shared" si="33"/>
        <v>0</v>
      </c>
      <c r="M3715" s="382"/>
      <c r="N3715" s="380"/>
      <c r="O3715" s="380"/>
      <c r="P3715" s="380"/>
      <c r="Q3715" s="380"/>
    </row>
    <row r="3716" spans="1:17" x14ac:dyDescent="0.2">
      <c r="A3716" s="391" t="s">
        <v>1572</v>
      </c>
      <c r="B3716" s="380"/>
      <c r="C3716" s="334" t="s">
        <v>3134</v>
      </c>
      <c r="D3716" s="377"/>
      <c r="E3716" s="377"/>
      <c r="F3716" s="416">
        <f t="shared" si="32"/>
        <v>0</v>
      </c>
      <c r="G3716" s="382"/>
      <c r="H3716" s="380"/>
      <c r="I3716" s="399"/>
      <c r="J3716" s="377"/>
      <c r="K3716" s="377"/>
      <c r="L3716" s="416">
        <f t="shared" si="33"/>
        <v>0</v>
      </c>
      <c r="M3716" s="382"/>
      <c r="N3716" s="380"/>
      <c r="O3716" s="380"/>
      <c r="P3716" s="380"/>
      <c r="Q3716" s="380"/>
    </row>
    <row r="3717" spans="1:17" x14ac:dyDescent="0.2">
      <c r="A3717" s="384" t="s">
        <v>1730</v>
      </c>
      <c r="B3717" s="380"/>
      <c r="C3717" s="334" t="s">
        <v>1985</v>
      </c>
      <c r="D3717" s="377"/>
      <c r="E3717" s="377"/>
      <c r="F3717" s="416">
        <f t="shared" si="32"/>
        <v>0</v>
      </c>
      <c r="G3717" s="382"/>
      <c r="H3717" s="380"/>
      <c r="I3717" s="399"/>
      <c r="J3717" s="377"/>
      <c r="K3717" s="377"/>
      <c r="L3717" s="416">
        <f t="shared" si="33"/>
        <v>0</v>
      </c>
      <c r="M3717" s="382"/>
      <c r="N3717" s="380"/>
      <c r="O3717" s="380"/>
      <c r="P3717" s="380"/>
      <c r="Q3717" s="380"/>
    </row>
    <row r="3718" spans="1:17" x14ac:dyDescent="0.2">
      <c r="A3718" s="334" t="s">
        <v>1566</v>
      </c>
      <c r="B3718" s="380"/>
      <c r="C3718" s="334" t="s">
        <v>366</v>
      </c>
      <c r="D3718" s="377"/>
      <c r="E3718" s="377"/>
      <c r="F3718" s="416">
        <f t="shared" si="32"/>
        <v>0</v>
      </c>
      <c r="G3718" s="382"/>
      <c r="H3718" s="380"/>
      <c r="I3718" s="399"/>
      <c r="J3718" s="377"/>
      <c r="K3718" s="377"/>
      <c r="L3718" s="416">
        <f t="shared" si="33"/>
        <v>0</v>
      </c>
      <c r="M3718" s="382"/>
      <c r="N3718" s="380"/>
      <c r="O3718" s="380"/>
      <c r="P3718" s="380"/>
      <c r="Q3718" s="380"/>
    </row>
    <row r="3719" spans="1:17" x14ac:dyDescent="0.2">
      <c r="A3719" s="334" t="s">
        <v>1755</v>
      </c>
      <c r="B3719" s="380"/>
      <c r="C3719" s="380" t="s">
        <v>1986</v>
      </c>
      <c r="D3719" s="377"/>
      <c r="E3719" s="377"/>
      <c r="F3719" s="416">
        <f t="shared" si="32"/>
        <v>0</v>
      </c>
      <c r="G3719" s="382"/>
      <c r="H3719" s="380"/>
      <c r="I3719" s="399"/>
      <c r="J3719" s="377"/>
      <c r="K3719" s="377"/>
      <c r="L3719" s="416">
        <f t="shared" si="33"/>
        <v>0</v>
      </c>
      <c r="M3719" s="382"/>
      <c r="N3719" s="380"/>
      <c r="O3719" s="380"/>
      <c r="P3719" s="380"/>
      <c r="Q3719" s="380"/>
    </row>
    <row r="3720" spans="1:17" x14ac:dyDescent="0.2">
      <c r="A3720" s="334" t="s">
        <v>1567</v>
      </c>
      <c r="B3720" s="380"/>
      <c r="C3720" s="334" t="s">
        <v>3142</v>
      </c>
      <c r="D3720" s="377"/>
      <c r="E3720" s="423"/>
      <c r="F3720" s="422"/>
      <c r="G3720" s="382"/>
      <c r="H3720" s="380"/>
      <c r="I3720" s="399"/>
      <c r="J3720" s="377"/>
      <c r="K3720" s="423"/>
      <c r="L3720" s="422"/>
      <c r="M3720" s="382"/>
      <c r="N3720" s="380"/>
      <c r="O3720" s="380"/>
      <c r="P3720" s="380"/>
      <c r="Q3720" s="380"/>
    </row>
    <row r="3721" spans="1:17" x14ac:dyDescent="0.2">
      <c r="A3721" s="380"/>
      <c r="B3721" s="380"/>
      <c r="C3721" s="380"/>
      <c r="D3721" s="410" t="s">
        <v>342</v>
      </c>
      <c r="E3721" s="380"/>
      <c r="F3721" s="378"/>
      <c r="G3721" s="380"/>
      <c r="H3721" s="380"/>
      <c r="I3721" s="385"/>
      <c r="J3721" s="410" t="s">
        <v>342</v>
      </c>
      <c r="K3721" s="380"/>
      <c r="L3721" s="378"/>
      <c r="M3721" s="380"/>
      <c r="N3721" s="380"/>
      <c r="O3721" s="380"/>
      <c r="P3721" s="380"/>
      <c r="Q3721" s="380"/>
    </row>
    <row r="3722" spans="1:17" ht="15.75" thickBot="1" x14ac:dyDescent="0.25">
      <c r="A3722" s="380"/>
      <c r="B3722" s="380"/>
      <c r="C3722" s="380"/>
      <c r="D3722" s="334">
        <f>SUM(D3694:D3720)</f>
        <v>0</v>
      </c>
      <c r="E3722" s="411">
        <f>SUM(E3694:E3720)</f>
        <v>0</v>
      </c>
      <c r="F3722" s="414">
        <f>SUM(F3694:F3720)</f>
        <v>0</v>
      </c>
      <c r="G3722" s="385"/>
      <c r="H3722" s="380"/>
      <c r="I3722" s="385"/>
      <c r="J3722" s="334">
        <f>SUM(J3694:J3720)</f>
        <v>0</v>
      </c>
      <c r="K3722" s="411">
        <f>SUM(K3694:K3720)</f>
        <v>0</v>
      </c>
      <c r="L3722" s="414">
        <f>SUM(L3694:L3720)</f>
        <v>0</v>
      </c>
      <c r="M3722" s="385"/>
      <c r="N3722" s="380"/>
      <c r="O3722" s="380"/>
      <c r="P3722" s="380"/>
      <c r="Q3722" s="380"/>
    </row>
    <row r="3723" spans="1:17" ht="15.75" thickTop="1" x14ac:dyDescent="0.2">
      <c r="A3723" s="380"/>
      <c r="B3723" s="380"/>
      <c r="C3723" s="380"/>
      <c r="D3723" s="395"/>
      <c r="E3723" s="380"/>
      <c r="F3723" s="378"/>
      <c r="G3723" s="380"/>
      <c r="H3723" s="380"/>
      <c r="I3723" s="399"/>
      <c r="J3723" s="395"/>
      <c r="K3723" s="380"/>
      <c r="L3723" s="378"/>
      <c r="M3723" s="380"/>
      <c r="N3723" s="380"/>
      <c r="O3723" s="380"/>
      <c r="P3723" s="380"/>
      <c r="Q3723" s="380"/>
    </row>
    <row r="3724" spans="1:17" x14ac:dyDescent="0.2">
      <c r="A3724" s="380"/>
      <c r="B3724" s="380"/>
      <c r="C3724" s="380"/>
      <c r="D3724" s="380"/>
      <c r="E3724" s="380"/>
      <c r="F3724" s="378"/>
      <c r="G3724" s="380"/>
      <c r="H3724" s="380"/>
      <c r="I3724" s="382"/>
      <c r="J3724" s="380"/>
      <c r="K3724" s="380"/>
      <c r="L3724" s="378"/>
      <c r="M3724" s="380"/>
      <c r="N3724" s="380"/>
      <c r="O3724" s="380"/>
      <c r="P3724" s="380"/>
      <c r="Q3724" s="380"/>
    </row>
    <row r="3725" spans="1:17" x14ac:dyDescent="0.2">
      <c r="A3725" s="334" t="s">
        <v>1832</v>
      </c>
      <c r="B3725" s="377"/>
      <c r="C3725" s="377"/>
      <c r="D3725" s="334" t="s">
        <v>1132</v>
      </c>
      <c r="E3725" s="334" t="s">
        <v>1133</v>
      </c>
      <c r="F3725" s="378"/>
      <c r="G3725" s="377"/>
      <c r="H3725" s="377"/>
      <c r="I3725" s="385"/>
      <c r="J3725" s="334" t="s">
        <v>1132</v>
      </c>
      <c r="K3725" s="334" t="s">
        <v>1133</v>
      </c>
      <c r="L3725" s="378"/>
      <c r="M3725" s="377"/>
      <c r="N3725" s="377"/>
      <c r="O3725" s="380"/>
      <c r="P3725" s="380"/>
      <c r="Q3725" s="380"/>
    </row>
    <row r="3726" spans="1:17" x14ac:dyDescent="0.2">
      <c r="A3726" s="334" t="s">
        <v>342</v>
      </c>
      <c r="B3726" s="380"/>
      <c r="C3726" s="384" t="s">
        <v>2166</v>
      </c>
      <c r="D3726" s="380"/>
      <c r="E3726" s="380"/>
      <c r="F3726" s="378"/>
      <c r="G3726" s="380"/>
      <c r="H3726" s="380"/>
      <c r="I3726" s="382"/>
      <c r="J3726" s="380"/>
      <c r="K3726" s="380"/>
      <c r="L3726" s="378"/>
      <c r="M3726" s="380"/>
      <c r="N3726" s="380"/>
      <c r="O3726" s="380"/>
      <c r="P3726" s="380"/>
      <c r="Q3726" s="380"/>
    </row>
    <row r="3727" spans="1:17" x14ac:dyDescent="0.2">
      <c r="A3727" s="334" t="s">
        <v>342</v>
      </c>
      <c r="B3727" s="380"/>
      <c r="C3727" s="334" t="s">
        <v>342</v>
      </c>
      <c r="D3727" s="334" t="s">
        <v>109</v>
      </c>
      <c r="E3727" s="418" t="s">
        <v>764</v>
      </c>
      <c r="F3727" s="412" t="s">
        <v>343</v>
      </c>
      <c r="G3727" s="334"/>
      <c r="H3727" s="380"/>
      <c r="I3727" s="385"/>
      <c r="J3727" s="334" t="s">
        <v>109</v>
      </c>
      <c r="K3727" s="418" t="s">
        <v>764</v>
      </c>
      <c r="L3727" s="412" t="s">
        <v>343</v>
      </c>
      <c r="M3727" s="334"/>
      <c r="N3727" s="380"/>
      <c r="O3727" s="380"/>
      <c r="P3727" s="380"/>
      <c r="Q3727" s="380"/>
    </row>
    <row r="3728" spans="1:17" x14ac:dyDescent="0.2">
      <c r="A3728" s="334" t="s">
        <v>1723</v>
      </c>
      <c r="B3728" s="380"/>
      <c r="C3728" s="334" t="s">
        <v>1880</v>
      </c>
      <c r="D3728" s="334" t="s">
        <v>181</v>
      </c>
      <c r="E3728" s="380"/>
      <c r="F3728" s="378"/>
      <c r="G3728" s="380"/>
      <c r="H3728" s="380"/>
      <c r="I3728" s="385"/>
      <c r="J3728" s="334" t="s">
        <v>181</v>
      </c>
      <c r="K3728" s="380"/>
      <c r="L3728" s="378"/>
      <c r="M3728" s="380"/>
      <c r="N3728" s="380"/>
      <c r="O3728" s="380"/>
      <c r="P3728" s="380"/>
      <c r="Q3728" s="380"/>
    </row>
    <row r="3729" spans="1:17" x14ac:dyDescent="0.2">
      <c r="A3729" s="380"/>
      <c r="B3729" s="380"/>
      <c r="C3729" s="380"/>
      <c r="D3729" s="380"/>
      <c r="E3729" s="380"/>
      <c r="F3729" s="378"/>
      <c r="G3729" s="380"/>
      <c r="H3729" s="380"/>
      <c r="I3729" s="382"/>
      <c r="J3729" s="380"/>
      <c r="K3729" s="380"/>
      <c r="L3729" s="378"/>
      <c r="M3729" s="380"/>
      <c r="N3729" s="380"/>
      <c r="O3729" s="380"/>
      <c r="P3729" s="380"/>
      <c r="Q3729" s="380"/>
    </row>
    <row r="3730" spans="1:17" x14ac:dyDescent="0.2">
      <c r="A3730" s="334" t="s">
        <v>1724</v>
      </c>
      <c r="B3730" s="380"/>
      <c r="C3730" s="334" t="s">
        <v>1881</v>
      </c>
      <c r="D3730" s="378">
        <v>550</v>
      </c>
      <c r="E3730" s="377"/>
      <c r="F3730" s="378">
        <f>SUM(D3730:E3730)</f>
        <v>550</v>
      </c>
      <c r="G3730" s="377"/>
      <c r="H3730" s="380"/>
      <c r="I3730" s="399"/>
      <c r="J3730" s="378">
        <v>550</v>
      </c>
      <c r="K3730" s="377"/>
      <c r="L3730" s="378">
        <v>550</v>
      </c>
      <c r="M3730" s="377"/>
      <c r="N3730" s="380"/>
      <c r="O3730" s="380"/>
      <c r="P3730" s="380"/>
      <c r="Q3730" s="380"/>
    </row>
    <row r="3731" spans="1:17" x14ac:dyDescent="0.2">
      <c r="A3731" s="334" t="s">
        <v>1736</v>
      </c>
      <c r="B3731" s="380"/>
      <c r="C3731" s="334" t="s">
        <v>1747</v>
      </c>
      <c r="D3731" s="378">
        <v>100</v>
      </c>
      <c r="E3731" s="377"/>
      <c r="F3731" s="378">
        <f t="shared" ref="F3731:F3750" si="34">SUM(D3731:E3731)</f>
        <v>100</v>
      </c>
      <c r="G3731" s="377"/>
      <c r="H3731" s="380"/>
      <c r="I3731" s="399"/>
      <c r="J3731" s="378">
        <f t="shared" ref="J3731:L3731" si="35">H3731+I3731</f>
        <v>0</v>
      </c>
      <c r="K3731" s="377"/>
      <c r="L3731" s="378">
        <f t="shared" si="35"/>
        <v>0</v>
      </c>
      <c r="M3731" s="377"/>
      <c r="N3731" s="380"/>
      <c r="O3731" s="380"/>
      <c r="P3731" s="380"/>
      <c r="Q3731" s="380"/>
    </row>
    <row r="3732" spans="1:17" x14ac:dyDescent="0.2">
      <c r="A3732" s="334" t="s">
        <v>1744</v>
      </c>
      <c r="B3732" s="380"/>
      <c r="C3732" s="334" t="s">
        <v>1254</v>
      </c>
      <c r="D3732" s="378">
        <v>700</v>
      </c>
      <c r="E3732" s="377"/>
      <c r="F3732" s="378">
        <f t="shared" si="34"/>
        <v>700</v>
      </c>
      <c r="G3732" s="377"/>
      <c r="H3732" s="380"/>
      <c r="I3732" s="399"/>
      <c r="J3732" s="378"/>
      <c r="K3732" s="377"/>
      <c r="L3732" s="378"/>
      <c r="M3732" s="377"/>
      <c r="N3732" s="380"/>
      <c r="O3732" s="380"/>
      <c r="P3732" s="380"/>
      <c r="Q3732" s="380"/>
    </row>
    <row r="3733" spans="1:17" x14ac:dyDescent="0.2">
      <c r="A3733" s="334" t="s">
        <v>1582</v>
      </c>
      <c r="B3733" s="380"/>
      <c r="C3733" s="334" t="s">
        <v>3135</v>
      </c>
      <c r="D3733" s="378">
        <v>500</v>
      </c>
      <c r="E3733" s="377"/>
      <c r="F3733" s="378">
        <f t="shared" si="34"/>
        <v>500</v>
      </c>
      <c r="G3733" s="377"/>
      <c r="H3733" s="380"/>
      <c r="I3733" s="399"/>
      <c r="J3733" s="378"/>
      <c r="K3733" s="377"/>
      <c r="L3733" s="378"/>
      <c r="M3733" s="377"/>
      <c r="N3733" s="380"/>
      <c r="O3733" s="380"/>
      <c r="P3733" s="380"/>
      <c r="Q3733" s="380"/>
    </row>
    <row r="3734" spans="1:17" x14ac:dyDescent="0.2">
      <c r="A3734" s="334" t="s">
        <v>1725</v>
      </c>
      <c r="B3734" s="380"/>
      <c r="C3734" s="334" t="s">
        <v>1890</v>
      </c>
      <c r="D3734" s="378">
        <v>350</v>
      </c>
      <c r="E3734" s="377"/>
      <c r="F3734" s="378">
        <f t="shared" si="34"/>
        <v>350</v>
      </c>
      <c r="G3734" s="377"/>
      <c r="H3734" s="380"/>
      <c r="I3734" s="399"/>
      <c r="J3734" s="378">
        <v>275</v>
      </c>
      <c r="K3734" s="377"/>
      <c r="L3734" s="378">
        <v>275</v>
      </c>
      <c r="M3734" s="377"/>
      <c r="N3734" s="380"/>
      <c r="O3734" s="380"/>
      <c r="P3734" s="380"/>
      <c r="Q3734" s="380"/>
    </row>
    <row r="3735" spans="1:17" x14ac:dyDescent="0.2">
      <c r="A3735" s="384" t="s">
        <v>1576</v>
      </c>
      <c r="B3735" s="380"/>
      <c r="C3735" s="334" t="s">
        <v>1590</v>
      </c>
      <c r="D3735" s="378">
        <v>90</v>
      </c>
      <c r="E3735" s="377"/>
      <c r="F3735" s="378">
        <f t="shared" si="34"/>
        <v>90</v>
      </c>
      <c r="G3735" s="377"/>
      <c r="H3735" s="380"/>
      <c r="I3735" s="399"/>
      <c r="J3735" s="378"/>
      <c r="K3735" s="377"/>
      <c r="L3735" s="378"/>
      <c r="M3735" s="377"/>
      <c r="N3735" s="380"/>
      <c r="O3735" s="380"/>
      <c r="P3735" s="380"/>
      <c r="Q3735" s="380"/>
    </row>
    <row r="3736" spans="1:17" x14ac:dyDescent="0.2">
      <c r="A3736" s="334" t="s">
        <v>1737</v>
      </c>
      <c r="B3736" s="380"/>
      <c r="C3736" s="334" t="s">
        <v>1984</v>
      </c>
      <c r="D3736" s="378">
        <v>50</v>
      </c>
      <c r="E3736" s="377"/>
      <c r="F3736" s="378">
        <f t="shared" si="34"/>
        <v>50</v>
      </c>
      <c r="G3736" s="377"/>
      <c r="H3736" s="380"/>
      <c r="I3736" s="399"/>
      <c r="J3736" s="378">
        <v>50</v>
      </c>
      <c r="K3736" s="377"/>
      <c r="L3736" s="378">
        <v>50</v>
      </c>
      <c r="M3736" s="377"/>
      <c r="N3736" s="380"/>
      <c r="O3736" s="380"/>
      <c r="P3736" s="380"/>
      <c r="Q3736" s="380"/>
    </row>
    <row r="3737" spans="1:17" x14ac:dyDescent="0.2">
      <c r="A3737" s="334" t="s">
        <v>1726</v>
      </c>
      <c r="B3737" s="380"/>
      <c r="C3737" s="334" t="s">
        <v>1117</v>
      </c>
      <c r="D3737" s="378">
        <v>875</v>
      </c>
      <c r="E3737" s="377"/>
      <c r="F3737" s="378">
        <f t="shared" si="34"/>
        <v>875</v>
      </c>
      <c r="G3737" s="377"/>
      <c r="H3737" s="380"/>
      <c r="I3737" s="399"/>
      <c r="J3737" s="378">
        <v>700</v>
      </c>
      <c r="K3737" s="377"/>
      <c r="L3737" s="378">
        <v>700</v>
      </c>
      <c r="M3737" s="377"/>
      <c r="N3737" s="380"/>
      <c r="O3737" s="380"/>
      <c r="P3737" s="380"/>
      <c r="Q3737" s="380"/>
    </row>
    <row r="3738" spans="1:17" x14ac:dyDescent="0.2">
      <c r="A3738" s="403" t="s">
        <v>1577</v>
      </c>
      <c r="B3738" s="380"/>
      <c r="C3738" s="334" t="s">
        <v>1815</v>
      </c>
      <c r="D3738" s="378"/>
      <c r="E3738" s="377"/>
      <c r="F3738" s="378">
        <f t="shared" si="34"/>
        <v>0</v>
      </c>
      <c r="G3738" s="377"/>
      <c r="H3738" s="380"/>
      <c r="I3738" s="399"/>
      <c r="J3738" s="378">
        <v>600</v>
      </c>
      <c r="K3738" s="377"/>
      <c r="L3738" s="378">
        <v>600</v>
      </c>
      <c r="M3738" s="377"/>
      <c r="N3738" s="380"/>
      <c r="O3738" s="380"/>
      <c r="P3738" s="380"/>
      <c r="Q3738" s="380"/>
    </row>
    <row r="3739" spans="1:17" x14ac:dyDescent="0.2">
      <c r="A3739" s="334" t="s">
        <v>1753</v>
      </c>
      <c r="B3739" s="380"/>
      <c r="C3739" s="334" t="s">
        <v>1816</v>
      </c>
      <c r="D3739" s="378"/>
      <c r="E3739" s="377"/>
      <c r="F3739" s="378">
        <f t="shared" si="34"/>
        <v>0</v>
      </c>
      <c r="G3739" s="377"/>
      <c r="H3739" s="380"/>
      <c r="I3739" s="399"/>
      <c r="J3739" s="378"/>
      <c r="K3739" s="377"/>
      <c r="L3739" s="378"/>
      <c r="M3739" s="377"/>
      <c r="N3739" s="380"/>
      <c r="O3739" s="380"/>
      <c r="P3739" s="380"/>
      <c r="Q3739" s="380"/>
    </row>
    <row r="3740" spans="1:17" x14ac:dyDescent="0.2">
      <c r="A3740" s="334" t="s">
        <v>1734</v>
      </c>
      <c r="B3740" s="380"/>
      <c r="C3740" s="334" t="s">
        <v>1746</v>
      </c>
      <c r="D3740" s="378">
        <v>300</v>
      </c>
      <c r="E3740" s="377"/>
      <c r="F3740" s="378">
        <f t="shared" si="34"/>
        <v>300</v>
      </c>
      <c r="G3740" s="377"/>
      <c r="H3740" s="380"/>
      <c r="I3740" s="399"/>
      <c r="J3740" s="378">
        <v>100</v>
      </c>
      <c r="K3740" s="377"/>
      <c r="L3740" s="378">
        <v>100</v>
      </c>
      <c r="M3740" s="377"/>
      <c r="N3740" s="380"/>
      <c r="O3740" s="380"/>
      <c r="P3740" s="380"/>
      <c r="Q3740" s="380"/>
    </row>
    <row r="3741" spans="1:17" x14ac:dyDescent="0.2">
      <c r="A3741" s="334" t="s">
        <v>1571</v>
      </c>
      <c r="B3741" s="380"/>
      <c r="C3741" s="334" t="s">
        <v>3</v>
      </c>
      <c r="D3741" s="378">
        <v>100</v>
      </c>
      <c r="E3741" s="377"/>
      <c r="F3741" s="378">
        <f t="shared" si="34"/>
        <v>100</v>
      </c>
      <c r="G3741" s="377"/>
      <c r="H3741" s="380"/>
      <c r="I3741" s="399"/>
      <c r="J3741" s="378">
        <v>100</v>
      </c>
      <c r="K3741" s="377"/>
      <c r="L3741" s="378">
        <v>100</v>
      </c>
      <c r="M3741" s="377"/>
      <c r="N3741" s="380"/>
      <c r="O3741" s="380"/>
      <c r="P3741" s="380"/>
      <c r="Q3741" s="380"/>
    </row>
    <row r="3742" spans="1:17" x14ac:dyDescent="0.2">
      <c r="A3742" s="334" t="s">
        <v>1578</v>
      </c>
      <c r="B3742" s="380"/>
      <c r="C3742" s="334" t="s">
        <v>22</v>
      </c>
      <c r="D3742" s="378"/>
      <c r="E3742" s="377"/>
      <c r="F3742" s="378">
        <f t="shared" si="34"/>
        <v>0</v>
      </c>
      <c r="G3742" s="377"/>
      <c r="H3742" s="380"/>
      <c r="I3742" s="399"/>
      <c r="J3742" s="378"/>
      <c r="K3742" s="377"/>
      <c r="L3742" s="378"/>
      <c r="M3742" s="377"/>
      <c r="N3742" s="380"/>
      <c r="O3742" s="380"/>
      <c r="P3742" s="380"/>
      <c r="Q3742" s="380"/>
    </row>
    <row r="3743" spans="1:17" x14ac:dyDescent="0.2">
      <c r="A3743" s="334" t="s">
        <v>1738</v>
      </c>
      <c r="B3743" s="380"/>
      <c r="C3743" s="334" t="s">
        <v>1591</v>
      </c>
      <c r="D3743" s="378">
        <v>600</v>
      </c>
      <c r="E3743" s="377"/>
      <c r="F3743" s="378">
        <f t="shared" si="34"/>
        <v>600</v>
      </c>
      <c r="G3743" s="377"/>
      <c r="H3743" s="380"/>
      <c r="I3743" s="399"/>
      <c r="J3743" s="378">
        <v>325</v>
      </c>
      <c r="K3743" s="377"/>
      <c r="L3743" s="378">
        <v>325</v>
      </c>
      <c r="M3743" s="377"/>
      <c r="N3743" s="380"/>
      <c r="O3743" s="380"/>
      <c r="P3743" s="380"/>
      <c r="Q3743" s="380"/>
    </row>
    <row r="3744" spans="1:17" x14ac:dyDescent="0.2">
      <c r="A3744" s="334" t="s">
        <v>1727</v>
      </c>
      <c r="B3744" s="380"/>
      <c r="C3744" s="334" t="s">
        <v>307</v>
      </c>
      <c r="D3744" s="378">
        <v>700</v>
      </c>
      <c r="E3744" s="377"/>
      <c r="F3744" s="378">
        <f t="shared" si="34"/>
        <v>700</v>
      </c>
      <c r="G3744" s="377"/>
      <c r="H3744" s="380"/>
      <c r="I3744" s="399"/>
      <c r="J3744" s="378">
        <v>250</v>
      </c>
      <c r="K3744" s="377"/>
      <c r="L3744" s="378">
        <v>250</v>
      </c>
      <c r="M3744" s="377"/>
      <c r="N3744" s="380"/>
      <c r="O3744" s="380"/>
      <c r="P3744" s="380"/>
      <c r="Q3744" s="380"/>
    </row>
    <row r="3745" spans="1:17" x14ac:dyDescent="0.2">
      <c r="A3745" s="334" t="s">
        <v>1728</v>
      </c>
      <c r="B3745" s="380"/>
      <c r="C3745" s="334" t="s">
        <v>310</v>
      </c>
      <c r="D3745" s="378">
        <v>400</v>
      </c>
      <c r="E3745" s="377"/>
      <c r="F3745" s="378">
        <f t="shared" si="34"/>
        <v>400</v>
      </c>
      <c r="G3745" s="377"/>
      <c r="H3745" s="380"/>
      <c r="I3745" s="399"/>
      <c r="J3745" s="378">
        <v>600</v>
      </c>
      <c r="K3745" s="377"/>
      <c r="L3745" s="378">
        <v>600</v>
      </c>
      <c r="M3745" s="377"/>
      <c r="N3745" s="380"/>
      <c r="O3745" s="380"/>
      <c r="P3745" s="380"/>
      <c r="Q3745" s="380"/>
    </row>
    <row r="3746" spans="1:17" x14ac:dyDescent="0.2">
      <c r="A3746" s="334" t="s">
        <v>1729</v>
      </c>
      <c r="B3746" s="380"/>
      <c r="C3746" s="380" t="s">
        <v>1551</v>
      </c>
      <c r="D3746" s="378">
        <f>-1983-1500</f>
        <v>-3483</v>
      </c>
      <c r="E3746" s="377"/>
      <c r="F3746" s="378">
        <f t="shared" si="34"/>
        <v>-3483</v>
      </c>
      <c r="G3746" s="377"/>
      <c r="H3746" s="380"/>
      <c r="I3746" s="399"/>
      <c r="J3746" s="378">
        <v>85</v>
      </c>
      <c r="K3746" s="377"/>
      <c r="L3746" s="378">
        <v>85</v>
      </c>
      <c r="M3746" s="377"/>
      <c r="N3746" s="380"/>
      <c r="O3746" s="380"/>
      <c r="P3746" s="380"/>
      <c r="Q3746" s="380"/>
    </row>
    <row r="3747" spans="1:17" x14ac:dyDescent="0.2">
      <c r="A3747" s="334" t="s">
        <v>1735</v>
      </c>
      <c r="B3747" s="380"/>
      <c r="C3747" s="380" t="s">
        <v>194</v>
      </c>
      <c r="D3747" s="378"/>
      <c r="E3747" s="377"/>
      <c r="F3747" s="378">
        <f t="shared" si="34"/>
        <v>0</v>
      </c>
      <c r="G3747" s="377"/>
      <c r="H3747" s="380"/>
      <c r="I3747" s="399"/>
      <c r="J3747" s="378">
        <v>75</v>
      </c>
      <c r="K3747" s="377"/>
      <c r="L3747" s="378">
        <v>75</v>
      </c>
      <c r="M3747" s="377"/>
      <c r="N3747" s="380"/>
      <c r="O3747" s="380"/>
      <c r="P3747" s="380"/>
      <c r="Q3747" s="380"/>
    </row>
    <row r="3748" spans="1:17" x14ac:dyDescent="0.2">
      <c r="A3748" s="334" t="s">
        <v>1572</v>
      </c>
      <c r="B3748" s="380"/>
      <c r="C3748" s="334" t="s">
        <v>3134</v>
      </c>
      <c r="D3748" s="378">
        <v>200</v>
      </c>
      <c r="E3748" s="377"/>
      <c r="F3748" s="378">
        <f t="shared" si="34"/>
        <v>200</v>
      </c>
      <c r="G3748" s="377"/>
      <c r="H3748" s="380"/>
      <c r="I3748" s="399"/>
      <c r="J3748" s="378"/>
      <c r="K3748" s="377"/>
      <c r="L3748" s="378"/>
      <c r="M3748" s="377"/>
      <c r="N3748" s="380"/>
      <c r="O3748" s="380"/>
      <c r="P3748" s="380"/>
      <c r="Q3748" s="380"/>
    </row>
    <row r="3749" spans="1:17" x14ac:dyDescent="0.2">
      <c r="A3749" s="334" t="s">
        <v>1730</v>
      </c>
      <c r="B3749" s="380"/>
      <c r="C3749" s="334" t="s">
        <v>1985</v>
      </c>
      <c r="D3749" s="378">
        <v>4000</v>
      </c>
      <c r="E3749" s="377"/>
      <c r="F3749" s="378">
        <f t="shared" si="34"/>
        <v>4000</v>
      </c>
      <c r="G3749" s="377"/>
      <c r="H3749" s="380"/>
      <c r="I3749" s="399"/>
      <c r="J3749" s="378">
        <v>4000</v>
      </c>
      <c r="K3749" s="377"/>
      <c r="L3749" s="378">
        <v>4000</v>
      </c>
      <c r="M3749" s="377"/>
      <c r="N3749" s="380"/>
      <c r="O3749" s="380"/>
      <c r="P3749" s="380"/>
      <c r="Q3749" s="380"/>
    </row>
    <row r="3750" spans="1:17" x14ac:dyDescent="0.2">
      <c r="A3750" s="334" t="s">
        <v>1566</v>
      </c>
      <c r="B3750" s="380"/>
      <c r="C3750" s="334" t="s">
        <v>366</v>
      </c>
      <c r="D3750" s="378">
        <v>400</v>
      </c>
      <c r="E3750" s="377"/>
      <c r="F3750" s="378">
        <f t="shared" si="34"/>
        <v>400</v>
      </c>
      <c r="G3750" s="377"/>
      <c r="H3750" s="380"/>
      <c r="I3750" s="399"/>
      <c r="J3750" s="378">
        <v>300</v>
      </c>
      <c r="K3750" s="377"/>
      <c r="L3750" s="378">
        <v>300</v>
      </c>
      <c r="M3750" s="377"/>
      <c r="N3750" s="380"/>
      <c r="O3750" s="380"/>
      <c r="P3750" s="380"/>
      <c r="Q3750" s="380"/>
    </row>
    <row r="3751" spans="1:17" x14ac:dyDescent="0.2">
      <c r="A3751" s="403" t="s">
        <v>1962</v>
      </c>
      <c r="B3751" s="380"/>
      <c r="C3751" s="380" t="s">
        <v>572</v>
      </c>
      <c r="D3751" s="377"/>
      <c r="E3751" s="377"/>
      <c r="F3751" s="412"/>
      <c r="G3751" s="334"/>
      <c r="H3751" s="380"/>
      <c r="I3751" s="399"/>
      <c r="J3751" s="377"/>
      <c r="K3751" s="377"/>
      <c r="L3751" s="412"/>
      <c r="M3751" s="334"/>
      <c r="N3751" s="380"/>
      <c r="O3751" s="380"/>
      <c r="P3751" s="380"/>
      <c r="Q3751" s="380"/>
    </row>
    <row r="3752" spans="1:17" x14ac:dyDescent="0.2">
      <c r="A3752" s="380"/>
      <c r="B3752" s="380"/>
      <c r="C3752" s="380"/>
      <c r="D3752" s="410" t="s">
        <v>342</v>
      </c>
      <c r="E3752" s="410" t="s">
        <v>342</v>
      </c>
      <c r="F3752" s="445" t="s">
        <v>342</v>
      </c>
      <c r="G3752" s="385"/>
      <c r="H3752" s="380"/>
      <c r="I3752" s="385"/>
      <c r="J3752" s="410" t="s">
        <v>342</v>
      </c>
      <c r="K3752" s="410" t="s">
        <v>342</v>
      </c>
      <c r="L3752" s="445" t="s">
        <v>342</v>
      </c>
      <c r="M3752" s="385"/>
      <c r="N3752" s="380"/>
      <c r="O3752" s="380"/>
      <c r="P3752" s="380"/>
      <c r="Q3752" s="380"/>
    </row>
    <row r="3753" spans="1:17" x14ac:dyDescent="0.2">
      <c r="A3753" s="380"/>
      <c r="B3753" s="380"/>
      <c r="C3753" s="380"/>
      <c r="D3753" s="334">
        <f>SUM(D3730:D3751)</f>
        <v>6432</v>
      </c>
      <c r="E3753" s="334">
        <f>SUM(E3730:E3751)</f>
        <v>0</v>
      </c>
      <c r="F3753" s="412">
        <f>SUM(F3730:F3751)</f>
        <v>6432</v>
      </c>
      <c r="G3753" s="334"/>
      <c r="H3753" s="380"/>
      <c r="I3753" s="385"/>
      <c r="J3753" s="334">
        <f>SUM(J3730:J3751)</f>
        <v>8010</v>
      </c>
      <c r="K3753" s="334">
        <f>SUM(K3730:K3751)</f>
        <v>0</v>
      </c>
      <c r="L3753" s="412">
        <f>SUM(L3730:L3751)</f>
        <v>8010</v>
      </c>
      <c r="M3753" s="334"/>
      <c r="N3753" s="380"/>
      <c r="O3753" s="380"/>
      <c r="P3753" s="380"/>
      <c r="Q3753" s="380"/>
    </row>
    <row r="3754" spans="1:17" ht="15.75" thickTop="1" x14ac:dyDescent="0.2">
      <c r="A3754" s="380"/>
      <c r="B3754" s="380"/>
      <c r="C3754" s="380"/>
      <c r="D3754" s="395"/>
      <c r="E3754" s="395"/>
      <c r="F3754" s="401"/>
      <c r="G3754" s="399"/>
      <c r="H3754" s="380"/>
      <c r="I3754" s="399"/>
      <c r="J3754" s="395"/>
      <c r="K3754" s="395"/>
      <c r="L3754" s="401"/>
      <c r="M3754" s="399"/>
      <c r="N3754" s="380"/>
      <c r="O3754" s="380"/>
      <c r="P3754" s="380"/>
      <c r="Q3754" s="380"/>
    </row>
    <row r="3755" spans="1:17" x14ac:dyDescent="0.2">
      <c r="A3755" s="380"/>
      <c r="B3755" s="380"/>
      <c r="C3755" s="380"/>
      <c r="D3755" s="380"/>
      <c r="E3755" s="380"/>
      <c r="F3755" s="378"/>
      <c r="G3755" s="380"/>
      <c r="H3755" s="380"/>
      <c r="I3755" s="382"/>
      <c r="J3755" s="380"/>
      <c r="K3755" s="380"/>
      <c r="L3755" s="378"/>
      <c r="M3755" s="380"/>
      <c r="N3755" s="380"/>
      <c r="O3755" s="380"/>
      <c r="P3755" s="380"/>
      <c r="Q3755" s="380"/>
    </row>
    <row r="3756" spans="1:17" x14ac:dyDescent="0.2">
      <c r="A3756" s="380"/>
      <c r="B3756" s="380"/>
      <c r="C3756" s="380"/>
      <c r="D3756" s="380"/>
      <c r="E3756" s="380"/>
      <c r="F3756" s="378"/>
      <c r="G3756" s="380"/>
      <c r="H3756" s="380"/>
      <c r="I3756" s="382"/>
      <c r="J3756" s="380"/>
      <c r="K3756" s="380"/>
      <c r="L3756" s="378"/>
      <c r="M3756" s="380"/>
      <c r="N3756" s="380"/>
      <c r="O3756" s="380"/>
      <c r="P3756" s="380"/>
      <c r="Q3756" s="380"/>
    </row>
    <row r="3757" spans="1:17" x14ac:dyDescent="0.2">
      <c r="A3757" s="377"/>
      <c r="B3757" s="377"/>
      <c r="C3757" s="377"/>
      <c r="D3757" s="377"/>
      <c r="E3757" s="377"/>
      <c r="F3757" s="378"/>
      <c r="G3757" s="377"/>
      <c r="H3757" s="377"/>
      <c r="I3757" s="399"/>
      <c r="J3757" s="377"/>
      <c r="K3757" s="377"/>
      <c r="L3757" s="378"/>
      <c r="M3757" s="377"/>
      <c r="N3757" s="377"/>
      <c r="O3757" s="380"/>
      <c r="P3757" s="380"/>
      <c r="Q3757" s="380"/>
    </row>
    <row r="3758" spans="1:17" x14ac:dyDescent="0.2">
      <c r="A3758" s="392" t="s">
        <v>1684</v>
      </c>
      <c r="B3758" s="380"/>
      <c r="C3758" s="380"/>
      <c r="D3758" s="334"/>
      <c r="E3758" s="334"/>
      <c r="F3758" s="378"/>
      <c r="G3758" s="380"/>
      <c r="H3758" s="380"/>
      <c r="I3758" s="385"/>
      <c r="J3758" s="334"/>
      <c r="K3758" s="334"/>
      <c r="L3758" s="378"/>
      <c r="M3758" s="380"/>
      <c r="N3758" s="380"/>
      <c r="O3758" s="380"/>
      <c r="P3758" s="380"/>
      <c r="Q3758" s="380"/>
    </row>
    <row r="3759" spans="1:17" x14ac:dyDescent="0.2">
      <c r="A3759" s="334" t="s">
        <v>342</v>
      </c>
      <c r="B3759" s="380"/>
      <c r="C3759" s="384" t="s">
        <v>2167</v>
      </c>
      <c r="D3759" s="380"/>
      <c r="E3759" s="380"/>
      <c r="F3759" s="378"/>
      <c r="G3759" s="380"/>
      <c r="H3759" s="380"/>
      <c r="I3759" s="382"/>
      <c r="J3759" s="380"/>
      <c r="K3759" s="380"/>
      <c r="L3759" s="378"/>
      <c r="M3759" s="380"/>
      <c r="N3759" s="380"/>
      <c r="O3759" s="380"/>
      <c r="P3759" s="380"/>
      <c r="Q3759" s="380"/>
    </row>
    <row r="3760" spans="1:17" x14ac:dyDescent="0.2">
      <c r="A3760" s="334" t="s">
        <v>342</v>
      </c>
      <c r="B3760" s="380"/>
      <c r="C3760" s="334" t="s">
        <v>342</v>
      </c>
      <c r="D3760" s="334" t="s">
        <v>2026</v>
      </c>
      <c r="E3760" s="334"/>
      <c r="F3760" s="378"/>
      <c r="G3760" s="380"/>
      <c r="H3760" s="380"/>
      <c r="I3760" s="385"/>
      <c r="J3760" s="334" t="s">
        <v>2026</v>
      </c>
      <c r="K3760" s="334"/>
      <c r="L3760" s="378"/>
      <c r="M3760" s="380"/>
      <c r="N3760" s="380"/>
      <c r="O3760" s="380"/>
      <c r="P3760" s="380"/>
      <c r="Q3760" s="380"/>
    </row>
    <row r="3761" spans="1:17" x14ac:dyDescent="0.2">
      <c r="A3761" s="334" t="s">
        <v>1723</v>
      </c>
      <c r="B3761" s="380"/>
      <c r="C3761" s="334" t="s">
        <v>1880</v>
      </c>
      <c r="D3761" s="334" t="s">
        <v>181</v>
      </c>
      <c r="E3761" s="334" t="s">
        <v>181</v>
      </c>
      <c r="F3761" s="412" t="s">
        <v>343</v>
      </c>
      <c r="G3761" s="334"/>
      <c r="H3761" s="380"/>
      <c r="I3761" s="385"/>
      <c r="J3761" s="334" t="s">
        <v>181</v>
      </c>
      <c r="K3761" s="334" t="s">
        <v>181</v>
      </c>
      <c r="L3761" s="412" t="s">
        <v>343</v>
      </c>
      <c r="M3761" s="334"/>
      <c r="N3761" s="380"/>
      <c r="O3761" s="380"/>
      <c r="P3761" s="380"/>
      <c r="Q3761" s="380"/>
    </row>
    <row r="3762" spans="1:17" x14ac:dyDescent="0.2">
      <c r="A3762" s="334" t="s">
        <v>342</v>
      </c>
      <c r="B3762" s="380"/>
      <c r="C3762" s="334" t="s">
        <v>342</v>
      </c>
      <c r="D3762" s="334" t="s">
        <v>342</v>
      </c>
      <c r="E3762" s="380"/>
      <c r="F3762" s="378"/>
      <c r="G3762" s="380"/>
      <c r="H3762" s="380"/>
      <c r="I3762" s="385"/>
      <c r="J3762" s="334" t="s">
        <v>342</v>
      </c>
      <c r="K3762" s="380"/>
      <c r="L3762" s="378"/>
      <c r="M3762" s="380"/>
      <c r="N3762" s="380"/>
      <c r="O3762" s="380"/>
      <c r="P3762" s="380"/>
      <c r="Q3762" s="380"/>
    </row>
    <row r="3763" spans="1:17" x14ac:dyDescent="0.2">
      <c r="A3763" s="334" t="s">
        <v>1724</v>
      </c>
      <c r="B3763" s="380"/>
      <c r="C3763" s="334" t="s">
        <v>1881</v>
      </c>
      <c r="D3763" s="377">
        <v>300</v>
      </c>
      <c r="E3763" s="377"/>
      <c r="F3763" s="378">
        <f>SUM(D3763:E3763)</f>
        <v>300</v>
      </c>
      <c r="G3763" s="377"/>
      <c r="H3763" s="380"/>
      <c r="I3763" s="399"/>
      <c r="J3763" s="378">
        <v>300</v>
      </c>
      <c r="K3763" s="377"/>
      <c r="L3763" s="378">
        <v>300</v>
      </c>
      <c r="M3763" s="377"/>
      <c r="N3763" s="380"/>
      <c r="O3763" s="380"/>
      <c r="P3763" s="380"/>
      <c r="Q3763" s="380"/>
    </row>
    <row r="3764" spans="1:17" x14ac:dyDescent="0.2">
      <c r="A3764" s="334" t="s">
        <v>1736</v>
      </c>
      <c r="B3764" s="380"/>
      <c r="C3764" s="334" t="s">
        <v>1747</v>
      </c>
      <c r="D3764" s="377">
        <v>2000</v>
      </c>
      <c r="E3764" s="377"/>
      <c r="F3764" s="378">
        <f t="shared" ref="F3764:F3787" si="36">SUM(D3764:E3764)</f>
        <v>2000</v>
      </c>
      <c r="G3764" s="377"/>
      <c r="H3764" s="380"/>
      <c r="I3764" s="399"/>
      <c r="J3764" s="378">
        <v>2000</v>
      </c>
      <c r="K3764" s="377"/>
      <c r="L3764" s="378">
        <v>2000</v>
      </c>
      <c r="M3764" s="377"/>
      <c r="N3764" s="380"/>
      <c r="O3764" s="380"/>
      <c r="P3764" s="380"/>
      <c r="Q3764" s="380"/>
    </row>
    <row r="3765" spans="1:17" x14ac:dyDescent="0.2">
      <c r="A3765" s="334" t="s">
        <v>1744</v>
      </c>
      <c r="B3765" s="380"/>
      <c r="C3765" s="334" t="s">
        <v>1254</v>
      </c>
      <c r="D3765" s="377"/>
      <c r="E3765" s="377"/>
      <c r="F3765" s="378">
        <f t="shared" si="36"/>
        <v>0</v>
      </c>
      <c r="G3765" s="377"/>
      <c r="H3765" s="380"/>
      <c r="I3765" s="399"/>
      <c r="J3765" s="378"/>
      <c r="K3765" s="377"/>
      <c r="L3765" s="378"/>
      <c r="M3765" s="377"/>
      <c r="N3765" s="380"/>
      <c r="O3765" s="380"/>
      <c r="P3765" s="380"/>
      <c r="Q3765" s="380"/>
    </row>
    <row r="3766" spans="1:17" x14ac:dyDescent="0.2">
      <c r="A3766" s="334" t="s">
        <v>1582</v>
      </c>
      <c r="B3766" s="380"/>
      <c r="C3766" s="334" t="s">
        <v>3135</v>
      </c>
      <c r="D3766" s="377"/>
      <c r="E3766" s="377"/>
      <c r="F3766" s="378">
        <f t="shared" si="36"/>
        <v>0</v>
      </c>
      <c r="G3766" s="377"/>
      <c r="H3766" s="380"/>
      <c r="I3766" s="399"/>
      <c r="J3766" s="378"/>
      <c r="K3766" s="377"/>
      <c r="L3766" s="378"/>
      <c r="M3766" s="377"/>
      <c r="N3766" s="380"/>
      <c r="O3766" s="380"/>
      <c r="P3766" s="380"/>
      <c r="Q3766" s="380"/>
    </row>
    <row r="3767" spans="1:17" x14ac:dyDescent="0.2">
      <c r="A3767" s="334" t="s">
        <v>1725</v>
      </c>
      <c r="B3767" s="380"/>
      <c r="C3767" s="334" t="s">
        <v>1890</v>
      </c>
      <c r="D3767" s="377">
        <v>200</v>
      </c>
      <c r="E3767" s="377"/>
      <c r="F3767" s="378">
        <f t="shared" ref="F3767" si="37">SUM(D3767:E3767)</f>
        <v>200</v>
      </c>
      <c r="G3767" s="377"/>
      <c r="H3767" s="380"/>
      <c r="I3767" s="399"/>
      <c r="J3767" s="378">
        <v>200</v>
      </c>
      <c r="K3767" s="377"/>
      <c r="L3767" s="378">
        <v>200</v>
      </c>
      <c r="M3767" s="377"/>
      <c r="N3767" s="380"/>
      <c r="O3767" s="380"/>
      <c r="P3767" s="380"/>
      <c r="Q3767" s="380"/>
    </row>
    <row r="3768" spans="1:17" x14ac:dyDescent="0.2">
      <c r="A3768" s="384" t="s">
        <v>1576</v>
      </c>
      <c r="B3768" s="380"/>
      <c r="C3768" s="334" t="s">
        <v>1590</v>
      </c>
      <c r="D3768" s="377">
        <v>50</v>
      </c>
      <c r="E3768" s="377"/>
      <c r="F3768" s="378">
        <f t="shared" si="36"/>
        <v>50</v>
      </c>
      <c r="G3768" s="377"/>
      <c r="H3768" s="380"/>
      <c r="I3768" s="399"/>
      <c r="J3768" s="378"/>
      <c r="K3768" s="377"/>
      <c r="L3768" s="378"/>
      <c r="M3768" s="377"/>
      <c r="N3768" s="380"/>
      <c r="O3768" s="380"/>
      <c r="P3768" s="380"/>
      <c r="Q3768" s="380"/>
    </row>
    <row r="3769" spans="1:17" x14ac:dyDescent="0.2">
      <c r="A3769" s="334" t="s">
        <v>1737</v>
      </c>
      <c r="B3769" s="380"/>
      <c r="C3769" s="334" t="s">
        <v>1984</v>
      </c>
      <c r="D3769" s="377">
        <v>100</v>
      </c>
      <c r="E3769" s="377"/>
      <c r="F3769" s="378">
        <f t="shared" si="36"/>
        <v>100</v>
      </c>
      <c r="G3769" s="377"/>
      <c r="H3769" s="380"/>
      <c r="I3769" s="399"/>
      <c r="J3769" s="378">
        <v>100</v>
      </c>
      <c r="K3769" s="377"/>
      <c r="L3769" s="378">
        <v>100</v>
      </c>
      <c r="M3769" s="377"/>
      <c r="N3769" s="380"/>
      <c r="O3769" s="380"/>
      <c r="P3769" s="380"/>
      <c r="Q3769" s="380"/>
    </row>
    <row r="3770" spans="1:17" x14ac:dyDescent="0.2">
      <c r="A3770" s="334" t="s">
        <v>1726</v>
      </c>
      <c r="B3770" s="380"/>
      <c r="C3770" s="334" t="s">
        <v>1117</v>
      </c>
      <c r="D3770" s="377"/>
      <c r="E3770" s="377"/>
      <c r="F3770" s="378">
        <f t="shared" si="36"/>
        <v>0</v>
      </c>
      <c r="G3770" s="377"/>
      <c r="H3770" s="380"/>
      <c r="I3770" s="399"/>
      <c r="J3770" s="378"/>
      <c r="K3770" s="377"/>
      <c r="L3770" s="378"/>
      <c r="M3770" s="377"/>
      <c r="N3770" s="380"/>
      <c r="O3770" s="380"/>
      <c r="P3770" s="380"/>
      <c r="Q3770" s="380"/>
    </row>
    <row r="3771" spans="1:17" x14ac:dyDescent="0.2">
      <c r="A3771" s="384" t="s">
        <v>1751</v>
      </c>
      <c r="B3771" s="380"/>
      <c r="C3771" s="334" t="s">
        <v>3138</v>
      </c>
      <c r="D3771" s="377">
        <v>500</v>
      </c>
      <c r="E3771" s="377"/>
      <c r="F3771" s="378">
        <f t="shared" si="36"/>
        <v>500</v>
      </c>
      <c r="G3771" s="377"/>
      <c r="H3771" s="380"/>
      <c r="I3771" s="399"/>
      <c r="J3771" s="378"/>
      <c r="K3771" s="377"/>
      <c r="L3771" s="378"/>
      <c r="M3771" s="377"/>
      <c r="N3771" s="380"/>
      <c r="O3771" s="380"/>
      <c r="P3771" s="380"/>
      <c r="Q3771" s="380"/>
    </row>
    <row r="3772" spans="1:17" x14ac:dyDescent="0.2">
      <c r="A3772" s="403" t="s">
        <v>1577</v>
      </c>
      <c r="B3772" s="380"/>
      <c r="C3772" s="334" t="s">
        <v>1815</v>
      </c>
      <c r="D3772" s="377"/>
      <c r="E3772" s="377"/>
      <c r="F3772" s="378">
        <f t="shared" si="36"/>
        <v>0</v>
      </c>
      <c r="G3772" s="377"/>
      <c r="H3772" s="380"/>
      <c r="I3772" s="399"/>
      <c r="J3772" s="378">
        <v>500</v>
      </c>
      <c r="K3772" s="377"/>
      <c r="L3772" s="378">
        <v>500</v>
      </c>
      <c r="M3772" s="377"/>
      <c r="N3772" s="380"/>
      <c r="O3772" s="380"/>
      <c r="P3772" s="380"/>
      <c r="Q3772" s="380"/>
    </row>
    <row r="3773" spans="1:17" x14ac:dyDescent="0.2">
      <c r="A3773" s="334" t="s">
        <v>1734</v>
      </c>
      <c r="B3773" s="380"/>
      <c r="C3773" s="334" t="s">
        <v>1746</v>
      </c>
      <c r="D3773" s="377">
        <v>100</v>
      </c>
      <c r="E3773" s="377"/>
      <c r="F3773" s="378">
        <f t="shared" si="36"/>
        <v>100</v>
      </c>
      <c r="G3773" s="377"/>
      <c r="H3773" s="380"/>
      <c r="I3773" s="399"/>
      <c r="J3773" s="378">
        <v>100</v>
      </c>
      <c r="K3773" s="377"/>
      <c r="L3773" s="378">
        <v>100</v>
      </c>
      <c r="M3773" s="377"/>
      <c r="N3773" s="380"/>
      <c r="O3773" s="380"/>
      <c r="P3773" s="380"/>
      <c r="Q3773" s="380"/>
    </row>
    <row r="3774" spans="1:17" x14ac:dyDescent="0.2">
      <c r="A3774" s="334" t="s">
        <v>1571</v>
      </c>
      <c r="B3774" s="380"/>
      <c r="C3774" s="334" t="s">
        <v>3</v>
      </c>
      <c r="D3774" s="377"/>
      <c r="E3774" s="377"/>
      <c r="F3774" s="378">
        <f t="shared" si="36"/>
        <v>0</v>
      </c>
      <c r="G3774" s="377"/>
      <c r="H3774" s="380"/>
      <c r="I3774" s="399"/>
      <c r="J3774" s="378">
        <v>100</v>
      </c>
      <c r="K3774" s="377"/>
      <c r="L3774" s="378">
        <v>100</v>
      </c>
      <c r="M3774" s="377"/>
      <c r="N3774" s="380"/>
      <c r="O3774" s="380"/>
      <c r="P3774" s="380"/>
      <c r="Q3774" s="380"/>
    </row>
    <row r="3775" spans="1:17" x14ac:dyDescent="0.2">
      <c r="A3775" s="334" t="s">
        <v>1578</v>
      </c>
      <c r="B3775" s="380"/>
      <c r="C3775" s="334" t="s">
        <v>22</v>
      </c>
      <c r="D3775" s="377">
        <v>200</v>
      </c>
      <c r="E3775" s="377"/>
      <c r="F3775" s="378">
        <f t="shared" si="36"/>
        <v>200</v>
      </c>
      <c r="G3775" s="377"/>
      <c r="H3775" s="380"/>
      <c r="I3775" s="399"/>
      <c r="J3775" s="378"/>
      <c r="K3775" s="377"/>
      <c r="L3775" s="378"/>
      <c r="M3775" s="377"/>
      <c r="N3775" s="380"/>
      <c r="O3775" s="380"/>
      <c r="P3775" s="380"/>
      <c r="Q3775" s="380"/>
    </row>
    <row r="3776" spans="1:17" x14ac:dyDescent="0.2">
      <c r="A3776" s="334" t="s">
        <v>1738</v>
      </c>
      <c r="B3776" s="380"/>
      <c r="C3776" s="334" t="s">
        <v>1591</v>
      </c>
      <c r="D3776" s="377">
        <v>300</v>
      </c>
      <c r="E3776" s="377"/>
      <c r="F3776" s="378">
        <f t="shared" si="36"/>
        <v>300</v>
      </c>
      <c r="G3776" s="377"/>
      <c r="H3776" s="380"/>
      <c r="I3776" s="399"/>
      <c r="J3776" s="378">
        <v>100</v>
      </c>
      <c r="K3776" s="377"/>
      <c r="L3776" s="378">
        <v>100</v>
      </c>
      <c r="M3776" s="377"/>
      <c r="N3776" s="380"/>
      <c r="O3776" s="380"/>
      <c r="P3776" s="380"/>
      <c r="Q3776" s="380"/>
    </row>
    <row r="3777" spans="1:17" x14ac:dyDescent="0.2">
      <c r="A3777" s="334" t="s">
        <v>1727</v>
      </c>
      <c r="B3777" s="380"/>
      <c r="C3777" s="334" t="s">
        <v>307</v>
      </c>
      <c r="D3777" s="377">
        <v>100</v>
      </c>
      <c r="E3777" s="377"/>
      <c r="F3777" s="378">
        <f t="shared" si="36"/>
        <v>100</v>
      </c>
      <c r="G3777" s="377"/>
      <c r="H3777" s="380"/>
      <c r="I3777" s="399"/>
      <c r="J3777" s="378">
        <v>200</v>
      </c>
      <c r="K3777" s="377"/>
      <c r="L3777" s="378">
        <v>200</v>
      </c>
      <c r="M3777" s="377"/>
      <c r="N3777" s="380"/>
      <c r="O3777" s="380"/>
      <c r="P3777" s="380"/>
      <c r="Q3777" s="380"/>
    </row>
    <row r="3778" spans="1:17" x14ac:dyDescent="0.2">
      <c r="A3778" s="334" t="s">
        <v>1728</v>
      </c>
      <c r="B3778" s="380"/>
      <c r="C3778" s="334" t="s">
        <v>310</v>
      </c>
      <c r="D3778" s="377"/>
      <c r="E3778" s="377"/>
      <c r="F3778" s="378">
        <f t="shared" si="36"/>
        <v>0</v>
      </c>
      <c r="G3778" s="377"/>
      <c r="H3778" s="380"/>
      <c r="I3778" s="399"/>
      <c r="J3778" s="378">
        <v>100</v>
      </c>
      <c r="K3778" s="377"/>
      <c r="L3778" s="378">
        <v>100</v>
      </c>
      <c r="M3778" s="377"/>
      <c r="N3778" s="380"/>
      <c r="O3778" s="380"/>
      <c r="P3778" s="380"/>
      <c r="Q3778" s="380"/>
    </row>
    <row r="3779" spans="1:17" x14ac:dyDescent="0.2">
      <c r="A3779" s="334" t="s">
        <v>1729</v>
      </c>
      <c r="B3779" s="380"/>
      <c r="C3779" s="380" t="s">
        <v>1551</v>
      </c>
      <c r="D3779" s="377">
        <f>-1080-2500</f>
        <v>-3580</v>
      </c>
      <c r="E3779" s="377"/>
      <c r="F3779" s="378">
        <f t="shared" si="36"/>
        <v>-3580</v>
      </c>
      <c r="G3779" s="377"/>
      <c r="H3779" s="380"/>
      <c r="I3779" s="399"/>
      <c r="J3779" s="378">
        <v>50</v>
      </c>
      <c r="K3779" s="377"/>
      <c r="L3779" s="378">
        <v>50</v>
      </c>
      <c r="M3779" s="377"/>
      <c r="N3779" s="380"/>
      <c r="O3779" s="380"/>
      <c r="P3779" s="380"/>
      <c r="Q3779" s="380"/>
    </row>
    <row r="3780" spans="1:17" x14ac:dyDescent="0.2">
      <c r="A3780" s="334" t="s">
        <v>1735</v>
      </c>
      <c r="B3780" s="380"/>
      <c r="C3780" s="380" t="s">
        <v>194</v>
      </c>
      <c r="D3780" s="377"/>
      <c r="E3780" s="377"/>
      <c r="F3780" s="378">
        <f t="shared" si="36"/>
        <v>0</v>
      </c>
      <c r="G3780" s="377"/>
      <c r="H3780" s="380"/>
      <c r="I3780" s="399"/>
      <c r="J3780" s="378">
        <v>100</v>
      </c>
      <c r="K3780" s="377"/>
      <c r="L3780" s="378">
        <v>100</v>
      </c>
      <c r="M3780" s="377"/>
      <c r="N3780" s="380"/>
      <c r="O3780" s="380"/>
      <c r="P3780" s="380"/>
      <c r="Q3780" s="380"/>
    </row>
    <row r="3781" spans="1:17" x14ac:dyDescent="0.2">
      <c r="A3781" s="403" t="s">
        <v>1742</v>
      </c>
      <c r="B3781" s="380"/>
      <c r="C3781" s="334" t="s">
        <v>1553</v>
      </c>
      <c r="D3781" s="377">
        <v>100</v>
      </c>
      <c r="E3781" s="377"/>
      <c r="F3781" s="378">
        <f t="shared" si="36"/>
        <v>100</v>
      </c>
      <c r="G3781" s="377"/>
      <c r="H3781" s="380"/>
      <c r="I3781" s="399"/>
      <c r="J3781" s="378"/>
      <c r="K3781" s="377"/>
      <c r="L3781" s="378"/>
      <c r="M3781" s="377"/>
      <c r="N3781" s="380"/>
      <c r="O3781" s="380"/>
      <c r="P3781" s="380"/>
      <c r="Q3781" s="380"/>
    </row>
    <row r="3782" spans="1:17" x14ac:dyDescent="0.2">
      <c r="A3782" s="384" t="s">
        <v>1754</v>
      </c>
      <c r="B3782" s="380"/>
      <c r="C3782" s="334" t="s">
        <v>1929</v>
      </c>
      <c r="D3782" s="377">
        <v>50</v>
      </c>
      <c r="E3782" s="377"/>
      <c r="F3782" s="378">
        <f t="shared" si="36"/>
        <v>50</v>
      </c>
      <c r="G3782" s="377"/>
      <c r="H3782" s="380"/>
      <c r="I3782" s="399"/>
      <c r="J3782" s="378"/>
      <c r="K3782" s="377"/>
      <c r="L3782" s="378"/>
      <c r="M3782" s="377"/>
      <c r="N3782" s="380"/>
      <c r="O3782" s="380"/>
      <c r="P3782" s="380"/>
      <c r="Q3782" s="380"/>
    </row>
    <row r="3783" spans="1:17" x14ac:dyDescent="0.2">
      <c r="A3783" s="334" t="s">
        <v>1584</v>
      </c>
      <c r="B3783" s="380"/>
      <c r="C3783" s="334" t="s">
        <v>0</v>
      </c>
      <c r="D3783" s="377"/>
      <c r="E3783" s="377"/>
      <c r="F3783" s="378">
        <f t="shared" si="36"/>
        <v>0</v>
      </c>
      <c r="G3783" s="377"/>
      <c r="H3783" s="380"/>
      <c r="I3783" s="399"/>
      <c r="J3783" s="378"/>
      <c r="K3783" s="377"/>
      <c r="L3783" s="378"/>
      <c r="M3783" s="377"/>
      <c r="N3783" s="380"/>
      <c r="O3783" s="380"/>
      <c r="P3783" s="380"/>
      <c r="Q3783" s="380"/>
    </row>
    <row r="3784" spans="1:17" x14ac:dyDescent="0.2">
      <c r="A3784" s="391" t="s">
        <v>1580</v>
      </c>
      <c r="B3784" s="380"/>
      <c r="C3784" s="334" t="s">
        <v>1935</v>
      </c>
      <c r="D3784" s="377"/>
      <c r="E3784" s="377"/>
      <c r="F3784" s="378">
        <f t="shared" si="36"/>
        <v>0</v>
      </c>
      <c r="G3784" s="377"/>
      <c r="H3784" s="380"/>
      <c r="I3784" s="399"/>
      <c r="J3784" s="378">
        <v>50</v>
      </c>
      <c r="K3784" s="377"/>
      <c r="L3784" s="378">
        <v>50</v>
      </c>
      <c r="M3784" s="377"/>
      <c r="N3784" s="380"/>
      <c r="O3784" s="380"/>
      <c r="P3784" s="380"/>
      <c r="Q3784" s="380"/>
    </row>
    <row r="3785" spans="1:17" x14ac:dyDescent="0.2">
      <c r="A3785" s="334" t="s">
        <v>1572</v>
      </c>
      <c r="B3785" s="380"/>
      <c r="C3785" s="334" t="s">
        <v>3134</v>
      </c>
      <c r="D3785" s="377">
        <v>1000</v>
      </c>
      <c r="E3785" s="377"/>
      <c r="F3785" s="378">
        <f t="shared" si="36"/>
        <v>1000</v>
      </c>
      <c r="G3785" s="377"/>
      <c r="H3785" s="380"/>
      <c r="I3785" s="399"/>
      <c r="J3785" s="378"/>
      <c r="K3785" s="377"/>
      <c r="L3785" s="378"/>
      <c r="M3785" s="377"/>
      <c r="N3785" s="380"/>
      <c r="O3785" s="380"/>
      <c r="P3785" s="380"/>
      <c r="Q3785" s="380"/>
    </row>
    <row r="3786" spans="1:17" x14ac:dyDescent="0.2">
      <c r="A3786" s="334" t="s">
        <v>1730</v>
      </c>
      <c r="B3786" s="380"/>
      <c r="C3786" s="334" t="s">
        <v>1985</v>
      </c>
      <c r="D3786" s="377">
        <v>400</v>
      </c>
      <c r="E3786" s="377"/>
      <c r="F3786" s="378">
        <f t="shared" si="36"/>
        <v>400</v>
      </c>
      <c r="G3786" s="377"/>
      <c r="H3786" s="380"/>
      <c r="I3786" s="399"/>
      <c r="J3786" s="378">
        <v>1000</v>
      </c>
      <c r="K3786" s="377"/>
      <c r="L3786" s="378">
        <v>1000</v>
      </c>
      <c r="M3786" s="377"/>
      <c r="N3786" s="380"/>
      <c r="O3786" s="380"/>
      <c r="P3786" s="380"/>
      <c r="Q3786" s="380"/>
    </row>
    <row r="3787" spans="1:17" x14ac:dyDescent="0.2">
      <c r="A3787" s="334" t="s">
        <v>1566</v>
      </c>
      <c r="B3787" s="380"/>
      <c r="C3787" s="334" t="s">
        <v>366</v>
      </c>
      <c r="D3787" s="377"/>
      <c r="E3787" s="377"/>
      <c r="F3787" s="378">
        <f t="shared" si="36"/>
        <v>0</v>
      </c>
      <c r="G3787" s="377"/>
      <c r="H3787" s="380"/>
      <c r="I3787" s="399"/>
      <c r="J3787" s="378">
        <v>400</v>
      </c>
      <c r="K3787" s="377"/>
      <c r="L3787" s="378">
        <v>400</v>
      </c>
      <c r="M3787" s="377"/>
      <c r="N3787" s="380"/>
      <c r="O3787" s="380"/>
      <c r="P3787" s="380"/>
      <c r="Q3787" s="380"/>
    </row>
    <row r="3788" spans="1:17" x14ac:dyDescent="0.2">
      <c r="A3788" s="334" t="s">
        <v>1755</v>
      </c>
      <c r="B3788" s="380"/>
      <c r="C3788" s="380" t="s">
        <v>1986</v>
      </c>
      <c r="D3788" s="377"/>
      <c r="E3788" s="377"/>
      <c r="F3788" s="378"/>
      <c r="G3788" s="377"/>
      <c r="H3788" s="380"/>
      <c r="I3788" s="399"/>
      <c r="J3788" s="377"/>
      <c r="K3788" s="377"/>
      <c r="L3788" s="378"/>
      <c r="M3788" s="377"/>
      <c r="N3788" s="380"/>
      <c r="O3788" s="380"/>
      <c r="P3788" s="380"/>
      <c r="Q3788" s="380"/>
    </row>
    <row r="3789" spans="1:17" x14ac:dyDescent="0.2">
      <c r="A3789" s="384" t="s">
        <v>1962</v>
      </c>
      <c r="B3789" s="380"/>
      <c r="C3789" s="380" t="s">
        <v>572</v>
      </c>
      <c r="D3789" s="377"/>
      <c r="E3789" s="377"/>
      <c r="F3789" s="412"/>
      <c r="G3789" s="334"/>
      <c r="H3789" s="380"/>
      <c r="I3789" s="399"/>
      <c r="J3789" s="377"/>
      <c r="K3789" s="377"/>
      <c r="L3789" s="412"/>
      <c r="M3789" s="334"/>
      <c r="N3789" s="380"/>
      <c r="O3789" s="380"/>
      <c r="P3789" s="380"/>
      <c r="Q3789" s="380"/>
    </row>
    <row r="3790" spans="1:17" x14ac:dyDescent="0.2">
      <c r="A3790" s="334" t="s">
        <v>342</v>
      </c>
      <c r="B3790" s="380"/>
      <c r="C3790" s="334" t="s">
        <v>342</v>
      </c>
      <c r="D3790" s="410" t="s">
        <v>342</v>
      </c>
      <c r="E3790" s="410" t="s">
        <v>342</v>
      </c>
      <c r="F3790" s="445" t="s">
        <v>342</v>
      </c>
      <c r="G3790" s="385"/>
      <c r="H3790" s="380"/>
      <c r="I3790" s="385"/>
      <c r="J3790" s="410" t="s">
        <v>342</v>
      </c>
      <c r="K3790" s="410" t="s">
        <v>342</v>
      </c>
      <c r="L3790" s="445" t="s">
        <v>342</v>
      </c>
      <c r="M3790" s="385"/>
      <c r="N3790" s="380"/>
      <c r="O3790" s="380"/>
      <c r="P3790" s="380"/>
      <c r="Q3790" s="380"/>
    </row>
    <row r="3791" spans="1:17" x14ac:dyDescent="0.2">
      <c r="A3791" s="334" t="s">
        <v>342</v>
      </c>
      <c r="B3791" s="380"/>
      <c r="C3791" s="334" t="s">
        <v>342</v>
      </c>
      <c r="D3791" s="334">
        <f>SUM(D3763:D3789)</f>
        <v>1820</v>
      </c>
      <c r="E3791" s="334">
        <f>SUM(E3763:E3789)</f>
        <v>0</v>
      </c>
      <c r="F3791" s="412">
        <f>SUM(F3763:F3789)</f>
        <v>1820</v>
      </c>
      <c r="G3791" s="334"/>
      <c r="H3791" s="380"/>
      <c r="I3791" s="385"/>
      <c r="J3791" s="334">
        <f>SUM(J3763:J3789)</f>
        <v>5300</v>
      </c>
      <c r="K3791" s="334">
        <f>SUM(K3763:K3789)</f>
        <v>0</v>
      </c>
      <c r="L3791" s="412">
        <f>SUM(L3763:L3789)</f>
        <v>5300</v>
      </c>
      <c r="M3791" s="334"/>
      <c r="N3791" s="380"/>
      <c r="O3791" s="380"/>
      <c r="P3791" s="380"/>
      <c r="Q3791" s="380"/>
    </row>
    <row r="3792" spans="1:17" ht="15.75" thickTop="1" x14ac:dyDescent="0.2">
      <c r="A3792" s="334" t="s">
        <v>342</v>
      </c>
      <c r="B3792" s="380"/>
      <c r="C3792" s="334" t="s">
        <v>342</v>
      </c>
      <c r="D3792" s="400" t="s">
        <v>342</v>
      </c>
      <c r="E3792" s="395"/>
      <c r="F3792" s="401"/>
      <c r="G3792" s="399"/>
      <c r="H3792" s="380"/>
      <c r="I3792" s="385"/>
      <c r="J3792" s="400" t="s">
        <v>342</v>
      </c>
      <c r="K3792" s="395"/>
      <c r="L3792" s="401"/>
      <c r="M3792" s="399"/>
      <c r="N3792" s="380"/>
      <c r="O3792" s="380"/>
      <c r="P3792" s="380"/>
      <c r="Q3792" s="380"/>
    </row>
    <row r="3793" spans="1:17" x14ac:dyDescent="0.2">
      <c r="A3793" s="334" t="s">
        <v>342</v>
      </c>
      <c r="B3793" s="380"/>
      <c r="C3793" s="334" t="s">
        <v>342</v>
      </c>
      <c r="D3793" s="334" t="s">
        <v>342</v>
      </c>
      <c r="E3793" s="380"/>
      <c r="F3793" s="378"/>
      <c r="G3793" s="380"/>
      <c r="H3793" s="380"/>
      <c r="I3793" s="385"/>
      <c r="J3793" s="334" t="s">
        <v>342</v>
      </c>
      <c r="K3793" s="380"/>
      <c r="L3793" s="378"/>
      <c r="M3793" s="380"/>
      <c r="N3793" s="380"/>
      <c r="O3793" s="380"/>
      <c r="P3793" s="380"/>
      <c r="Q3793" s="380"/>
    </row>
    <row r="3794" spans="1:17" x14ac:dyDescent="0.2">
      <c r="A3794" s="334" t="s">
        <v>342</v>
      </c>
      <c r="B3794" s="377"/>
      <c r="C3794" s="334" t="s">
        <v>342</v>
      </c>
      <c r="D3794" s="334" t="s">
        <v>342</v>
      </c>
      <c r="E3794" s="377"/>
      <c r="F3794" s="378"/>
      <c r="G3794" s="377"/>
      <c r="H3794" s="377"/>
      <c r="I3794" s="385"/>
      <c r="J3794" s="334" t="s">
        <v>342</v>
      </c>
      <c r="K3794" s="377"/>
      <c r="L3794" s="378"/>
      <c r="M3794" s="377"/>
      <c r="N3794" s="377"/>
      <c r="O3794" s="380"/>
      <c r="P3794" s="380"/>
      <c r="Q3794" s="380"/>
    </row>
    <row r="3795" spans="1:17" x14ac:dyDescent="0.2">
      <c r="A3795" s="334" t="s">
        <v>1833</v>
      </c>
      <c r="B3795" s="380"/>
      <c r="C3795" s="380"/>
      <c r="D3795" s="380"/>
      <c r="E3795" s="380"/>
      <c r="F3795" s="378"/>
      <c r="G3795" s="380"/>
      <c r="H3795" s="380"/>
      <c r="I3795" s="382"/>
      <c r="J3795" s="380"/>
      <c r="K3795" s="380"/>
      <c r="L3795" s="378"/>
      <c r="M3795" s="380"/>
      <c r="N3795" s="380"/>
      <c r="O3795" s="380"/>
      <c r="P3795" s="380"/>
      <c r="Q3795" s="380"/>
    </row>
    <row r="3796" spans="1:17" x14ac:dyDescent="0.2">
      <c r="A3796" s="334" t="s">
        <v>342</v>
      </c>
      <c r="B3796" s="380"/>
      <c r="C3796" s="384" t="s">
        <v>2168</v>
      </c>
      <c r="D3796" s="380"/>
      <c r="E3796" s="380"/>
      <c r="F3796" s="378"/>
      <c r="G3796" s="380"/>
      <c r="H3796" s="380"/>
      <c r="I3796" s="382"/>
      <c r="J3796" s="380"/>
      <c r="K3796" s="380"/>
      <c r="L3796" s="378"/>
      <c r="M3796" s="380"/>
      <c r="N3796" s="380"/>
      <c r="O3796" s="380"/>
      <c r="P3796" s="380"/>
      <c r="Q3796" s="380"/>
    </row>
    <row r="3797" spans="1:17" x14ac:dyDescent="0.2">
      <c r="A3797" s="334" t="s">
        <v>342</v>
      </c>
      <c r="B3797" s="380"/>
      <c r="C3797" s="334" t="s">
        <v>342</v>
      </c>
      <c r="D3797" s="334" t="s">
        <v>342</v>
      </c>
      <c r="E3797" s="380"/>
      <c r="F3797" s="378"/>
      <c r="G3797" s="380"/>
      <c r="H3797" s="380"/>
      <c r="I3797" s="385"/>
      <c r="J3797" s="334" t="s">
        <v>342</v>
      </c>
      <c r="K3797" s="380"/>
      <c r="L3797" s="378"/>
      <c r="M3797" s="380"/>
      <c r="N3797" s="380"/>
      <c r="O3797" s="380"/>
      <c r="P3797" s="380"/>
      <c r="Q3797" s="380"/>
    </row>
    <row r="3798" spans="1:17" x14ac:dyDescent="0.2">
      <c r="A3798" s="334" t="s">
        <v>1723</v>
      </c>
      <c r="B3798" s="380"/>
      <c r="C3798" s="334" t="s">
        <v>1880</v>
      </c>
      <c r="D3798" s="334" t="s">
        <v>181</v>
      </c>
      <c r="E3798" s="380"/>
      <c r="F3798" s="378"/>
      <c r="G3798" s="380"/>
      <c r="H3798" s="380"/>
      <c r="I3798" s="385"/>
      <c r="J3798" s="334" t="s">
        <v>181</v>
      </c>
      <c r="K3798" s="380"/>
      <c r="L3798" s="378"/>
      <c r="M3798" s="380"/>
      <c r="N3798" s="380"/>
      <c r="O3798" s="380"/>
      <c r="P3798" s="380"/>
      <c r="Q3798" s="380"/>
    </row>
    <row r="3799" spans="1:17" x14ac:dyDescent="0.2">
      <c r="A3799" s="334" t="s">
        <v>342</v>
      </c>
      <c r="B3799" s="380"/>
      <c r="C3799" s="334" t="s">
        <v>342</v>
      </c>
      <c r="D3799" s="334" t="s">
        <v>342</v>
      </c>
      <c r="E3799" s="380"/>
      <c r="F3799" s="378"/>
      <c r="G3799" s="380"/>
      <c r="H3799" s="380"/>
      <c r="I3799" s="385"/>
      <c r="J3799" s="334" t="s">
        <v>342</v>
      </c>
      <c r="K3799" s="380"/>
      <c r="L3799" s="378"/>
      <c r="M3799" s="380"/>
      <c r="N3799" s="380"/>
      <c r="O3799" s="380"/>
      <c r="P3799" s="380"/>
      <c r="Q3799" s="380"/>
    </row>
    <row r="3800" spans="1:17" x14ac:dyDescent="0.2">
      <c r="A3800" s="334" t="s">
        <v>1569</v>
      </c>
      <c r="B3800" s="380"/>
      <c r="C3800" s="334" t="s">
        <v>1888</v>
      </c>
      <c r="D3800" s="377"/>
      <c r="E3800" s="380"/>
      <c r="F3800" s="378"/>
      <c r="G3800" s="380"/>
      <c r="H3800" s="380"/>
      <c r="I3800" s="399"/>
      <c r="J3800" s="377"/>
      <c r="K3800" s="380"/>
      <c r="L3800" s="378"/>
      <c r="M3800" s="380"/>
      <c r="N3800" s="380"/>
      <c r="O3800" s="380"/>
      <c r="P3800" s="380"/>
      <c r="Q3800" s="380"/>
    </row>
    <row r="3801" spans="1:17" x14ac:dyDescent="0.2">
      <c r="A3801" s="334" t="s">
        <v>1724</v>
      </c>
      <c r="B3801" s="380"/>
      <c r="C3801" s="334" t="s">
        <v>1881</v>
      </c>
      <c r="D3801" s="377">
        <v>400</v>
      </c>
      <c r="E3801" s="380"/>
      <c r="F3801" s="378"/>
      <c r="G3801" s="380"/>
      <c r="H3801" s="380"/>
      <c r="I3801" s="399"/>
      <c r="J3801" s="377">
        <v>400</v>
      </c>
      <c r="K3801" s="380"/>
      <c r="L3801" s="378"/>
      <c r="M3801" s="380"/>
      <c r="N3801" s="380"/>
      <c r="O3801" s="380"/>
      <c r="P3801" s="380"/>
      <c r="Q3801" s="380"/>
    </row>
    <row r="3802" spans="1:17" x14ac:dyDescent="0.2">
      <c r="A3802" s="334" t="s">
        <v>1736</v>
      </c>
      <c r="B3802" s="380"/>
      <c r="C3802" s="334" t="s">
        <v>1747</v>
      </c>
      <c r="D3802" s="377"/>
      <c r="E3802" s="380"/>
      <c r="F3802" s="378"/>
      <c r="G3802" s="380"/>
      <c r="H3802" s="380"/>
      <c r="I3802" s="399"/>
      <c r="J3802" s="377"/>
      <c r="K3802" s="380"/>
      <c r="L3802" s="378"/>
      <c r="M3802" s="380"/>
      <c r="N3802" s="380"/>
      <c r="O3802" s="380"/>
      <c r="P3802" s="380"/>
      <c r="Q3802" s="380"/>
    </row>
    <row r="3803" spans="1:17" x14ac:dyDescent="0.2">
      <c r="A3803" s="384" t="s">
        <v>1744</v>
      </c>
      <c r="B3803" s="380"/>
      <c r="C3803" s="334" t="s">
        <v>1254</v>
      </c>
      <c r="D3803" s="377"/>
      <c r="E3803" s="380"/>
      <c r="F3803" s="378"/>
      <c r="G3803" s="380"/>
      <c r="H3803" s="380"/>
      <c r="I3803" s="399"/>
      <c r="J3803" s="377"/>
      <c r="K3803" s="380"/>
      <c r="L3803" s="378"/>
      <c r="M3803" s="380"/>
      <c r="N3803" s="380"/>
      <c r="O3803" s="380"/>
      <c r="P3803" s="380"/>
      <c r="Q3803" s="380"/>
    </row>
    <row r="3804" spans="1:17" x14ac:dyDescent="0.2">
      <c r="A3804" s="334" t="s">
        <v>1725</v>
      </c>
      <c r="B3804" s="380"/>
      <c r="C3804" s="334" t="s">
        <v>1890</v>
      </c>
      <c r="D3804" s="377">
        <v>100</v>
      </c>
      <c r="E3804" s="380"/>
      <c r="F3804" s="378"/>
      <c r="G3804" s="380"/>
      <c r="H3804" s="380"/>
      <c r="I3804" s="399"/>
      <c r="J3804" s="377">
        <v>100</v>
      </c>
      <c r="K3804" s="380"/>
      <c r="L3804" s="378"/>
      <c r="M3804" s="380"/>
      <c r="N3804" s="380"/>
      <c r="O3804" s="380"/>
      <c r="P3804" s="380"/>
      <c r="Q3804" s="380"/>
    </row>
    <row r="3805" spans="1:17" x14ac:dyDescent="0.2">
      <c r="A3805" s="334" t="s">
        <v>1737</v>
      </c>
      <c r="B3805" s="380"/>
      <c r="C3805" s="334" t="s">
        <v>1984</v>
      </c>
      <c r="D3805" s="377">
        <v>100</v>
      </c>
      <c r="E3805" s="380"/>
      <c r="F3805" s="378"/>
      <c r="G3805" s="380"/>
      <c r="H3805" s="380"/>
      <c r="I3805" s="399"/>
      <c r="J3805" s="377">
        <v>100</v>
      </c>
      <c r="K3805" s="380"/>
      <c r="L3805" s="378"/>
      <c r="M3805" s="380"/>
      <c r="N3805" s="380"/>
      <c r="O3805" s="380"/>
      <c r="P3805" s="380"/>
      <c r="Q3805" s="380"/>
    </row>
    <row r="3806" spans="1:17" x14ac:dyDescent="0.2">
      <c r="A3806" s="334" t="s">
        <v>1726</v>
      </c>
      <c r="B3806" s="380"/>
      <c r="C3806" s="334" t="s">
        <v>1117</v>
      </c>
      <c r="D3806" s="377"/>
      <c r="E3806" s="380"/>
      <c r="F3806" s="378"/>
      <c r="G3806" s="380"/>
      <c r="H3806" s="380"/>
      <c r="I3806" s="399"/>
      <c r="J3806" s="377"/>
      <c r="K3806" s="380"/>
      <c r="L3806" s="378"/>
      <c r="M3806" s="380"/>
      <c r="N3806" s="380"/>
      <c r="O3806" s="380"/>
      <c r="P3806" s="380"/>
      <c r="Q3806" s="380"/>
    </row>
    <row r="3807" spans="1:17" x14ac:dyDescent="0.2">
      <c r="A3807" s="334" t="s">
        <v>1661</v>
      </c>
      <c r="B3807" s="380"/>
      <c r="C3807" s="334" t="s">
        <v>3136</v>
      </c>
      <c r="D3807" s="377">
        <v>1500</v>
      </c>
      <c r="E3807" s="380"/>
      <c r="F3807" s="378"/>
      <c r="G3807" s="380"/>
      <c r="H3807" s="380"/>
      <c r="I3807" s="399"/>
      <c r="J3807" s="377">
        <v>1500</v>
      </c>
      <c r="K3807" s="380"/>
      <c r="L3807" s="378"/>
      <c r="M3807" s="380"/>
      <c r="N3807" s="380"/>
      <c r="O3807" s="380"/>
      <c r="P3807" s="380"/>
      <c r="Q3807" s="380"/>
    </row>
    <row r="3808" spans="1:17" x14ac:dyDescent="0.2">
      <c r="A3808" s="334" t="s">
        <v>1738</v>
      </c>
      <c r="B3808" s="380"/>
      <c r="C3808" s="334" t="s">
        <v>1591</v>
      </c>
      <c r="D3808" s="377">
        <v>300</v>
      </c>
      <c r="E3808" s="380"/>
      <c r="F3808" s="378"/>
      <c r="G3808" s="380"/>
      <c r="H3808" s="380"/>
      <c r="I3808" s="399"/>
      <c r="J3808" s="377">
        <v>300</v>
      </c>
      <c r="K3808" s="380"/>
      <c r="L3808" s="378"/>
      <c r="M3808" s="380"/>
      <c r="N3808" s="380"/>
      <c r="O3808" s="380"/>
      <c r="P3808" s="380"/>
      <c r="Q3808" s="380"/>
    </row>
    <row r="3809" spans="1:17" x14ac:dyDescent="0.2">
      <c r="A3809" s="334" t="s">
        <v>1727</v>
      </c>
      <c r="B3809" s="380"/>
      <c r="C3809" s="334" t="s">
        <v>307</v>
      </c>
      <c r="D3809" s="377">
        <v>300</v>
      </c>
      <c r="E3809" s="380"/>
      <c r="F3809" s="378"/>
      <c r="G3809" s="380"/>
      <c r="H3809" s="380"/>
      <c r="I3809" s="399"/>
      <c r="J3809" s="377">
        <v>300</v>
      </c>
      <c r="K3809" s="380"/>
      <c r="L3809" s="378"/>
      <c r="M3809" s="380"/>
      <c r="N3809" s="380"/>
      <c r="O3809" s="380"/>
      <c r="P3809" s="380"/>
      <c r="Q3809" s="380"/>
    </row>
    <row r="3810" spans="1:17" x14ac:dyDescent="0.2">
      <c r="A3810" s="334" t="s">
        <v>1728</v>
      </c>
      <c r="B3810" s="380"/>
      <c r="C3810" s="334" t="s">
        <v>310</v>
      </c>
      <c r="D3810" s="377">
        <v>300</v>
      </c>
      <c r="E3810" s="380"/>
      <c r="F3810" s="378"/>
      <c r="G3810" s="380"/>
      <c r="H3810" s="380"/>
      <c r="I3810" s="399"/>
      <c r="J3810" s="377">
        <v>300</v>
      </c>
      <c r="K3810" s="380"/>
      <c r="L3810" s="378"/>
      <c r="M3810" s="380"/>
      <c r="N3810" s="380"/>
      <c r="O3810" s="380"/>
      <c r="P3810" s="380"/>
      <c r="Q3810" s="380"/>
    </row>
    <row r="3811" spans="1:17" x14ac:dyDescent="0.2">
      <c r="A3811" s="334" t="s">
        <v>1729</v>
      </c>
      <c r="B3811" s="380"/>
      <c r="C3811" s="380" t="s">
        <v>1551</v>
      </c>
      <c r="D3811" s="377">
        <f>-920-1000</f>
        <v>-1920</v>
      </c>
      <c r="E3811" s="380"/>
      <c r="F3811" s="378"/>
      <c r="G3811" s="380"/>
      <c r="H3811" s="380"/>
      <c r="I3811" s="399"/>
      <c r="J3811" s="377"/>
      <c r="K3811" s="380"/>
      <c r="L3811" s="378"/>
      <c r="M3811" s="380"/>
      <c r="N3811" s="380"/>
      <c r="O3811" s="380"/>
      <c r="P3811" s="380"/>
      <c r="Q3811" s="380"/>
    </row>
    <row r="3812" spans="1:17" x14ac:dyDescent="0.2">
      <c r="A3812" s="334" t="s">
        <v>1735</v>
      </c>
      <c r="B3812" s="380"/>
      <c r="C3812" s="380" t="s">
        <v>194</v>
      </c>
      <c r="D3812" s="377"/>
      <c r="E3812" s="380"/>
      <c r="F3812" s="378"/>
      <c r="G3812" s="380"/>
      <c r="H3812" s="380"/>
      <c r="I3812" s="399"/>
      <c r="J3812" s="377"/>
      <c r="K3812" s="380"/>
      <c r="L3812" s="378"/>
      <c r="M3812" s="380"/>
      <c r="N3812" s="380"/>
      <c r="O3812" s="380"/>
      <c r="P3812" s="380"/>
      <c r="Q3812" s="380"/>
    </row>
    <row r="3813" spans="1:17" x14ac:dyDescent="0.2">
      <c r="A3813" s="334" t="s">
        <v>1584</v>
      </c>
      <c r="B3813" s="380"/>
      <c r="C3813" s="334" t="s">
        <v>0</v>
      </c>
      <c r="D3813" s="377"/>
      <c r="E3813" s="380"/>
      <c r="F3813" s="378"/>
      <c r="G3813" s="380"/>
      <c r="H3813" s="380"/>
      <c r="I3813" s="399"/>
      <c r="J3813" s="377"/>
      <c r="K3813" s="380"/>
      <c r="L3813" s="378"/>
      <c r="M3813" s="380"/>
      <c r="N3813" s="380"/>
      <c r="O3813" s="380"/>
      <c r="P3813" s="380"/>
      <c r="Q3813" s="380"/>
    </row>
    <row r="3814" spans="1:17" x14ac:dyDescent="0.2">
      <c r="A3814" s="334" t="s">
        <v>1572</v>
      </c>
      <c r="B3814" s="380"/>
      <c r="C3814" s="334" t="s">
        <v>3134</v>
      </c>
      <c r="D3814" s="377">
        <v>100</v>
      </c>
      <c r="E3814" s="380"/>
      <c r="F3814" s="378"/>
      <c r="G3814" s="380"/>
      <c r="H3814" s="380"/>
      <c r="I3814" s="399"/>
      <c r="J3814" s="377">
        <v>100</v>
      </c>
      <c r="K3814" s="380"/>
      <c r="L3814" s="378"/>
      <c r="M3814" s="380"/>
      <c r="N3814" s="380"/>
      <c r="O3814" s="380"/>
      <c r="P3814" s="380"/>
      <c r="Q3814" s="380"/>
    </row>
    <row r="3815" spans="1:17" x14ac:dyDescent="0.2">
      <c r="A3815" s="334" t="s">
        <v>1730</v>
      </c>
      <c r="B3815" s="380"/>
      <c r="C3815" s="334" t="s">
        <v>1985</v>
      </c>
      <c r="D3815" s="377">
        <v>700</v>
      </c>
      <c r="E3815" s="380"/>
      <c r="F3815" s="378"/>
      <c r="G3815" s="380"/>
      <c r="H3815" s="380"/>
      <c r="I3815" s="399"/>
      <c r="J3815" s="377">
        <v>700</v>
      </c>
      <c r="K3815" s="380"/>
      <c r="L3815" s="378"/>
      <c r="M3815" s="380"/>
      <c r="N3815" s="380"/>
      <c r="O3815" s="380"/>
      <c r="P3815" s="380"/>
      <c r="Q3815" s="380"/>
    </row>
    <row r="3816" spans="1:17" x14ac:dyDescent="0.2">
      <c r="A3816" s="334" t="s">
        <v>1566</v>
      </c>
      <c r="B3816" s="380"/>
      <c r="C3816" s="334" t="s">
        <v>366</v>
      </c>
      <c r="D3816" s="377">
        <v>800</v>
      </c>
      <c r="E3816" s="380"/>
      <c r="F3816" s="378"/>
      <c r="G3816" s="380"/>
      <c r="H3816" s="380"/>
      <c r="I3816" s="399"/>
      <c r="J3816" s="377">
        <v>800</v>
      </c>
      <c r="K3816" s="380"/>
      <c r="L3816" s="378"/>
      <c r="M3816" s="380"/>
      <c r="N3816" s="380"/>
      <c r="O3816" s="380"/>
      <c r="P3816" s="380"/>
      <c r="Q3816" s="380"/>
    </row>
    <row r="3817" spans="1:17" x14ac:dyDescent="0.2">
      <c r="A3817" s="384" t="s">
        <v>1962</v>
      </c>
      <c r="B3817" s="380"/>
      <c r="C3817" s="380" t="s">
        <v>572</v>
      </c>
      <c r="D3817" s="377"/>
      <c r="E3817" s="380"/>
      <c r="F3817" s="378"/>
      <c r="G3817" s="380"/>
      <c r="H3817" s="380"/>
      <c r="I3817" s="399"/>
      <c r="J3817" s="377"/>
      <c r="K3817" s="380"/>
      <c r="L3817" s="378"/>
      <c r="M3817" s="380"/>
      <c r="N3817" s="380"/>
      <c r="O3817" s="380"/>
      <c r="P3817" s="380"/>
      <c r="Q3817" s="380"/>
    </row>
    <row r="3818" spans="1:17" x14ac:dyDescent="0.2">
      <c r="A3818" s="334" t="s">
        <v>342</v>
      </c>
      <c r="B3818" s="380"/>
      <c r="C3818" s="334" t="s">
        <v>342</v>
      </c>
      <c r="D3818" s="410" t="s">
        <v>342</v>
      </c>
      <c r="E3818" s="380"/>
      <c r="F3818" s="378"/>
      <c r="G3818" s="380"/>
      <c r="H3818" s="380"/>
      <c r="I3818" s="385"/>
      <c r="J3818" s="410" t="s">
        <v>342</v>
      </c>
      <c r="K3818" s="380"/>
      <c r="L3818" s="378"/>
      <c r="M3818" s="380"/>
      <c r="N3818" s="380"/>
      <c r="O3818" s="380"/>
      <c r="P3818" s="380"/>
      <c r="Q3818" s="380"/>
    </row>
    <row r="3819" spans="1:17" x14ac:dyDescent="0.2">
      <c r="A3819" s="334" t="s">
        <v>342</v>
      </c>
      <c r="B3819" s="380"/>
      <c r="C3819" s="334" t="s">
        <v>342</v>
      </c>
      <c r="D3819" s="334">
        <f>SUM(D3800:D3817)</f>
        <v>2680</v>
      </c>
      <c r="E3819" s="380"/>
      <c r="F3819" s="378"/>
      <c r="G3819" s="380"/>
      <c r="H3819" s="380"/>
      <c r="I3819" s="385"/>
      <c r="J3819" s="334">
        <f>SUM(J3800:J3817)</f>
        <v>4600</v>
      </c>
      <c r="K3819" s="380"/>
      <c r="L3819" s="378"/>
      <c r="M3819" s="380"/>
      <c r="N3819" s="380"/>
      <c r="O3819" s="380"/>
      <c r="P3819" s="380"/>
      <c r="Q3819" s="380"/>
    </row>
    <row r="3820" spans="1:17" ht="15.75" thickTop="1" x14ac:dyDescent="0.2">
      <c r="A3820" s="380"/>
      <c r="B3820" s="380"/>
      <c r="C3820" s="380"/>
      <c r="D3820" s="395"/>
      <c r="E3820" s="380"/>
      <c r="F3820" s="378"/>
      <c r="G3820" s="380"/>
      <c r="H3820" s="380"/>
      <c r="I3820" s="399"/>
      <c r="J3820" s="395"/>
      <c r="K3820" s="380"/>
      <c r="L3820" s="378"/>
      <c r="M3820" s="380"/>
      <c r="N3820" s="380"/>
      <c r="O3820" s="380"/>
      <c r="P3820" s="380"/>
      <c r="Q3820" s="380"/>
    </row>
    <row r="3821" spans="1:17" x14ac:dyDescent="0.2">
      <c r="A3821" s="380"/>
      <c r="B3821" s="380"/>
      <c r="C3821" s="380"/>
      <c r="D3821" s="380"/>
      <c r="E3821" s="380"/>
      <c r="F3821" s="378"/>
      <c r="G3821" s="380"/>
      <c r="H3821" s="380"/>
      <c r="I3821" s="382"/>
      <c r="J3821" s="380"/>
      <c r="K3821" s="380"/>
      <c r="L3821" s="378"/>
      <c r="M3821" s="380"/>
      <c r="N3821" s="380"/>
      <c r="O3821" s="380"/>
      <c r="P3821" s="380"/>
      <c r="Q3821" s="380"/>
    </row>
    <row r="3822" spans="1:17" x14ac:dyDescent="0.2">
      <c r="A3822" s="377"/>
      <c r="B3822" s="377"/>
      <c r="C3822" s="377"/>
      <c r="D3822" s="377"/>
      <c r="E3822" s="377"/>
      <c r="F3822" s="378"/>
      <c r="G3822" s="377"/>
      <c r="H3822" s="377"/>
      <c r="I3822" s="399"/>
      <c r="J3822" s="377"/>
      <c r="K3822" s="377"/>
      <c r="L3822" s="378"/>
      <c r="M3822" s="377"/>
      <c r="N3822" s="377"/>
      <c r="O3822" s="380"/>
      <c r="P3822" s="380"/>
      <c r="Q3822" s="380"/>
    </row>
    <row r="3823" spans="1:17" x14ac:dyDescent="0.2">
      <c r="A3823" s="334" t="s">
        <v>712</v>
      </c>
      <c r="B3823" s="380"/>
      <c r="C3823" s="380"/>
      <c r="D3823" s="380"/>
      <c r="E3823" s="380"/>
      <c r="F3823" s="378"/>
      <c r="G3823" s="380"/>
      <c r="H3823" s="380"/>
      <c r="I3823" s="382"/>
      <c r="J3823" s="380"/>
      <c r="K3823" s="380"/>
      <c r="L3823" s="378"/>
      <c r="M3823" s="380"/>
      <c r="N3823" s="380"/>
      <c r="O3823" s="380"/>
      <c r="P3823" s="380"/>
      <c r="Q3823" s="380"/>
    </row>
    <row r="3824" spans="1:17" x14ac:dyDescent="0.2">
      <c r="A3824" s="334" t="s">
        <v>342</v>
      </c>
      <c r="B3824" s="380"/>
      <c r="C3824" s="384" t="s">
        <v>2169</v>
      </c>
      <c r="D3824" s="380"/>
      <c r="E3824" s="380"/>
      <c r="F3824" s="378"/>
      <c r="G3824" s="380"/>
      <c r="H3824" s="380"/>
      <c r="I3824" s="382"/>
      <c r="J3824" s="380"/>
      <c r="K3824" s="380"/>
      <c r="L3824" s="378"/>
      <c r="M3824" s="380"/>
      <c r="N3824" s="380"/>
      <c r="O3824" s="380"/>
      <c r="P3824" s="380"/>
      <c r="Q3824" s="380"/>
    </row>
    <row r="3825" spans="1:17" x14ac:dyDescent="0.2">
      <c r="A3825" s="334" t="s">
        <v>342</v>
      </c>
      <c r="B3825" s="380"/>
      <c r="C3825" s="334" t="s">
        <v>342</v>
      </c>
      <c r="D3825" s="334" t="s">
        <v>342</v>
      </c>
      <c r="E3825" s="380"/>
      <c r="F3825" s="378"/>
      <c r="G3825" s="380"/>
      <c r="H3825" s="380"/>
      <c r="I3825" s="385"/>
      <c r="J3825" s="334" t="s">
        <v>342</v>
      </c>
      <c r="K3825" s="380"/>
      <c r="L3825" s="378"/>
      <c r="M3825" s="380"/>
      <c r="N3825" s="380"/>
      <c r="O3825" s="380"/>
      <c r="P3825" s="380"/>
      <c r="Q3825" s="380"/>
    </row>
    <row r="3826" spans="1:17" x14ac:dyDescent="0.2">
      <c r="A3826" s="334" t="s">
        <v>1723</v>
      </c>
      <c r="B3826" s="380"/>
      <c r="C3826" s="334" t="s">
        <v>1880</v>
      </c>
      <c r="D3826" s="334" t="s">
        <v>181</v>
      </c>
      <c r="E3826" s="380"/>
      <c r="F3826" s="378"/>
      <c r="G3826" s="380"/>
      <c r="H3826" s="380"/>
      <c r="I3826" s="385"/>
      <c r="J3826" s="334" t="s">
        <v>181</v>
      </c>
      <c r="K3826" s="380"/>
      <c r="L3826" s="378"/>
      <c r="M3826" s="380"/>
      <c r="N3826" s="380"/>
      <c r="O3826" s="380"/>
      <c r="P3826" s="380"/>
      <c r="Q3826" s="380"/>
    </row>
    <row r="3827" spans="1:17" x14ac:dyDescent="0.2">
      <c r="A3827" s="380"/>
      <c r="B3827" s="380"/>
      <c r="C3827" s="380"/>
      <c r="D3827" s="380"/>
      <c r="E3827" s="380"/>
      <c r="F3827" s="378"/>
      <c r="G3827" s="380"/>
      <c r="H3827" s="380"/>
      <c r="I3827" s="382"/>
      <c r="J3827" s="380"/>
      <c r="K3827" s="380"/>
      <c r="L3827" s="378"/>
      <c r="M3827" s="380"/>
      <c r="N3827" s="380"/>
      <c r="O3827" s="380"/>
      <c r="P3827" s="380"/>
      <c r="Q3827" s="380"/>
    </row>
    <row r="3828" spans="1:17" x14ac:dyDescent="0.2">
      <c r="A3828" s="334" t="s">
        <v>1724</v>
      </c>
      <c r="B3828" s="380"/>
      <c r="C3828" s="334" t="s">
        <v>1881</v>
      </c>
      <c r="D3828" s="377"/>
      <c r="E3828" s="380"/>
      <c r="F3828" s="378"/>
      <c r="G3828" s="380"/>
      <c r="H3828" s="380"/>
      <c r="I3828" s="399"/>
      <c r="J3828" s="377">
        <v>100</v>
      </c>
      <c r="K3828" s="380"/>
      <c r="L3828" s="378"/>
      <c r="M3828" s="380"/>
      <c r="N3828" s="380"/>
      <c r="O3828" s="380"/>
      <c r="P3828" s="380"/>
      <c r="Q3828" s="380"/>
    </row>
    <row r="3829" spans="1:17" x14ac:dyDescent="0.2">
      <c r="A3829" s="334" t="s">
        <v>1736</v>
      </c>
      <c r="B3829" s="380"/>
      <c r="C3829" s="334" t="s">
        <v>1747</v>
      </c>
      <c r="D3829" s="377">
        <v>500</v>
      </c>
      <c r="E3829" s="380"/>
      <c r="F3829" s="378"/>
      <c r="G3829" s="380"/>
      <c r="H3829" s="380"/>
      <c r="I3829" s="399"/>
      <c r="J3829" s="377">
        <v>140</v>
      </c>
      <c r="K3829" s="380"/>
      <c r="L3829" s="378"/>
      <c r="M3829" s="380"/>
      <c r="N3829" s="380"/>
      <c r="O3829" s="380"/>
      <c r="P3829" s="380"/>
      <c r="Q3829" s="380"/>
    </row>
    <row r="3830" spans="1:17" x14ac:dyDescent="0.2">
      <c r="A3830" s="384" t="s">
        <v>1744</v>
      </c>
      <c r="B3830" s="380"/>
      <c r="C3830" s="334" t="s">
        <v>1254</v>
      </c>
      <c r="D3830" s="377"/>
      <c r="E3830" s="380"/>
      <c r="F3830" s="378"/>
      <c r="G3830" s="380"/>
      <c r="H3830" s="380"/>
      <c r="I3830" s="399"/>
      <c r="J3830" s="377"/>
      <c r="K3830" s="380"/>
      <c r="L3830" s="378"/>
      <c r="M3830" s="380"/>
      <c r="N3830" s="380"/>
      <c r="O3830" s="380"/>
      <c r="P3830" s="380"/>
      <c r="Q3830" s="380"/>
    </row>
    <row r="3831" spans="1:17" x14ac:dyDescent="0.2">
      <c r="A3831" s="334" t="s">
        <v>1582</v>
      </c>
      <c r="B3831" s="380"/>
      <c r="C3831" s="334" t="s">
        <v>3135</v>
      </c>
      <c r="D3831" s="377"/>
      <c r="E3831" s="380"/>
      <c r="F3831" s="378"/>
      <c r="G3831" s="380"/>
      <c r="H3831" s="380"/>
      <c r="I3831" s="399"/>
      <c r="J3831" s="377">
        <v>281.95</v>
      </c>
      <c r="K3831" s="380"/>
      <c r="L3831" s="378"/>
      <c r="M3831" s="380"/>
      <c r="N3831" s="380"/>
      <c r="O3831" s="380"/>
      <c r="P3831" s="380"/>
      <c r="Q3831" s="380"/>
    </row>
    <row r="3832" spans="1:17" x14ac:dyDescent="0.2">
      <c r="A3832" s="334" t="s">
        <v>1725</v>
      </c>
      <c r="B3832" s="380"/>
      <c r="C3832" s="334" t="s">
        <v>1890</v>
      </c>
      <c r="D3832" s="377"/>
      <c r="E3832" s="380"/>
      <c r="F3832" s="378"/>
      <c r="G3832" s="380"/>
      <c r="H3832" s="380"/>
      <c r="I3832" s="399"/>
      <c r="J3832" s="377"/>
      <c r="K3832" s="380"/>
      <c r="L3832" s="378"/>
      <c r="M3832" s="380"/>
      <c r="N3832" s="380"/>
      <c r="O3832" s="380"/>
      <c r="P3832" s="380"/>
      <c r="Q3832" s="380"/>
    </row>
    <row r="3833" spans="1:17" x14ac:dyDescent="0.2">
      <c r="A3833" s="405" t="s">
        <v>1745</v>
      </c>
      <c r="B3833" s="380"/>
      <c r="C3833" s="334" t="s">
        <v>1887</v>
      </c>
      <c r="D3833" s="377"/>
      <c r="E3833" s="380"/>
      <c r="F3833" s="378"/>
      <c r="G3833" s="380"/>
      <c r="H3833" s="380"/>
      <c r="I3833" s="399"/>
      <c r="J3833" s="377"/>
      <c r="K3833" s="380"/>
      <c r="L3833" s="378"/>
      <c r="M3833" s="380"/>
      <c r="N3833" s="380"/>
      <c r="O3833" s="380"/>
      <c r="P3833" s="380"/>
      <c r="Q3833" s="380"/>
    </row>
    <row r="3834" spans="1:17" x14ac:dyDescent="0.2">
      <c r="A3834" s="334" t="s">
        <v>1737</v>
      </c>
      <c r="B3834" s="380"/>
      <c r="C3834" s="334" t="s">
        <v>1984</v>
      </c>
      <c r="D3834" s="377"/>
      <c r="E3834" s="380"/>
      <c r="F3834" s="378"/>
      <c r="G3834" s="380"/>
      <c r="H3834" s="380"/>
      <c r="I3834" s="399"/>
      <c r="J3834" s="377">
        <v>440</v>
      </c>
      <c r="K3834" s="380"/>
      <c r="L3834" s="378"/>
      <c r="M3834" s="380"/>
      <c r="N3834" s="380"/>
      <c r="O3834" s="380"/>
      <c r="P3834" s="380"/>
      <c r="Q3834" s="380"/>
    </row>
    <row r="3835" spans="1:17" x14ac:dyDescent="0.2">
      <c r="A3835" s="334" t="s">
        <v>1726</v>
      </c>
      <c r="B3835" s="380"/>
      <c r="C3835" s="334" t="s">
        <v>1117</v>
      </c>
      <c r="D3835" s="377"/>
      <c r="E3835" s="380"/>
      <c r="F3835" s="378"/>
      <c r="G3835" s="380"/>
      <c r="H3835" s="380"/>
      <c r="I3835" s="399"/>
      <c r="J3835" s="377"/>
      <c r="K3835" s="380"/>
      <c r="L3835" s="378"/>
      <c r="M3835" s="380"/>
      <c r="N3835" s="380"/>
      <c r="O3835" s="380"/>
      <c r="P3835" s="380"/>
      <c r="Q3835" s="380"/>
    </row>
    <row r="3836" spans="1:17" x14ac:dyDescent="0.2">
      <c r="A3836" s="384" t="s">
        <v>1661</v>
      </c>
      <c r="B3836" s="380"/>
      <c r="C3836" s="334" t="s">
        <v>3136</v>
      </c>
      <c r="D3836" s="377"/>
      <c r="E3836" s="380"/>
      <c r="F3836" s="378"/>
      <c r="G3836" s="380"/>
      <c r="H3836" s="380"/>
      <c r="I3836" s="399"/>
      <c r="J3836" s="377"/>
      <c r="K3836" s="380"/>
      <c r="L3836" s="378"/>
      <c r="M3836" s="380"/>
      <c r="N3836" s="380"/>
      <c r="O3836" s="380"/>
      <c r="P3836" s="380"/>
      <c r="Q3836" s="380"/>
    </row>
    <row r="3837" spans="1:17" x14ac:dyDescent="0.2">
      <c r="A3837" s="334" t="s">
        <v>1734</v>
      </c>
      <c r="B3837" s="380"/>
      <c r="C3837" s="334" t="s">
        <v>1746</v>
      </c>
      <c r="D3837" s="377"/>
      <c r="E3837" s="380"/>
      <c r="F3837" s="378"/>
      <c r="G3837" s="380"/>
      <c r="H3837" s="380"/>
      <c r="I3837" s="399"/>
      <c r="J3837" s="377"/>
      <c r="K3837" s="380"/>
      <c r="L3837" s="378"/>
      <c r="M3837" s="380"/>
      <c r="N3837" s="380"/>
      <c r="O3837" s="380"/>
      <c r="P3837" s="380"/>
      <c r="Q3837" s="380"/>
    </row>
    <row r="3838" spans="1:17" x14ac:dyDescent="0.2">
      <c r="A3838" s="334" t="s">
        <v>1738</v>
      </c>
      <c r="B3838" s="380"/>
      <c r="C3838" s="334" t="s">
        <v>1591</v>
      </c>
      <c r="D3838" s="377"/>
      <c r="E3838" s="380"/>
      <c r="F3838" s="378"/>
      <c r="G3838" s="380"/>
      <c r="H3838" s="380"/>
      <c r="I3838" s="399"/>
      <c r="J3838" s="377">
        <v>200</v>
      </c>
      <c r="K3838" s="380"/>
      <c r="L3838" s="378"/>
      <c r="M3838" s="380"/>
      <c r="N3838" s="380"/>
      <c r="O3838" s="380"/>
      <c r="P3838" s="380"/>
      <c r="Q3838" s="380"/>
    </row>
    <row r="3839" spans="1:17" x14ac:dyDescent="0.2">
      <c r="A3839" s="334" t="s">
        <v>1727</v>
      </c>
      <c r="B3839" s="380"/>
      <c r="C3839" s="334" t="s">
        <v>307</v>
      </c>
      <c r="D3839" s="377"/>
      <c r="E3839" s="380"/>
      <c r="F3839" s="378"/>
      <c r="G3839" s="380"/>
      <c r="H3839" s="380"/>
      <c r="I3839" s="399"/>
      <c r="J3839" s="377">
        <v>150</v>
      </c>
      <c r="K3839" s="380"/>
      <c r="L3839" s="378"/>
      <c r="M3839" s="380"/>
      <c r="N3839" s="380"/>
      <c r="O3839" s="380"/>
      <c r="P3839" s="380"/>
      <c r="Q3839" s="380"/>
    </row>
    <row r="3840" spans="1:17" x14ac:dyDescent="0.2">
      <c r="A3840" s="334" t="s">
        <v>1728</v>
      </c>
      <c r="B3840" s="380"/>
      <c r="C3840" s="334" t="s">
        <v>310</v>
      </c>
      <c r="D3840" s="377"/>
      <c r="E3840" s="380"/>
      <c r="F3840" s="378"/>
      <c r="G3840" s="380"/>
      <c r="H3840" s="380"/>
      <c r="I3840" s="399"/>
      <c r="J3840" s="377">
        <v>150</v>
      </c>
      <c r="K3840" s="380"/>
      <c r="L3840" s="378"/>
      <c r="M3840" s="380"/>
      <c r="N3840" s="380"/>
      <c r="O3840" s="380"/>
      <c r="P3840" s="380"/>
      <c r="Q3840" s="380"/>
    </row>
    <row r="3841" spans="1:17" x14ac:dyDescent="0.2">
      <c r="A3841" s="334" t="s">
        <v>1729</v>
      </c>
      <c r="B3841" s="380"/>
      <c r="C3841" s="380" t="s">
        <v>1551</v>
      </c>
      <c r="D3841" s="377"/>
      <c r="E3841" s="380"/>
      <c r="F3841" s="378"/>
      <c r="G3841" s="380"/>
      <c r="H3841" s="380"/>
      <c r="I3841" s="399"/>
      <c r="J3841" s="377">
        <v>25</v>
      </c>
      <c r="K3841" s="380"/>
      <c r="L3841" s="378"/>
      <c r="M3841" s="380"/>
      <c r="N3841" s="380"/>
      <c r="O3841" s="380"/>
      <c r="P3841" s="380"/>
      <c r="Q3841" s="380"/>
    </row>
    <row r="3842" spans="1:17" x14ac:dyDescent="0.2">
      <c r="A3842" s="334" t="s">
        <v>1735</v>
      </c>
      <c r="B3842" s="380"/>
      <c r="C3842" s="380" t="s">
        <v>194</v>
      </c>
      <c r="D3842" s="377"/>
      <c r="E3842" s="380"/>
      <c r="F3842" s="378"/>
      <c r="G3842" s="380"/>
      <c r="H3842" s="380"/>
      <c r="I3842" s="399"/>
      <c r="J3842" s="377">
        <v>50</v>
      </c>
      <c r="K3842" s="380"/>
      <c r="L3842" s="378"/>
      <c r="M3842" s="380"/>
      <c r="N3842" s="380"/>
      <c r="O3842" s="380"/>
      <c r="P3842" s="380"/>
      <c r="Q3842" s="380"/>
    </row>
    <row r="3843" spans="1:17" x14ac:dyDescent="0.2">
      <c r="A3843" s="405" t="s">
        <v>1741</v>
      </c>
      <c r="B3843" s="380"/>
      <c r="C3843" s="334" t="s">
        <v>1748</v>
      </c>
      <c r="D3843" s="377">
        <v>100</v>
      </c>
      <c r="E3843" s="380"/>
      <c r="F3843" s="378"/>
      <c r="G3843" s="380"/>
      <c r="H3843" s="380"/>
      <c r="I3843" s="399"/>
      <c r="J3843" s="377"/>
      <c r="K3843" s="380"/>
      <c r="L3843" s="378"/>
      <c r="M3843" s="380"/>
      <c r="N3843" s="380"/>
      <c r="O3843" s="380"/>
      <c r="P3843" s="380"/>
      <c r="Q3843" s="380"/>
    </row>
    <row r="3844" spans="1:17" x14ac:dyDescent="0.2">
      <c r="A3844" s="405" t="s">
        <v>1754</v>
      </c>
      <c r="B3844" s="380"/>
      <c r="C3844" s="334" t="s">
        <v>1929</v>
      </c>
      <c r="D3844" s="377"/>
      <c r="E3844" s="380"/>
      <c r="F3844" s="378"/>
      <c r="G3844" s="380"/>
      <c r="H3844" s="380"/>
      <c r="I3844" s="399"/>
      <c r="J3844" s="377">
        <v>375</v>
      </c>
      <c r="K3844" s="380"/>
      <c r="L3844" s="378"/>
      <c r="M3844" s="380"/>
      <c r="N3844" s="380"/>
      <c r="O3844" s="380"/>
      <c r="P3844" s="380"/>
      <c r="Q3844" s="380"/>
    </row>
    <row r="3845" spans="1:17" x14ac:dyDescent="0.2">
      <c r="A3845" s="334" t="s">
        <v>1730</v>
      </c>
      <c r="B3845" s="380"/>
      <c r="C3845" s="334" t="s">
        <v>1985</v>
      </c>
      <c r="D3845" s="377">
        <v>500</v>
      </c>
      <c r="E3845" s="380"/>
      <c r="F3845" s="378"/>
      <c r="G3845" s="380"/>
      <c r="H3845" s="380"/>
      <c r="I3845" s="399"/>
      <c r="J3845" s="377">
        <v>250</v>
      </c>
      <c r="K3845" s="380"/>
      <c r="L3845" s="378"/>
      <c r="M3845" s="380"/>
      <c r="N3845" s="380"/>
      <c r="O3845" s="380"/>
      <c r="P3845" s="380"/>
      <c r="Q3845" s="380"/>
    </row>
    <row r="3846" spans="1:17" x14ac:dyDescent="0.2">
      <c r="A3846" s="334" t="s">
        <v>1566</v>
      </c>
      <c r="B3846" s="380"/>
      <c r="C3846" s="334" t="s">
        <v>366</v>
      </c>
      <c r="D3846" s="377">
        <v>2000</v>
      </c>
      <c r="E3846" s="380"/>
      <c r="F3846" s="378"/>
      <c r="G3846" s="380"/>
      <c r="H3846" s="380"/>
      <c r="I3846" s="399"/>
      <c r="J3846" s="377">
        <v>400</v>
      </c>
      <c r="K3846" s="380"/>
      <c r="L3846" s="378"/>
      <c r="M3846" s="380"/>
      <c r="N3846" s="380"/>
      <c r="O3846" s="380"/>
      <c r="P3846" s="380"/>
      <c r="Q3846" s="380"/>
    </row>
    <row r="3847" spans="1:17" x14ac:dyDescent="0.2">
      <c r="A3847" s="405" t="s">
        <v>1755</v>
      </c>
      <c r="B3847" s="380"/>
      <c r="C3847" s="380" t="s">
        <v>1986</v>
      </c>
      <c r="D3847" s="377"/>
      <c r="E3847" s="380"/>
      <c r="F3847" s="378"/>
      <c r="G3847" s="380"/>
      <c r="H3847" s="380"/>
      <c r="I3847" s="399"/>
      <c r="J3847" s="377"/>
      <c r="K3847" s="380"/>
      <c r="L3847" s="378"/>
      <c r="M3847" s="380"/>
      <c r="N3847" s="380"/>
      <c r="O3847" s="380"/>
      <c r="P3847" s="380"/>
      <c r="Q3847" s="380"/>
    </row>
    <row r="3848" spans="1:17" x14ac:dyDescent="0.2">
      <c r="A3848" s="384" t="s">
        <v>1962</v>
      </c>
      <c r="B3848" s="380"/>
      <c r="C3848" s="380" t="s">
        <v>572</v>
      </c>
      <c r="D3848" s="377">
        <v>1900</v>
      </c>
      <c r="E3848" s="380"/>
      <c r="F3848" s="378"/>
      <c r="G3848" s="380"/>
      <c r="H3848" s="380"/>
      <c r="I3848" s="399"/>
      <c r="J3848" s="377"/>
      <c r="K3848" s="380"/>
      <c r="L3848" s="378"/>
      <c r="M3848" s="380"/>
      <c r="N3848" s="380"/>
      <c r="O3848" s="380"/>
      <c r="P3848" s="380"/>
      <c r="Q3848" s="380"/>
    </row>
    <row r="3849" spans="1:17" x14ac:dyDescent="0.2">
      <c r="A3849" s="380"/>
      <c r="B3849" s="380"/>
      <c r="C3849" s="380"/>
      <c r="D3849" s="410" t="s">
        <v>342</v>
      </c>
      <c r="E3849" s="380"/>
      <c r="F3849" s="378"/>
      <c r="G3849" s="380"/>
      <c r="H3849" s="380"/>
      <c r="I3849" s="385"/>
      <c r="J3849" s="410" t="s">
        <v>342</v>
      </c>
      <c r="K3849" s="380"/>
      <c r="L3849" s="378"/>
      <c r="M3849" s="380"/>
      <c r="N3849" s="380"/>
      <c r="O3849" s="380"/>
      <c r="P3849" s="380"/>
      <c r="Q3849" s="380"/>
    </row>
    <row r="3850" spans="1:17" x14ac:dyDescent="0.2">
      <c r="A3850" s="380"/>
      <c r="B3850" s="380"/>
      <c r="C3850" s="380"/>
      <c r="D3850" s="334">
        <f>SUM(D3828:D3848)</f>
        <v>5000</v>
      </c>
      <c r="E3850" s="380"/>
      <c r="F3850" s="378"/>
      <c r="G3850" s="380"/>
      <c r="H3850" s="380"/>
      <c r="I3850" s="385"/>
      <c r="J3850" s="334">
        <f>SUM(J3828:J3848)</f>
        <v>2561.9499999999998</v>
      </c>
      <c r="K3850" s="380"/>
      <c r="L3850" s="378"/>
      <c r="M3850" s="380"/>
      <c r="N3850" s="380"/>
      <c r="O3850" s="380"/>
      <c r="P3850" s="380"/>
      <c r="Q3850" s="380"/>
    </row>
    <row r="3851" spans="1:17" ht="15.75" thickTop="1" x14ac:dyDescent="0.2">
      <c r="A3851" s="380"/>
      <c r="B3851" s="380"/>
      <c r="C3851" s="380"/>
      <c r="D3851" s="395"/>
      <c r="E3851" s="380"/>
      <c r="F3851" s="378"/>
      <c r="G3851" s="380"/>
      <c r="H3851" s="380"/>
      <c r="I3851" s="399"/>
      <c r="J3851" s="395"/>
      <c r="K3851" s="380"/>
      <c r="L3851" s="378"/>
      <c r="M3851" s="380"/>
      <c r="N3851" s="380"/>
      <c r="O3851" s="380"/>
      <c r="P3851" s="380"/>
      <c r="Q3851" s="380"/>
    </row>
    <row r="3852" spans="1:17" x14ac:dyDescent="0.2">
      <c r="A3852" s="380"/>
      <c r="B3852" s="380"/>
      <c r="C3852" s="380"/>
      <c r="D3852" s="380"/>
      <c r="E3852" s="380"/>
      <c r="F3852" s="378"/>
      <c r="G3852" s="380"/>
      <c r="H3852" s="380"/>
      <c r="I3852" s="382"/>
      <c r="J3852" s="380"/>
      <c r="K3852" s="380"/>
      <c r="L3852" s="378"/>
      <c r="M3852" s="380"/>
      <c r="N3852" s="380"/>
      <c r="O3852" s="380"/>
      <c r="P3852" s="380"/>
      <c r="Q3852" s="380"/>
    </row>
    <row r="3853" spans="1:17" x14ac:dyDescent="0.2">
      <c r="A3853" s="377" t="s">
        <v>342</v>
      </c>
      <c r="B3853" s="377"/>
      <c r="C3853" s="377"/>
      <c r="D3853" s="377"/>
      <c r="E3853" s="377"/>
      <c r="F3853" s="378"/>
      <c r="G3853" s="377"/>
      <c r="H3853" s="377"/>
      <c r="I3853" s="399"/>
      <c r="J3853" s="377"/>
      <c r="K3853" s="377"/>
      <c r="L3853" s="378"/>
      <c r="M3853" s="377"/>
      <c r="N3853" s="377"/>
      <c r="O3853" s="380"/>
      <c r="P3853" s="380"/>
      <c r="Q3853" s="380"/>
    </row>
    <row r="3854" spans="1:17" x14ac:dyDescent="0.2">
      <c r="A3854" s="334" t="s">
        <v>1943</v>
      </c>
      <c r="B3854" s="380"/>
      <c r="C3854" s="380"/>
      <c r="D3854" s="380"/>
      <c r="E3854" s="380"/>
      <c r="F3854" s="378"/>
      <c r="G3854" s="380"/>
      <c r="H3854" s="380"/>
      <c r="I3854" s="382"/>
      <c r="J3854" s="380"/>
      <c r="K3854" s="380"/>
      <c r="L3854" s="378"/>
      <c r="M3854" s="380"/>
      <c r="N3854" s="380"/>
      <c r="O3854" s="380"/>
      <c r="P3854" s="380"/>
      <c r="Q3854" s="380"/>
    </row>
    <row r="3855" spans="1:17" x14ac:dyDescent="0.2">
      <c r="A3855" s="334" t="s">
        <v>342</v>
      </c>
      <c r="B3855" s="380"/>
      <c r="C3855" s="384" t="s">
        <v>2170</v>
      </c>
      <c r="D3855" s="380"/>
      <c r="E3855" s="380"/>
      <c r="F3855" s="378"/>
      <c r="G3855" s="380"/>
      <c r="H3855" s="380"/>
      <c r="I3855" s="382"/>
      <c r="J3855" s="380"/>
      <c r="K3855" s="380"/>
      <c r="L3855" s="378"/>
      <c r="M3855" s="380"/>
      <c r="N3855" s="380"/>
      <c r="O3855" s="380"/>
      <c r="P3855" s="380"/>
      <c r="Q3855" s="380"/>
    </row>
    <row r="3856" spans="1:17" x14ac:dyDescent="0.2">
      <c r="A3856" s="334"/>
      <c r="B3856" s="380"/>
      <c r="C3856" s="334"/>
      <c r="D3856" s="380"/>
      <c r="E3856" s="380"/>
      <c r="F3856" s="378"/>
      <c r="G3856" s="380"/>
      <c r="H3856" s="380"/>
      <c r="I3856" s="382"/>
      <c r="J3856" s="380"/>
      <c r="K3856" s="380"/>
      <c r="L3856" s="378"/>
      <c r="M3856" s="380"/>
      <c r="N3856" s="380"/>
      <c r="O3856" s="380"/>
      <c r="P3856" s="380"/>
      <c r="Q3856" s="380"/>
    </row>
    <row r="3857" spans="1:17" x14ac:dyDescent="0.2">
      <c r="A3857" s="334"/>
      <c r="B3857" s="380"/>
      <c r="C3857" s="334"/>
      <c r="D3857" s="380"/>
      <c r="E3857" s="380"/>
      <c r="F3857" s="378"/>
      <c r="G3857" s="380"/>
      <c r="H3857" s="380"/>
      <c r="I3857" s="382"/>
      <c r="J3857" s="380"/>
      <c r="K3857" s="380"/>
      <c r="L3857" s="378"/>
      <c r="M3857" s="380"/>
      <c r="N3857" s="380"/>
      <c r="O3857" s="380"/>
      <c r="P3857" s="380"/>
      <c r="Q3857" s="380"/>
    </row>
    <row r="3858" spans="1:17" x14ac:dyDescent="0.2">
      <c r="A3858" s="334" t="s">
        <v>342</v>
      </c>
      <c r="B3858" s="380"/>
      <c r="C3858" s="334" t="s">
        <v>342</v>
      </c>
      <c r="D3858" s="334" t="s">
        <v>679</v>
      </c>
      <c r="E3858" s="380" t="s">
        <v>1714</v>
      </c>
      <c r="F3858" s="378"/>
      <c r="G3858" s="380"/>
      <c r="H3858" s="380"/>
      <c r="I3858" s="385"/>
      <c r="J3858" s="334" t="s">
        <v>679</v>
      </c>
      <c r="K3858" s="380" t="s">
        <v>1714</v>
      </c>
      <c r="L3858" s="378"/>
      <c r="M3858" s="380"/>
      <c r="N3858" s="380"/>
      <c r="O3858" s="380"/>
      <c r="P3858" s="380"/>
      <c r="Q3858" s="380"/>
    </row>
    <row r="3859" spans="1:17" x14ac:dyDescent="0.2">
      <c r="A3859" s="334" t="s">
        <v>1723</v>
      </c>
      <c r="B3859" s="380"/>
      <c r="C3859" s="334" t="s">
        <v>1880</v>
      </c>
      <c r="D3859" s="334" t="s">
        <v>181</v>
      </c>
      <c r="E3859" s="380" t="s">
        <v>181</v>
      </c>
      <c r="F3859" s="378"/>
      <c r="G3859" s="380"/>
      <c r="H3859" s="380"/>
      <c r="I3859" s="385"/>
      <c r="J3859" s="334" t="s">
        <v>181</v>
      </c>
      <c r="K3859" s="380" t="s">
        <v>181</v>
      </c>
      <c r="L3859" s="378"/>
      <c r="M3859" s="380"/>
      <c r="N3859" s="380"/>
      <c r="O3859" s="380"/>
      <c r="P3859" s="380"/>
      <c r="Q3859" s="380"/>
    </row>
    <row r="3860" spans="1:17" x14ac:dyDescent="0.2">
      <c r="A3860" s="380"/>
      <c r="B3860" s="380"/>
      <c r="C3860" s="380"/>
      <c r="D3860" s="380"/>
      <c r="E3860" s="380"/>
      <c r="F3860" s="378"/>
      <c r="G3860" s="380"/>
      <c r="H3860" s="380"/>
      <c r="I3860" s="382"/>
      <c r="J3860" s="380"/>
      <c r="K3860" s="380"/>
      <c r="L3860" s="378"/>
      <c r="M3860" s="380"/>
      <c r="N3860" s="380"/>
      <c r="O3860" s="380"/>
      <c r="P3860" s="380"/>
      <c r="Q3860" s="380"/>
    </row>
    <row r="3861" spans="1:17" x14ac:dyDescent="0.2">
      <c r="A3861" s="391" t="s">
        <v>1568</v>
      </c>
      <c r="B3861" s="380"/>
      <c r="C3861" s="380" t="s">
        <v>1817</v>
      </c>
      <c r="D3861" s="380"/>
      <c r="E3861" s="380"/>
      <c r="F3861" s="378"/>
      <c r="G3861" s="380"/>
      <c r="H3861" s="380"/>
      <c r="I3861" s="382"/>
      <c r="J3861" s="380"/>
      <c r="K3861" s="380"/>
      <c r="L3861" s="378"/>
      <c r="M3861" s="380"/>
      <c r="N3861" s="380"/>
      <c r="O3861" s="380"/>
      <c r="P3861" s="380"/>
      <c r="Q3861" s="380"/>
    </row>
    <row r="3862" spans="1:17" x14ac:dyDescent="0.2">
      <c r="A3862" s="334" t="s">
        <v>1724</v>
      </c>
      <c r="B3862" s="380"/>
      <c r="C3862" s="334" t="s">
        <v>1881</v>
      </c>
      <c r="D3862" s="377">
        <v>11000</v>
      </c>
      <c r="E3862" s="377"/>
      <c r="F3862" s="378"/>
      <c r="G3862" s="380"/>
      <c r="H3862" s="380"/>
      <c r="I3862" s="399"/>
      <c r="J3862" s="377">
        <v>11000</v>
      </c>
      <c r="K3862" s="377"/>
      <c r="L3862" s="378"/>
      <c r="M3862" s="380"/>
      <c r="N3862" s="380"/>
      <c r="O3862" s="380"/>
      <c r="P3862" s="380"/>
      <c r="Q3862" s="380"/>
    </row>
    <row r="3863" spans="1:17" x14ac:dyDescent="0.2">
      <c r="A3863" s="334" t="s">
        <v>1736</v>
      </c>
      <c r="B3863" s="380"/>
      <c r="C3863" s="334" t="s">
        <v>1747</v>
      </c>
      <c r="D3863" s="377">
        <v>1000</v>
      </c>
      <c r="E3863" s="377"/>
      <c r="F3863" s="378"/>
      <c r="G3863" s="380"/>
      <c r="H3863" s="380"/>
      <c r="I3863" s="399"/>
      <c r="J3863" s="377">
        <v>1000</v>
      </c>
      <c r="K3863" s="377"/>
      <c r="L3863" s="378"/>
      <c r="M3863" s="380"/>
      <c r="N3863" s="380"/>
      <c r="O3863" s="380"/>
      <c r="P3863" s="380"/>
      <c r="Q3863" s="380"/>
    </row>
    <row r="3864" spans="1:17" x14ac:dyDescent="0.2">
      <c r="A3864" s="384" t="s">
        <v>1744</v>
      </c>
      <c r="B3864" s="380"/>
      <c r="C3864" s="334" t="s">
        <v>1254</v>
      </c>
      <c r="D3864" s="377"/>
      <c r="E3864" s="377"/>
      <c r="F3864" s="378"/>
      <c r="G3864" s="380"/>
      <c r="H3864" s="380"/>
      <c r="I3864" s="399"/>
      <c r="J3864" s="377"/>
      <c r="K3864" s="377"/>
      <c r="L3864" s="378"/>
      <c r="M3864" s="380"/>
      <c r="N3864" s="380"/>
      <c r="O3864" s="380"/>
      <c r="P3864" s="380"/>
      <c r="Q3864" s="380"/>
    </row>
    <row r="3865" spans="1:17" x14ac:dyDescent="0.2">
      <c r="A3865" s="384" t="s">
        <v>1582</v>
      </c>
      <c r="B3865" s="380"/>
      <c r="C3865" s="334" t="s">
        <v>3135</v>
      </c>
      <c r="D3865" s="377">
        <v>3500</v>
      </c>
      <c r="E3865" s="377"/>
      <c r="F3865" s="378"/>
      <c r="G3865" s="380"/>
      <c r="H3865" s="380"/>
      <c r="I3865" s="399"/>
      <c r="J3865" s="377">
        <v>3500</v>
      </c>
      <c r="K3865" s="377"/>
      <c r="L3865" s="378"/>
      <c r="M3865" s="380"/>
      <c r="N3865" s="380"/>
      <c r="O3865" s="380"/>
      <c r="P3865" s="380"/>
      <c r="Q3865" s="380"/>
    </row>
    <row r="3866" spans="1:17" x14ac:dyDescent="0.2">
      <c r="A3866" s="334" t="s">
        <v>1575</v>
      </c>
      <c r="B3866" s="380"/>
      <c r="C3866" s="334" t="s">
        <v>1889</v>
      </c>
      <c r="D3866" s="377">
        <v>1000</v>
      </c>
      <c r="E3866" s="377"/>
      <c r="F3866" s="378"/>
      <c r="G3866" s="380"/>
      <c r="H3866" s="380"/>
      <c r="I3866" s="399"/>
      <c r="J3866" s="377">
        <v>1000</v>
      </c>
      <c r="K3866" s="377"/>
      <c r="L3866" s="378"/>
      <c r="M3866" s="380"/>
      <c r="N3866" s="380"/>
      <c r="O3866" s="380"/>
      <c r="P3866" s="380"/>
      <c r="Q3866" s="380"/>
    </row>
    <row r="3867" spans="1:17" x14ac:dyDescent="0.2">
      <c r="A3867" s="334" t="s">
        <v>1725</v>
      </c>
      <c r="B3867" s="380"/>
      <c r="C3867" s="334" t="s">
        <v>1890</v>
      </c>
      <c r="D3867" s="377">
        <v>500</v>
      </c>
      <c r="E3867" s="377"/>
      <c r="F3867" s="378"/>
      <c r="G3867" s="380"/>
      <c r="H3867" s="380"/>
      <c r="I3867" s="399"/>
      <c r="J3867" s="377">
        <v>500</v>
      </c>
      <c r="K3867" s="377"/>
      <c r="L3867" s="378"/>
      <c r="M3867" s="380"/>
      <c r="N3867" s="380"/>
      <c r="O3867" s="380"/>
      <c r="P3867" s="380"/>
      <c r="Q3867" s="380"/>
    </row>
    <row r="3868" spans="1:17" x14ac:dyDescent="0.2">
      <c r="A3868" s="384" t="s">
        <v>1745</v>
      </c>
      <c r="B3868" s="380"/>
      <c r="C3868" s="334" t="s">
        <v>1887</v>
      </c>
      <c r="D3868" s="377">
        <v>150</v>
      </c>
      <c r="E3868" s="377"/>
      <c r="F3868" s="378"/>
      <c r="G3868" s="380"/>
      <c r="H3868" s="380"/>
      <c r="I3868" s="399"/>
      <c r="J3868" s="377">
        <v>150</v>
      </c>
      <c r="K3868" s="377"/>
      <c r="L3868" s="378"/>
      <c r="M3868" s="380"/>
      <c r="N3868" s="380"/>
      <c r="O3868" s="380"/>
      <c r="P3868" s="380"/>
      <c r="Q3868" s="380"/>
    </row>
    <row r="3869" spans="1:17" x14ac:dyDescent="0.2">
      <c r="A3869" s="384" t="s">
        <v>1737</v>
      </c>
      <c r="B3869" s="380"/>
      <c r="C3869" s="334" t="s">
        <v>1984</v>
      </c>
      <c r="D3869" s="377">
        <v>200</v>
      </c>
      <c r="E3869" s="377"/>
      <c r="F3869" s="378"/>
      <c r="G3869" s="380"/>
      <c r="H3869" s="380"/>
      <c r="I3869" s="399"/>
      <c r="J3869" s="377">
        <v>200</v>
      </c>
      <c r="K3869" s="377"/>
      <c r="L3869" s="378"/>
      <c r="M3869" s="380"/>
      <c r="N3869" s="380"/>
      <c r="O3869" s="380"/>
      <c r="P3869" s="380"/>
      <c r="Q3869" s="380"/>
    </row>
    <row r="3870" spans="1:17" x14ac:dyDescent="0.2">
      <c r="A3870" s="384" t="s">
        <v>1726</v>
      </c>
      <c r="B3870" s="380"/>
      <c r="C3870" s="334" t="s">
        <v>1117</v>
      </c>
      <c r="D3870" s="377">
        <v>250</v>
      </c>
      <c r="E3870" s="377"/>
      <c r="F3870" s="378"/>
      <c r="G3870" s="380"/>
      <c r="H3870" s="380"/>
      <c r="I3870" s="399"/>
      <c r="J3870" s="377">
        <v>250</v>
      </c>
      <c r="K3870" s="377"/>
      <c r="L3870" s="378"/>
      <c r="M3870" s="380"/>
      <c r="N3870" s="380"/>
      <c r="O3870" s="380"/>
      <c r="P3870" s="380"/>
      <c r="Q3870" s="380"/>
    </row>
    <row r="3871" spans="1:17" x14ac:dyDescent="0.2">
      <c r="A3871" s="334" t="s">
        <v>1577</v>
      </c>
      <c r="B3871" s="380"/>
      <c r="C3871" s="334" t="s">
        <v>1815</v>
      </c>
      <c r="D3871" s="377"/>
      <c r="E3871" s="377"/>
      <c r="F3871" s="378"/>
      <c r="G3871" s="380"/>
      <c r="H3871" s="380"/>
      <c r="I3871" s="399"/>
      <c r="J3871" s="377"/>
      <c r="K3871" s="377"/>
      <c r="L3871" s="378"/>
      <c r="M3871" s="380"/>
      <c r="N3871" s="380"/>
      <c r="O3871" s="380"/>
      <c r="P3871" s="380"/>
      <c r="Q3871" s="380"/>
    </row>
    <row r="3872" spans="1:17" x14ac:dyDescent="0.2">
      <c r="A3872" s="334" t="s">
        <v>1734</v>
      </c>
      <c r="B3872" s="380"/>
      <c r="C3872" s="334" t="s">
        <v>1746</v>
      </c>
      <c r="D3872" s="377"/>
      <c r="E3872" s="377"/>
      <c r="F3872" s="378"/>
      <c r="G3872" s="380"/>
      <c r="H3872" s="380"/>
      <c r="I3872" s="399"/>
      <c r="J3872" s="377"/>
      <c r="K3872" s="377"/>
      <c r="L3872" s="378"/>
      <c r="M3872" s="380"/>
      <c r="N3872" s="380"/>
      <c r="O3872" s="380"/>
      <c r="P3872" s="380"/>
      <c r="Q3872" s="380"/>
    </row>
    <row r="3873" spans="1:17" x14ac:dyDescent="0.2">
      <c r="A3873" s="384" t="s">
        <v>1738</v>
      </c>
      <c r="B3873" s="380"/>
      <c r="C3873" s="334" t="s">
        <v>1591</v>
      </c>
      <c r="D3873" s="377">
        <v>600</v>
      </c>
      <c r="E3873" s="377"/>
      <c r="F3873" s="378"/>
      <c r="G3873" s="380"/>
      <c r="H3873" s="380"/>
      <c r="I3873" s="399"/>
      <c r="J3873" s="377">
        <v>600</v>
      </c>
      <c r="K3873" s="377"/>
      <c r="L3873" s="378"/>
      <c r="M3873" s="380"/>
      <c r="N3873" s="380"/>
      <c r="O3873" s="380"/>
      <c r="P3873" s="380"/>
      <c r="Q3873" s="380"/>
    </row>
    <row r="3874" spans="1:17" x14ac:dyDescent="0.2">
      <c r="A3874" s="334" t="s">
        <v>1727</v>
      </c>
      <c r="B3874" s="380"/>
      <c r="C3874" s="334" t="s">
        <v>307</v>
      </c>
      <c r="D3874" s="377">
        <v>600</v>
      </c>
      <c r="E3874" s="377"/>
      <c r="F3874" s="378"/>
      <c r="G3874" s="380"/>
      <c r="H3874" s="380"/>
      <c r="I3874" s="399"/>
      <c r="J3874" s="377">
        <v>600</v>
      </c>
      <c r="K3874" s="377"/>
      <c r="L3874" s="378"/>
      <c r="M3874" s="380"/>
      <c r="N3874" s="380"/>
      <c r="O3874" s="380"/>
      <c r="P3874" s="380"/>
      <c r="Q3874" s="380"/>
    </row>
    <row r="3875" spans="1:17" x14ac:dyDescent="0.2">
      <c r="A3875" s="334" t="s">
        <v>1728</v>
      </c>
      <c r="B3875" s="380"/>
      <c r="C3875" s="334" t="s">
        <v>310</v>
      </c>
      <c r="D3875" s="377">
        <v>300</v>
      </c>
      <c r="E3875" s="377"/>
      <c r="F3875" s="378"/>
      <c r="G3875" s="380"/>
      <c r="H3875" s="380"/>
      <c r="I3875" s="399"/>
      <c r="J3875" s="377">
        <v>300</v>
      </c>
      <c r="K3875" s="377"/>
      <c r="L3875" s="378"/>
      <c r="M3875" s="380"/>
      <c r="N3875" s="380"/>
      <c r="O3875" s="380"/>
      <c r="P3875" s="380"/>
      <c r="Q3875" s="380"/>
    </row>
    <row r="3876" spans="1:17" x14ac:dyDescent="0.2">
      <c r="A3876" s="334" t="s">
        <v>1729</v>
      </c>
      <c r="B3876" s="380"/>
      <c r="C3876" s="380" t="s">
        <v>1551</v>
      </c>
      <c r="D3876" s="377">
        <v>-2245</v>
      </c>
      <c r="E3876" s="377"/>
      <c r="F3876" s="378"/>
      <c r="G3876" s="380"/>
      <c r="H3876" s="380"/>
      <c r="I3876" s="399"/>
      <c r="J3876" s="377">
        <v>35</v>
      </c>
      <c r="K3876" s="377"/>
      <c r="L3876" s="378"/>
      <c r="M3876" s="380"/>
      <c r="N3876" s="380"/>
      <c r="O3876" s="380"/>
      <c r="P3876" s="380"/>
      <c r="Q3876" s="380"/>
    </row>
    <row r="3877" spans="1:17" x14ac:dyDescent="0.2">
      <c r="A3877" s="334" t="s">
        <v>1735</v>
      </c>
      <c r="B3877" s="380"/>
      <c r="C3877" s="380" t="s">
        <v>194</v>
      </c>
      <c r="D3877" s="377"/>
      <c r="E3877" s="377"/>
      <c r="F3877" s="378"/>
      <c r="G3877" s="380"/>
      <c r="H3877" s="380"/>
      <c r="I3877" s="399"/>
      <c r="J3877" s="377">
        <v>25</v>
      </c>
      <c r="K3877" s="377"/>
      <c r="L3877" s="378"/>
      <c r="M3877" s="380"/>
      <c r="N3877" s="380"/>
      <c r="O3877" s="380"/>
      <c r="P3877" s="380"/>
      <c r="Q3877" s="380"/>
    </row>
    <row r="3878" spans="1:17" x14ac:dyDescent="0.2">
      <c r="A3878" s="334" t="s">
        <v>1944</v>
      </c>
      <c r="B3878" s="380"/>
      <c r="C3878" s="334" t="s">
        <v>72</v>
      </c>
      <c r="D3878" s="377"/>
      <c r="E3878" s="377"/>
      <c r="F3878" s="378"/>
      <c r="G3878" s="380"/>
      <c r="H3878" s="380"/>
      <c r="I3878" s="399"/>
      <c r="J3878" s="377"/>
      <c r="K3878" s="377"/>
      <c r="L3878" s="378"/>
      <c r="M3878" s="380"/>
      <c r="N3878" s="380"/>
      <c r="O3878" s="380"/>
      <c r="P3878" s="380"/>
      <c r="Q3878" s="380"/>
    </row>
    <row r="3879" spans="1:17" x14ac:dyDescent="0.2">
      <c r="A3879" s="334" t="s">
        <v>1572</v>
      </c>
      <c r="B3879" s="380"/>
      <c r="C3879" s="334" t="s">
        <v>3134</v>
      </c>
      <c r="D3879" s="377">
        <v>150</v>
      </c>
      <c r="E3879" s="377"/>
      <c r="F3879" s="378"/>
      <c r="G3879" s="380"/>
      <c r="H3879" s="380"/>
      <c r="I3879" s="399"/>
      <c r="J3879" s="377">
        <v>150</v>
      </c>
      <c r="K3879" s="377"/>
      <c r="L3879" s="378"/>
      <c r="M3879" s="380"/>
      <c r="N3879" s="380"/>
      <c r="O3879" s="380"/>
      <c r="P3879" s="380"/>
      <c r="Q3879" s="380"/>
    </row>
    <row r="3880" spans="1:17" x14ac:dyDescent="0.2">
      <c r="A3880" s="334" t="s">
        <v>1566</v>
      </c>
      <c r="B3880" s="380"/>
      <c r="C3880" s="334" t="s">
        <v>366</v>
      </c>
      <c r="D3880" s="377">
        <v>800</v>
      </c>
      <c r="E3880" s="377"/>
      <c r="F3880" s="378"/>
      <c r="G3880" s="380"/>
      <c r="H3880" s="380"/>
      <c r="I3880" s="399"/>
      <c r="J3880" s="377">
        <v>800</v>
      </c>
      <c r="K3880" s="377"/>
      <c r="L3880" s="378"/>
      <c r="M3880" s="380"/>
      <c r="N3880" s="380"/>
      <c r="O3880" s="380"/>
      <c r="P3880" s="380"/>
      <c r="Q3880" s="380"/>
    </row>
    <row r="3881" spans="1:17" x14ac:dyDescent="0.2">
      <c r="A3881" s="405" t="s">
        <v>1755</v>
      </c>
      <c r="B3881" s="380"/>
      <c r="C3881" s="380" t="s">
        <v>1986</v>
      </c>
      <c r="D3881" s="377">
        <v>150</v>
      </c>
      <c r="E3881" s="377"/>
      <c r="F3881" s="378"/>
      <c r="G3881" s="380"/>
      <c r="H3881" s="380"/>
      <c r="I3881" s="399"/>
      <c r="J3881" s="377">
        <v>150</v>
      </c>
      <c r="K3881" s="377"/>
      <c r="L3881" s="378"/>
      <c r="M3881" s="380"/>
      <c r="N3881" s="380"/>
      <c r="O3881" s="380"/>
      <c r="P3881" s="380"/>
      <c r="Q3881" s="380"/>
    </row>
    <row r="3882" spans="1:17" x14ac:dyDescent="0.2">
      <c r="A3882" s="384" t="s">
        <v>1903</v>
      </c>
      <c r="B3882" s="380"/>
      <c r="C3882" s="334" t="s">
        <v>35</v>
      </c>
      <c r="D3882" s="377">
        <v>2250</v>
      </c>
      <c r="E3882" s="377"/>
      <c r="F3882" s="378"/>
      <c r="G3882" s="380"/>
      <c r="H3882" s="380"/>
      <c r="I3882" s="399"/>
      <c r="J3882" s="377">
        <v>2250</v>
      </c>
      <c r="K3882" s="377"/>
      <c r="L3882" s="378"/>
      <c r="M3882" s="380"/>
      <c r="N3882" s="380"/>
      <c r="O3882" s="380"/>
      <c r="P3882" s="380"/>
      <c r="Q3882" s="380"/>
    </row>
    <row r="3883" spans="1:17" x14ac:dyDescent="0.2">
      <c r="A3883" s="384" t="s">
        <v>1962</v>
      </c>
      <c r="B3883" s="380"/>
      <c r="C3883" s="380" t="s">
        <v>572</v>
      </c>
      <c r="D3883" s="377"/>
      <c r="E3883" s="423"/>
      <c r="F3883" s="378"/>
      <c r="G3883" s="380"/>
      <c r="H3883" s="380"/>
      <c r="I3883" s="399"/>
      <c r="J3883" s="377"/>
      <c r="K3883" s="423"/>
      <c r="L3883" s="378"/>
      <c r="M3883" s="380"/>
      <c r="N3883" s="380"/>
      <c r="O3883" s="380"/>
      <c r="P3883" s="380"/>
      <c r="Q3883" s="380"/>
    </row>
    <row r="3884" spans="1:17" x14ac:dyDescent="0.2">
      <c r="A3884" s="380"/>
      <c r="B3884" s="380"/>
      <c r="C3884" s="380"/>
      <c r="D3884" s="394"/>
      <c r="E3884" s="380"/>
      <c r="F3884" s="378"/>
      <c r="G3884" s="380"/>
      <c r="H3884" s="380"/>
      <c r="I3884" s="399"/>
      <c r="J3884" s="394"/>
      <c r="K3884" s="380"/>
      <c r="L3884" s="378"/>
      <c r="M3884" s="380"/>
      <c r="N3884" s="380"/>
      <c r="O3884" s="380"/>
      <c r="P3884" s="380"/>
      <c r="Q3884" s="380"/>
    </row>
    <row r="3885" spans="1:17" ht="15.75" thickBot="1" x14ac:dyDescent="0.25">
      <c r="A3885" s="334" t="s">
        <v>342</v>
      </c>
      <c r="B3885" s="380"/>
      <c r="C3885" s="334" t="s">
        <v>342</v>
      </c>
      <c r="D3885" s="334">
        <f>SUM(D3861:D3883)</f>
        <v>20205</v>
      </c>
      <c r="E3885" s="460">
        <f>SUM(E3862:E3883)</f>
        <v>0</v>
      </c>
      <c r="F3885" s="378"/>
      <c r="G3885" s="380"/>
      <c r="H3885" s="380"/>
      <c r="I3885" s="385"/>
      <c r="J3885" s="334">
        <f>SUM(J3861:J3883)</f>
        <v>22510</v>
      </c>
      <c r="K3885" s="460">
        <f>SUM(K3862:K3883)</f>
        <v>0</v>
      </c>
      <c r="L3885" s="378"/>
      <c r="M3885" s="380"/>
      <c r="N3885" s="380"/>
      <c r="O3885" s="380"/>
      <c r="P3885" s="380"/>
      <c r="Q3885" s="380"/>
    </row>
    <row r="3886" spans="1:17" ht="15.75" thickTop="1" x14ac:dyDescent="0.2">
      <c r="A3886" s="334" t="s">
        <v>342</v>
      </c>
      <c r="B3886" s="380"/>
      <c r="C3886" s="334" t="s">
        <v>342</v>
      </c>
      <c r="D3886" s="400" t="s">
        <v>342</v>
      </c>
      <c r="E3886" s="380"/>
      <c r="F3886" s="378"/>
      <c r="G3886" s="380"/>
      <c r="H3886" s="380"/>
      <c r="I3886" s="385"/>
      <c r="J3886" s="400" t="s">
        <v>342</v>
      </c>
      <c r="K3886" s="380"/>
      <c r="L3886" s="378"/>
      <c r="M3886" s="380"/>
      <c r="N3886" s="380"/>
      <c r="O3886" s="380"/>
      <c r="P3886" s="380"/>
      <c r="Q3886" s="380"/>
    </row>
    <row r="3887" spans="1:17" x14ac:dyDescent="0.2">
      <c r="A3887" s="334" t="s">
        <v>342</v>
      </c>
      <c r="B3887" s="380"/>
      <c r="C3887" s="334" t="s">
        <v>342</v>
      </c>
      <c r="D3887" s="334" t="s">
        <v>342</v>
      </c>
      <c r="E3887" s="380"/>
      <c r="F3887" s="378"/>
      <c r="G3887" s="380"/>
      <c r="H3887" s="380"/>
      <c r="I3887" s="385"/>
      <c r="J3887" s="334" t="s">
        <v>342</v>
      </c>
      <c r="K3887" s="380"/>
      <c r="L3887" s="378"/>
      <c r="M3887" s="380"/>
      <c r="N3887" s="380"/>
      <c r="O3887" s="380"/>
      <c r="P3887" s="380"/>
      <c r="Q3887" s="380"/>
    </row>
    <row r="3888" spans="1:17" x14ac:dyDescent="0.2">
      <c r="A3888" s="334" t="s">
        <v>342</v>
      </c>
      <c r="B3888" s="377"/>
      <c r="C3888" s="334" t="s">
        <v>342</v>
      </c>
      <c r="D3888" s="334" t="s">
        <v>342</v>
      </c>
      <c r="E3888" s="377"/>
      <c r="F3888" s="378"/>
      <c r="G3888" s="377"/>
      <c r="H3888" s="377"/>
      <c r="I3888" s="385"/>
      <c r="J3888" s="334" t="s">
        <v>342</v>
      </c>
      <c r="K3888" s="377"/>
      <c r="L3888" s="378"/>
      <c r="M3888" s="377"/>
      <c r="N3888" s="377"/>
      <c r="O3888" s="380"/>
      <c r="P3888" s="380"/>
      <c r="Q3888" s="380"/>
    </row>
    <row r="3889" spans="1:17" x14ac:dyDescent="0.2">
      <c r="A3889" s="334" t="s">
        <v>3172</v>
      </c>
      <c r="B3889" s="380"/>
      <c r="C3889" s="380"/>
      <c r="D3889" s="380"/>
      <c r="E3889" s="380"/>
      <c r="F3889" s="378"/>
      <c r="G3889" s="380"/>
      <c r="H3889" s="380"/>
      <c r="I3889" s="382"/>
      <c r="J3889" s="380"/>
      <c r="K3889" s="380"/>
      <c r="L3889" s="378"/>
      <c r="M3889" s="380"/>
      <c r="N3889" s="380"/>
      <c r="O3889" s="380"/>
      <c r="P3889" s="380"/>
      <c r="Q3889" s="380"/>
    </row>
    <row r="3890" spans="1:17" x14ac:dyDescent="0.2">
      <c r="A3890" s="334" t="s">
        <v>342</v>
      </c>
      <c r="B3890" s="380"/>
      <c r="C3890" s="384" t="s">
        <v>3173</v>
      </c>
      <c r="D3890" s="380"/>
      <c r="E3890" s="380"/>
      <c r="F3890" s="378"/>
      <c r="G3890" s="380"/>
      <c r="H3890" s="380"/>
      <c r="I3890" s="382"/>
      <c r="J3890" s="380"/>
      <c r="K3890" s="380"/>
      <c r="L3890" s="378"/>
      <c r="M3890" s="380"/>
      <c r="N3890" s="380"/>
      <c r="O3890" s="380"/>
      <c r="P3890" s="380"/>
      <c r="Q3890" s="380"/>
    </row>
    <row r="3891" spans="1:17" x14ac:dyDescent="0.2">
      <c r="A3891" s="334" t="s">
        <v>342</v>
      </c>
      <c r="B3891" s="380"/>
      <c r="C3891" s="334" t="s">
        <v>342</v>
      </c>
      <c r="D3891" s="334" t="s">
        <v>342</v>
      </c>
      <c r="E3891" s="380"/>
      <c r="F3891" s="378"/>
      <c r="G3891" s="380"/>
      <c r="H3891" s="380"/>
      <c r="I3891" s="385"/>
      <c r="J3891" s="334" t="s">
        <v>342</v>
      </c>
      <c r="K3891" s="380"/>
      <c r="L3891" s="378"/>
      <c r="M3891" s="380"/>
      <c r="N3891" s="380"/>
      <c r="O3891" s="380"/>
      <c r="P3891" s="380"/>
      <c r="Q3891" s="380"/>
    </row>
    <row r="3892" spans="1:17" x14ac:dyDescent="0.2">
      <c r="A3892" s="334" t="s">
        <v>1723</v>
      </c>
      <c r="B3892" s="380"/>
      <c r="C3892" s="334" t="s">
        <v>1880</v>
      </c>
      <c r="D3892" s="334" t="s">
        <v>181</v>
      </c>
      <c r="E3892" s="380"/>
      <c r="F3892" s="378"/>
      <c r="G3892" s="380"/>
      <c r="H3892" s="380"/>
      <c r="I3892" s="385"/>
      <c r="J3892" s="334" t="s">
        <v>181</v>
      </c>
      <c r="K3892" s="380"/>
      <c r="L3892" s="378"/>
      <c r="M3892" s="380"/>
      <c r="N3892" s="380"/>
      <c r="O3892" s="380"/>
      <c r="P3892" s="380"/>
      <c r="Q3892" s="380"/>
    </row>
    <row r="3893" spans="1:17" x14ac:dyDescent="0.2">
      <c r="A3893" s="334" t="s">
        <v>342</v>
      </c>
      <c r="B3893" s="380"/>
      <c r="C3893" s="334" t="s">
        <v>342</v>
      </c>
      <c r="D3893" s="334" t="s">
        <v>342</v>
      </c>
      <c r="E3893" s="380"/>
      <c r="F3893" s="378"/>
      <c r="G3893" s="380"/>
      <c r="H3893" s="380"/>
      <c r="I3893" s="385"/>
      <c r="J3893" s="334" t="s">
        <v>342</v>
      </c>
      <c r="K3893" s="380"/>
      <c r="L3893" s="378"/>
      <c r="M3893" s="380"/>
      <c r="N3893" s="380"/>
      <c r="O3893" s="380"/>
      <c r="P3893" s="380"/>
      <c r="Q3893" s="380"/>
    </row>
    <row r="3894" spans="1:17" x14ac:dyDescent="0.2">
      <c r="A3894" s="334" t="s">
        <v>1569</v>
      </c>
      <c r="B3894" s="380"/>
      <c r="C3894" s="334" t="s">
        <v>1888</v>
      </c>
      <c r="D3894" s="377"/>
      <c r="E3894" s="380"/>
      <c r="F3894" s="378"/>
      <c r="G3894" s="380"/>
      <c r="H3894" s="380"/>
      <c r="I3894" s="399"/>
      <c r="J3894" s="377"/>
      <c r="K3894" s="380"/>
      <c r="L3894" s="378"/>
      <c r="M3894" s="380"/>
      <c r="N3894" s="380"/>
      <c r="O3894" s="380"/>
      <c r="P3894" s="380"/>
      <c r="Q3894" s="380"/>
    </row>
    <row r="3895" spans="1:17" x14ac:dyDescent="0.2">
      <c r="A3895" s="334" t="s">
        <v>1724</v>
      </c>
      <c r="B3895" s="380"/>
      <c r="C3895" s="334" t="s">
        <v>1881</v>
      </c>
      <c r="D3895" s="427">
        <f>2000+20</f>
        <v>2020</v>
      </c>
      <c r="E3895" s="380"/>
      <c r="F3895" s="378"/>
      <c r="G3895" s="380"/>
      <c r="H3895" s="380"/>
      <c r="I3895" s="399"/>
      <c r="J3895" s="377">
        <v>2000</v>
      </c>
      <c r="K3895" s="380"/>
      <c r="L3895" s="378"/>
      <c r="M3895" s="380"/>
      <c r="N3895" s="380"/>
      <c r="O3895" s="380"/>
      <c r="P3895" s="380"/>
      <c r="Q3895" s="380"/>
    </row>
    <row r="3896" spans="1:17" x14ac:dyDescent="0.2">
      <c r="A3896" s="334" t="s">
        <v>1736</v>
      </c>
      <c r="B3896" s="380"/>
      <c r="C3896" s="334" t="s">
        <v>1747</v>
      </c>
      <c r="D3896" s="427"/>
      <c r="E3896" s="380"/>
      <c r="F3896" s="378"/>
      <c r="G3896" s="380"/>
      <c r="H3896" s="380"/>
      <c r="I3896" s="399"/>
      <c r="J3896" s="377"/>
      <c r="K3896" s="380"/>
      <c r="L3896" s="378"/>
      <c r="M3896" s="380"/>
      <c r="N3896" s="380"/>
      <c r="O3896" s="380"/>
      <c r="P3896" s="380"/>
      <c r="Q3896" s="380"/>
    </row>
    <row r="3897" spans="1:17" x14ac:dyDescent="0.2">
      <c r="A3897" s="384" t="s">
        <v>1744</v>
      </c>
      <c r="B3897" s="380"/>
      <c r="C3897" s="334" t="s">
        <v>1254</v>
      </c>
      <c r="D3897" s="427"/>
      <c r="E3897" s="380"/>
      <c r="F3897" s="378"/>
      <c r="G3897" s="380"/>
      <c r="H3897" s="380"/>
      <c r="I3897" s="399"/>
      <c r="J3897" s="377"/>
      <c r="K3897" s="380"/>
      <c r="L3897" s="378"/>
      <c r="M3897" s="380"/>
      <c r="N3897" s="380"/>
      <c r="O3897" s="380"/>
      <c r="P3897" s="380"/>
      <c r="Q3897" s="380"/>
    </row>
    <row r="3898" spans="1:17" x14ac:dyDescent="0.2">
      <c r="A3898" s="334" t="s">
        <v>1575</v>
      </c>
      <c r="B3898" s="380"/>
      <c r="C3898" s="334" t="s">
        <v>1889</v>
      </c>
      <c r="D3898" s="427">
        <v>100</v>
      </c>
      <c r="E3898" s="380"/>
      <c r="F3898" s="378"/>
      <c r="G3898" s="380"/>
      <c r="H3898" s="380"/>
      <c r="I3898" s="399"/>
      <c r="J3898" s="377">
        <v>100</v>
      </c>
      <c r="K3898" s="380"/>
      <c r="L3898" s="378"/>
      <c r="M3898" s="380"/>
      <c r="N3898" s="380"/>
      <c r="O3898" s="380"/>
      <c r="P3898" s="380"/>
      <c r="Q3898" s="380"/>
    </row>
    <row r="3899" spans="1:17" x14ac:dyDescent="0.2">
      <c r="A3899" s="334" t="s">
        <v>1725</v>
      </c>
      <c r="B3899" s="380"/>
      <c r="C3899" s="334" t="s">
        <v>1890</v>
      </c>
      <c r="D3899" s="427">
        <v>100</v>
      </c>
      <c r="E3899" s="380"/>
      <c r="F3899" s="378"/>
      <c r="G3899" s="380"/>
      <c r="H3899" s="380"/>
      <c r="I3899" s="399"/>
      <c r="J3899" s="377">
        <v>100</v>
      </c>
      <c r="K3899" s="380"/>
      <c r="L3899" s="378"/>
      <c r="M3899" s="380"/>
      <c r="N3899" s="380"/>
      <c r="O3899" s="380"/>
      <c r="P3899" s="380"/>
      <c r="Q3899" s="380"/>
    </row>
    <row r="3900" spans="1:17" x14ac:dyDescent="0.2">
      <c r="A3900" s="384" t="s">
        <v>1745</v>
      </c>
      <c r="B3900" s="380"/>
      <c r="C3900" s="334" t="s">
        <v>1887</v>
      </c>
      <c r="D3900" s="427"/>
      <c r="E3900" s="380"/>
      <c r="F3900" s="378"/>
      <c r="G3900" s="380"/>
      <c r="H3900" s="380"/>
      <c r="I3900" s="399"/>
      <c r="J3900" s="377"/>
      <c r="K3900" s="380"/>
      <c r="L3900" s="378"/>
      <c r="M3900" s="380"/>
      <c r="N3900" s="380"/>
      <c r="O3900" s="380"/>
      <c r="P3900" s="380"/>
      <c r="Q3900" s="380"/>
    </row>
    <row r="3901" spans="1:17" x14ac:dyDescent="0.2">
      <c r="A3901" s="334" t="s">
        <v>1737</v>
      </c>
      <c r="B3901" s="380"/>
      <c r="C3901" s="334" t="s">
        <v>1984</v>
      </c>
      <c r="D3901" s="427"/>
      <c r="E3901" s="334" t="s">
        <v>342</v>
      </c>
      <c r="F3901" s="378"/>
      <c r="G3901" s="380"/>
      <c r="H3901" s="380"/>
      <c r="I3901" s="399"/>
      <c r="J3901" s="377"/>
      <c r="K3901" s="334" t="s">
        <v>342</v>
      </c>
      <c r="L3901" s="378"/>
      <c r="M3901" s="380"/>
      <c r="N3901" s="380"/>
      <c r="O3901" s="380"/>
      <c r="P3901" s="380"/>
      <c r="Q3901" s="380"/>
    </row>
    <row r="3902" spans="1:17" x14ac:dyDescent="0.2">
      <c r="A3902" s="334" t="s">
        <v>1726</v>
      </c>
      <c r="B3902" s="380"/>
      <c r="C3902" s="334" t="s">
        <v>1117</v>
      </c>
      <c r="D3902" s="427"/>
      <c r="E3902" s="380"/>
      <c r="F3902" s="378"/>
      <c r="G3902" s="380"/>
      <c r="H3902" s="380"/>
      <c r="I3902" s="399"/>
      <c r="J3902" s="377"/>
      <c r="K3902" s="380"/>
      <c r="L3902" s="378"/>
      <c r="M3902" s="380"/>
      <c r="N3902" s="380"/>
      <c r="O3902" s="380"/>
      <c r="P3902" s="380"/>
      <c r="Q3902" s="380"/>
    </row>
    <row r="3903" spans="1:17" x14ac:dyDescent="0.2">
      <c r="A3903" s="334" t="s">
        <v>1661</v>
      </c>
      <c r="B3903" s="380"/>
      <c r="C3903" s="334" t="s">
        <v>3136</v>
      </c>
      <c r="D3903" s="427"/>
      <c r="E3903" s="380"/>
      <c r="F3903" s="378"/>
      <c r="G3903" s="380"/>
      <c r="H3903" s="380"/>
      <c r="I3903" s="399"/>
      <c r="J3903" s="377"/>
      <c r="K3903" s="380"/>
      <c r="L3903" s="378"/>
      <c r="M3903" s="380"/>
      <c r="N3903" s="380"/>
      <c r="O3903" s="380"/>
      <c r="P3903" s="380"/>
      <c r="Q3903" s="380"/>
    </row>
    <row r="3904" spans="1:17" x14ac:dyDescent="0.2">
      <c r="A3904" s="384" t="s">
        <v>1751</v>
      </c>
      <c r="B3904" s="380"/>
      <c r="C3904" s="334" t="s">
        <v>3138</v>
      </c>
      <c r="D3904" s="427"/>
      <c r="E3904" s="380"/>
      <c r="F3904" s="378"/>
      <c r="G3904" s="380"/>
      <c r="H3904" s="380"/>
      <c r="I3904" s="399"/>
      <c r="J3904" s="377"/>
      <c r="K3904" s="380"/>
      <c r="L3904" s="378"/>
      <c r="M3904" s="380"/>
      <c r="N3904" s="380"/>
      <c r="O3904" s="380"/>
      <c r="P3904" s="380"/>
      <c r="Q3904" s="380"/>
    </row>
    <row r="3905" spans="1:17" x14ac:dyDescent="0.2">
      <c r="A3905" s="334" t="s">
        <v>1734</v>
      </c>
      <c r="B3905" s="380"/>
      <c r="C3905" s="334" t="s">
        <v>1746</v>
      </c>
      <c r="D3905" s="427"/>
      <c r="E3905" s="380"/>
      <c r="F3905" s="378"/>
      <c r="G3905" s="380"/>
      <c r="H3905" s="380"/>
      <c r="I3905" s="399"/>
      <c r="J3905" s="377"/>
      <c r="K3905" s="380"/>
      <c r="L3905" s="378"/>
      <c r="M3905" s="380"/>
      <c r="N3905" s="380"/>
      <c r="O3905" s="380"/>
      <c r="P3905" s="380"/>
      <c r="Q3905" s="380"/>
    </row>
    <row r="3906" spans="1:17" x14ac:dyDescent="0.2">
      <c r="A3906" s="334" t="s">
        <v>1945</v>
      </c>
      <c r="B3906" s="380"/>
      <c r="C3906" s="334" t="s">
        <v>2941</v>
      </c>
      <c r="D3906" s="427"/>
      <c r="E3906" s="380"/>
      <c r="F3906" s="378"/>
      <c r="G3906" s="380"/>
      <c r="H3906" s="380"/>
      <c r="I3906" s="399"/>
      <c r="J3906" s="377"/>
      <c r="K3906" s="380"/>
      <c r="L3906" s="378"/>
      <c r="M3906" s="380"/>
      <c r="N3906" s="380"/>
      <c r="O3906" s="380"/>
      <c r="P3906" s="380"/>
      <c r="Q3906" s="380"/>
    </row>
    <row r="3907" spans="1:17" x14ac:dyDescent="0.2">
      <c r="A3907" s="334" t="s">
        <v>1738</v>
      </c>
      <c r="B3907" s="380"/>
      <c r="C3907" s="334" t="s">
        <v>1591</v>
      </c>
      <c r="D3907" s="427">
        <v>100</v>
      </c>
      <c r="E3907" s="380"/>
      <c r="F3907" s="378"/>
      <c r="G3907" s="380"/>
      <c r="H3907" s="380"/>
      <c r="I3907" s="399"/>
      <c r="J3907" s="377">
        <v>100</v>
      </c>
      <c r="K3907" s="380"/>
      <c r="L3907" s="378"/>
      <c r="M3907" s="380"/>
      <c r="N3907" s="380"/>
      <c r="O3907" s="380"/>
      <c r="P3907" s="380"/>
      <c r="Q3907" s="380"/>
    </row>
    <row r="3908" spans="1:17" x14ac:dyDescent="0.2">
      <c r="A3908" s="334" t="s">
        <v>1727</v>
      </c>
      <c r="B3908" s="380"/>
      <c r="C3908" s="334" t="s">
        <v>307</v>
      </c>
      <c r="D3908" s="427">
        <v>50</v>
      </c>
      <c r="E3908" s="380"/>
      <c r="F3908" s="378"/>
      <c r="G3908" s="380"/>
      <c r="H3908" s="380"/>
      <c r="I3908" s="399"/>
      <c r="J3908" s="377">
        <v>50</v>
      </c>
      <c r="K3908" s="380"/>
      <c r="L3908" s="378"/>
      <c r="M3908" s="380"/>
      <c r="N3908" s="380"/>
      <c r="O3908" s="380"/>
      <c r="P3908" s="380"/>
      <c r="Q3908" s="380"/>
    </row>
    <row r="3909" spans="1:17" x14ac:dyDescent="0.2">
      <c r="A3909" s="334" t="s">
        <v>1728</v>
      </c>
      <c r="B3909" s="380"/>
      <c r="C3909" s="334" t="s">
        <v>310</v>
      </c>
      <c r="D3909" s="427">
        <v>150</v>
      </c>
      <c r="E3909" s="380"/>
      <c r="F3909" s="378"/>
      <c r="G3909" s="380"/>
      <c r="H3909" s="380"/>
      <c r="I3909" s="399"/>
      <c r="J3909" s="377">
        <v>150</v>
      </c>
      <c r="K3909" s="380"/>
      <c r="L3909" s="378"/>
      <c r="M3909" s="380"/>
      <c r="N3909" s="380"/>
      <c r="O3909" s="380"/>
      <c r="P3909" s="380"/>
      <c r="Q3909" s="380"/>
    </row>
    <row r="3910" spans="1:17" x14ac:dyDescent="0.2">
      <c r="A3910" s="334" t="s">
        <v>1729</v>
      </c>
      <c r="B3910" s="380"/>
      <c r="C3910" s="380" t="s">
        <v>1551</v>
      </c>
      <c r="D3910" s="427">
        <v>-1188</v>
      </c>
      <c r="E3910" s="380"/>
      <c r="F3910" s="378"/>
      <c r="G3910" s="380"/>
      <c r="H3910" s="380"/>
      <c r="I3910" s="399"/>
      <c r="J3910" s="377">
        <v>20</v>
      </c>
      <c r="K3910" s="380"/>
      <c r="L3910" s="378"/>
      <c r="M3910" s="380"/>
      <c r="N3910" s="380"/>
      <c r="O3910" s="380"/>
      <c r="P3910" s="380"/>
      <c r="Q3910" s="380"/>
    </row>
    <row r="3911" spans="1:17" x14ac:dyDescent="0.2">
      <c r="A3911" s="334" t="s">
        <v>1735</v>
      </c>
      <c r="B3911" s="380"/>
      <c r="C3911" s="380" t="s">
        <v>194</v>
      </c>
      <c r="D3911" s="427"/>
      <c r="E3911" s="380"/>
      <c r="F3911" s="378"/>
      <c r="G3911" s="380"/>
      <c r="H3911" s="380"/>
      <c r="I3911" s="399"/>
      <c r="J3911" s="377"/>
      <c r="K3911" s="380"/>
      <c r="L3911" s="378"/>
      <c r="M3911" s="380"/>
      <c r="N3911" s="380"/>
      <c r="O3911" s="380"/>
      <c r="P3911" s="380"/>
      <c r="Q3911" s="380"/>
    </row>
    <row r="3912" spans="1:17" x14ac:dyDescent="0.2">
      <c r="A3912" s="334" t="s">
        <v>1572</v>
      </c>
      <c r="B3912" s="380"/>
      <c r="C3912" s="334" t="s">
        <v>3134</v>
      </c>
      <c r="D3912" s="427">
        <v>20</v>
      </c>
      <c r="E3912" s="380"/>
      <c r="F3912" s="378"/>
      <c r="G3912" s="380"/>
      <c r="H3912" s="380"/>
      <c r="I3912" s="399"/>
      <c r="J3912" s="377">
        <v>20</v>
      </c>
      <c r="K3912" s="380"/>
      <c r="L3912" s="378"/>
      <c r="M3912" s="380"/>
      <c r="N3912" s="380"/>
      <c r="O3912" s="380"/>
      <c r="P3912" s="380"/>
      <c r="Q3912" s="380"/>
    </row>
    <row r="3913" spans="1:17" x14ac:dyDescent="0.2">
      <c r="A3913" s="334" t="s">
        <v>1730</v>
      </c>
      <c r="B3913" s="380"/>
      <c r="C3913" s="334" t="s">
        <v>1985</v>
      </c>
      <c r="D3913" s="427">
        <v>3000</v>
      </c>
      <c r="E3913" s="380"/>
      <c r="F3913" s="378"/>
      <c r="G3913" s="380"/>
      <c r="H3913" s="380"/>
      <c r="I3913" s="399"/>
      <c r="J3913" s="377">
        <v>3000</v>
      </c>
      <c r="K3913" s="380"/>
      <c r="L3913" s="378"/>
      <c r="M3913" s="380"/>
      <c r="N3913" s="380"/>
      <c r="O3913" s="380"/>
      <c r="P3913" s="380"/>
      <c r="Q3913" s="380"/>
    </row>
    <row r="3914" spans="1:17" x14ac:dyDescent="0.2">
      <c r="A3914" s="334" t="s">
        <v>1566</v>
      </c>
      <c r="B3914" s="380"/>
      <c r="C3914" s="334" t="s">
        <v>366</v>
      </c>
      <c r="D3914" s="427">
        <v>400</v>
      </c>
      <c r="E3914" s="380"/>
      <c r="F3914" s="378"/>
      <c r="G3914" s="380"/>
      <c r="H3914" s="380"/>
      <c r="I3914" s="399"/>
      <c r="J3914" s="377">
        <v>400</v>
      </c>
      <c r="K3914" s="380"/>
      <c r="L3914" s="378"/>
      <c r="M3914" s="380"/>
      <c r="N3914" s="380"/>
      <c r="O3914" s="380"/>
      <c r="P3914" s="380"/>
      <c r="Q3914" s="380"/>
    </row>
    <row r="3915" spans="1:17" x14ac:dyDescent="0.2">
      <c r="A3915" s="334" t="s">
        <v>1755</v>
      </c>
      <c r="B3915" s="380"/>
      <c r="C3915" s="380" t="s">
        <v>1986</v>
      </c>
      <c r="D3915" s="377"/>
      <c r="E3915" s="380"/>
      <c r="F3915" s="378"/>
      <c r="G3915" s="380"/>
      <c r="H3915" s="380"/>
      <c r="I3915" s="399"/>
      <c r="J3915" s="377"/>
      <c r="K3915" s="380"/>
      <c r="L3915" s="378"/>
      <c r="M3915" s="380"/>
      <c r="N3915" s="380"/>
      <c r="O3915" s="380"/>
      <c r="P3915" s="380"/>
      <c r="Q3915" s="380"/>
    </row>
    <row r="3916" spans="1:17" x14ac:dyDescent="0.2">
      <c r="A3916" s="334" t="s">
        <v>1587</v>
      </c>
      <c r="B3916" s="380"/>
      <c r="C3916" s="334" t="s">
        <v>34</v>
      </c>
      <c r="D3916" s="377"/>
      <c r="E3916" s="380"/>
      <c r="F3916" s="378"/>
      <c r="G3916" s="380"/>
      <c r="H3916" s="380"/>
      <c r="I3916" s="399"/>
      <c r="J3916" s="377"/>
      <c r="K3916" s="380"/>
      <c r="L3916" s="378"/>
      <c r="M3916" s="380"/>
      <c r="N3916" s="380"/>
      <c r="O3916" s="380"/>
      <c r="P3916" s="380"/>
      <c r="Q3916" s="380"/>
    </row>
    <row r="3917" spans="1:17" x14ac:dyDescent="0.2">
      <c r="A3917" s="334" t="s">
        <v>1946</v>
      </c>
      <c r="B3917" s="380"/>
      <c r="C3917" s="392" t="s">
        <v>931</v>
      </c>
      <c r="D3917" s="377"/>
      <c r="E3917" s="380"/>
      <c r="F3917" s="378"/>
      <c r="G3917" s="380"/>
      <c r="H3917" s="380"/>
      <c r="I3917" s="399"/>
      <c r="J3917" s="377"/>
      <c r="K3917" s="380"/>
      <c r="L3917" s="378"/>
      <c r="M3917" s="380"/>
      <c r="N3917" s="380"/>
      <c r="O3917" s="380"/>
      <c r="P3917" s="380"/>
      <c r="Q3917" s="380"/>
    </row>
    <row r="3918" spans="1:17" x14ac:dyDescent="0.2">
      <c r="A3918" s="334" t="s">
        <v>1903</v>
      </c>
      <c r="B3918" s="380"/>
      <c r="C3918" s="334" t="s">
        <v>35</v>
      </c>
      <c r="D3918" s="377"/>
      <c r="E3918" s="380"/>
      <c r="F3918" s="378"/>
      <c r="G3918" s="380"/>
      <c r="H3918" s="380"/>
      <c r="I3918" s="399"/>
      <c r="J3918" s="377"/>
      <c r="K3918" s="380"/>
      <c r="L3918" s="378"/>
      <c r="M3918" s="380"/>
      <c r="N3918" s="380"/>
      <c r="O3918" s="380"/>
      <c r="P3918" s="380"/>
      <c r="Q3918" s="380"/>
    </row>
    <row r="3919" spans="1:17" x14ac:dyDescent="0.2">
      <c r="A3919" s="334" t="s">
        <v>1947</v>
      </c>
      <c r="B3919" s="380"/>
      <c r="C3919" s="334" t="s">
        <v>29</v>
      </c>
      <c r="D3919" s="377"/>
      <c r="E3919" s="380"/>
      <c r="F3919" s="378"/>
      <c r="G3919" s="380"/>
      <c r="H3919" s="380"/>
      <c r="I3919" s="399"/>
      <c r="J3919" s="377"/>
      <c r="K3919" s="380"/>
      <c r="L3919" s="378"/>
      <c r="M3919" s="380"/>
      <c r="N3919" s="380"/>
      <c r="O3919" s="380"/>
      <c r="P3919" s="380"/>
      <c r="Q3919" s="380"/>
    </row>
    <row r="3920" spans="1:17" x14ac:dyDescent="0.2">
      <c r="A3920" s="384" t="s">
        <v>1962</v>
      </c>
      <c r="B3920" s="380"/>
      <c r="C3920" s="380" t="s">
        <v>572</v>
      </c>
      <c r="D3920" s="377"/>
      <c r="E3920" s="380"/>
      <c r="F3920" s="378"/>
      <c r="G3920" s="380"/>
      <c r="H3920" s="380"/>
      <c r="I3920" s="399"/>
      <c r="J3920" s="377"/>
      <c r="K3920" s="380"/>
      <c r="L3920" s="378"/>
      <c r="M3920" s="380"/>
      <c r="N3920" s="380"/>
      <c r="O3920" s="380"/>
      <c r="P3920" s="380"/>
      <c r="Q3920" s="380"/>
    </row>
    <row r="3921" spans="1:17" x14ac:dyDescent="0.2">
      <c r="A3921" s="380"/>
      <c r="B3921" s="380"/>
      <c r="C3921" s="380"/>
      <c r="D3921" s="394"/>
      <c r="E3921" s="380"/>
      <c r="F3921" s="378"/>
      <c r="G3921" s="380"/>
      <c r="H3921" s="380"/>
      <c r="I3921" s="399"/>
      <c r="J3921" s="394"/>
      <c r="K3921" s="380"/>
      <c r="L3921" s="378"/>
      <c r="M3921" s="380"/>
      <c r="N3921" s="380"/>
      <c r="O3921" s="380"/>
      <c r="P3921" s="380"/>
      <c r="Q3921" s="380"/>
    </row>
    <row r="3922" spans="1:17" x14ac:dyDescent="0.2">
      <c r="A3922" s="380"/>
      <c r="B3922" s="380"/>
      <c r="C3922" s="380"/>
      <c r="D3922" s="334">
        <f>SUM(D3894:D3920)</f>
        <v>4752</v>
      </c>
      <c r="E3922" s="380"/>
      <c r="F3922" s="378"/>
      <c r="G3922" s="380"/>
      <c r="H3922" s="377"/>
      <c r="I3922" s="385"/>
      <c r="J3922" s="334">
        <f>SUM(J3894:J3920)</f>
        <v>5940</v>
      </c>
      <c r="K3922" s="380"/>
      <c r="L3922" s="378"/>
      <c r="M3922" s="380"/>
      <c r="N3922" s="377"/>
      <c r="O3922" s="380"/>
      <c r="P3922" s="380"/>
      <c r="Q3922" s="380"/>
    </row>
    <row r="3923" spans="1:17" ht="15.75" thickTop="1" x14ac:dyDescent="0.2">
      <c r="A3923" s="380"/>
      <c r="B3923" s="380"/>
      <c r="C3923" s="380"/>
      <c r="D3923" s="395"/>
      <c r="E3923" s="380"/>
      <c r="F3923" s="378"/>
      <c r="G3923" s="380"/>
      <c r="H3923" s="380"/>
      <c r="I3923" s="399"/>
      <c r="J3923" s="395"/>
      <c r="K3923" s="380"/>
      <c r="L3923" s="378"/>
      <c r="M3923" s="380"/>
      <c r="N3923" s="380"/>
      <c r="O3923" s="380"/>
      <c r="P3923" s="380"/>
      <c r="Q3923" s="380"/>
    </row>
    <row r="3924" spans="1:17" x14ac:dyDescent="0.2">
      <c r="A3924" s="380"/>
      <c r="B3924" s="380"/>
      <c r="C3924" s="380"/>
      <c r="D3924" s="380"/>
      <c r="E3924" s="380"/>
      <c r="F3924" s="378"/>
      <c r="G3924" s="380"/>
      <c r="H3924" s="380"/>
      <c r="I3924" s="382"/>
      <c r="J3924" s="380"/>
      <c r="K3924" s="380"/>
      <c r="L3924" s="378"/>
      <c r="M3924" s="380"/>
      <c r="N3924" s="380"/>
      <c r="O3924" s="380"/>
      <c r="P3924" s="380"/>
      <c r="Q3924" s="380"/>
    </row>
    <row r="3925" spans="1:17" x14ac:dyDescent="0.2">
      <c r="A3925" s="334" t="s">
        <v>1299</v>
      </c>
      <c r="B3925" s="380"/>
      <c r="C3925" s="380"/>
      <c r="D3925" s="380"/>
      <c r="E3925" s="377"/>
      <c r="F3925" s="378"/>
      <c r="G3925" s="377"/>
      <c r="H3925" s="377"/>
      <c r="I3925" s="382"/>
      <c r="J3925" s="380"/>
      <c r="K3925" s="377"/>
      <c r="L3925" s="378"/>
      <c r="M3925" s="377"/>
      <c r="N3925" s="377"/>
      <c r="O3925" s="380"/>
      <c r="P3925" s="380"/>
      <c r="Q3925" s="380"/>
    </row>
    <row r="3926" spans="1:17" x14ac:dyDescent="0.2">
      <c r="A3926" s="334"/>
      <c r="B3926" s="380"/>
      <c r="C3926" s="384" t="s">
        <v>2171</v>
      </c>
      <c r="D3926" s="380"/>
      <c r="E3926" s="377"/>
      <c r="F3926" s="378"/>
      <c r="G3926" s="377"/>
      <c r="H3926" s="377"/>
      <c r="I3926" s="382"/>
      <c r="J3926" s="380"/>
      <c r="K3926" s="377"/>
      <c r="L3926" s="378"/>
      <c r="M3926" s="377"/>
      <c r="N3926" s="377"/>
      <c r="O3926" s="380"/>
      <c r="P3926" s="380"/>
      <c r="Q3926" s="380"/>
    </row>
    <row r="3927" spans="1:17" x14ac:dyDescent="0.2">
      <c r="A3927" s="334" t="s">
        <v>342</v>
      </c>
      <c r="B3927" s="380"/>
      <c r="C3927" s="334" t="s">
        <v>342</v>
      </c>
      <c r="D3927" s="334"/>
      <c r="E3927" s="377"/>
      <c r="F3927" s="378"/>
      <c r="G3927" s="377"/>
      <c r="H3927" s="377"/>
      <c r="I3927" s="385"/>
      <c r="J3927" s="334"/>
      <c r="K3927" s="377"/>
      <c r="L3927" s="378"/>
      <c r="M3927" s="377"/>
      <c r="N3927" s="377"/>
      <c r="O3927" s="380"/>
      <c r="P3927" s="380"/>
      <c r="Q3927" s="380"/>
    </row>
    <row r="3928" spans="1:17" x14ac:dyDescent="0.2">
      <c r="A3928" s="334" t="s">
        <v>1723</v>
      </c>
      <c r="B3928" s="380"/>
      <c r="C3928" s="334" t="s">
        <v>1880</v>
      </c>
      <c r="D3928" s="334" t="s">
        <v>181</v>
      </c>
      <c r="E3928" s="377"/>
      <c r="F3928" s="378"/>
      <c r="G3928" s="377"/>
      <c r="H3928" s="377"/>
      <c r="I3928" s="385"/>
      <c r="J3928" s="334" t="s">
        <v>181</v>
      </c>
      <c r="K3928" s="377"/>
      <c r="L3928" s="378"/>
      <c r="M3928" s="377"/>
      <c r="N3928" s="377"/>
      <c r="O3928" s="380"/>
      <c r="P3928" s="380"/>
      <c r="Q3928" s="380"/>
    </row>
    <row r="3929" spans="1:17" x14ac:dyDescent="0.2">
      <c r="A3929" s="380"/>
      <c r="B3929" s="380"/>
      <c r="C3929" s="380"/>
      <c r="D3929" s="380"/>
      <c r="E3929" s="377"/>
      <c r="F3929" s="378"/>
      <c r="G3929" s="377"/>
      <c r="H3929" s="377"/>
      <c r="I3929" s="382"/>
      <c r="J3929" s="380"/>
      <c r="K3929" s="377"/>
      <c r="L3929" s="378"/>
      <c r="M3929" s="377"/>
      <c r="N3929" s="377"/>
      <c r="O3929" s="380"/>
      <c r="P3929" s="380"/>
      <c r="Q3929" s="380"/>
    </row>
    <row r="3930" spans="1:17" x14ac:dyDescent="0.2">
      <c r="A3930" s="334" t="s">
        <v>1724</v>
      </c>
      <c r="B3930" s="380"/>
      <c r="C3930" s="334" t="s">
        <v>1881</v>
      </c>
      <c r="D3930" s="377">
        <v>7000</v>
      </c>
      <c r="E3930" s="377"/>
      <c r="F3930" s="378"/>
      <c r="G3930" s="377"/>
      <c r="H3930" s="377"/>
      <c r="I3930" s="399"/>
      <c r="J3930" s="377">
        <v>7000</v>
      </c>
      <c r="K3930" s="377"/>
      <c r="L3930" s="378"/>
      <c r="M3930" s="377"/>
      <c r="N3930" s="377"/>
      <c r="O3930" s="380"/>
      <c r="P3930" s="380"/>
      <c r="Q3930" s="380"/>
    </row>
    <row r="3931" spans="1:17" x14ac:dyDescent="0.2">
      <c r="A3931" s="334" t="s">
        <v>1736</v>
      </c>
      <c r="B3931" s="380"/>
      <c r="C3931" s="334" t="s">
        <v>1747</v>
      </c>
      <c r="D3931" s="377">
        <v>1000</v>
      </c>
      <c r="E3931" s="377"/>
      <c r="F3931" s="378"/>
      <c r="G3931" s="377"/>
      <c r="H3931" s="377"/>
      <c r="I3931" s="399"/>
      <c r="J3931" s="377">
        <v>1500</v>
      </c>
      <c r="K3931" s="377"/>
      <c r="L3931" s="378"/>
      <c r="M3931" s="377"/>
      <c r="N3931" s="377"/>
      <c r="O3931" s="380"/>
      <c r="P3931" s="380"/>
      <c r="Q3931" s="380"/>
    </row>
    <row r="3932" spans="1:17" x14ac:dyDescent="0.2">
      <c r="A3932" s="334" t="s">
        <v>1744</v>
      </c>
      <c r="B3932" s="380"/>
      <c r="C3932" s="334" t="s">
        <v>1254</v>
      </c>
      <c r="D3932" s="377"/>
      <c r="E3932" s="377"/>
      <c r="F3932" s="378"/>
      <c r="G3932" s="377"/>
      <c r="H3932" s="377"/>
      <c r="I3932" s="399"/>
      <c r="J3932" s="377">
        <v>500</v>
      </c>
      <c r="K3932" s="377"/>
      <c r="L3932" s="378"/>
      <c r="M3932" s="377"/>
      <c r="N3932" s="377"/>
      <c r="O3932" s="380"/>
      <c r="P3932" s="380"/>
      <c r="Q3932" s="380"/>
    </row>
    <row r="3933" spans="1:17" x14ac:dyDescent="0.2">
      <c r="A3933" s="334" t="s">
        <v>1582</v>
      </c>
      <c r="B3933" s="380"/>
      <c r="C3933" s="334" t="s">
        <v>3135</v>
      </c>
      <c r="D3933" s="377"/>
      <c r="E3933" s="377"/>
      <c r="F3933" s="378"/>
      <c r="G3933" s="377"/>
      <c r="H3933" s="377"/>
      <c r="I3933" s="399"/>
      <c r="J3933" s="377"/>
      <c r="K3933" s="377"/>
      <c r="L3933" s="378"/>
      <c r="M3933" s="377"/>
      <c r="N3933" s="377"/>
      <c r="O3933" s="380"/>
      <c r="P3933" s="380"/>
      <c r="Q3933" s="380"/>
    </row>
    <row r="3934" spans="1:17" x14ac:dyDescent="0.2">
      <c r="A3934" s="334" t="s">
        <v>1575</v>
      </c>
      <c r="B3934" s="380"/>
      <c r="C3934" s="334" t="s">
        <v>1889</v>
      </c>
      <c r="D3934" s="377">
        <v>900</v>
      </c>
      <c r="E3934" s="377"/>
      <c r="F3934" s="378"/>
      <c r="G3934" s="377"/>
      <c r="H3934" s="377"/>
      <c r="I3934" s="399"/>
      <c r="J3934" s="377">
        <v>900</v>
      </c>
      <c r="K3934" s="377"/>
      <c r="L3934" s="378"/>
      <c r="M3934" s="377"/>
      <c r="N3934" s="377"/>
      <c r="O3934" s="380"/>
      <c r="P3934" s="380"/>
      <c r="Q3934" s="380"/>
    </row>
    <row r="3935" spans="1:17" x14ac:dyDescent="0.2">
      <c r="A3935" s="334" t="s">
        <v>1725</v>
      </c>
      <c r="B3935" s="380"/>
      <c r="C3935" s="334" t="s">
        <v>1890</v>
      </c>
      <c r="D3935" s="377">
        <v>250</v>
      </c>
      <c r="E3935" s="377"/>
      <c r="F3935" s="378"/>
      <c r="G3935" s="377"/>
      <c r="H3935" s="377"/>
      <c r="I3935" s="399"/>
      <c r="J3935" s="377">
        <v>250</v>
      </c>
      <c r="K3935" s="377"/>
      <c r="L3935" s="378"/>
      <c r="M3935" s="377"/>
      <c r="N3935" s="377"/>
      <c r="O3935" s="380"/>
      <c r="P3935" s="380"/>
      <c r="Q3935" s="380"/>
    </row>
    <row r="3936" spans="1:17" x14ac:dyDescent="0.2">
      <c r="A3936" s="384" t="s">
        <v>1745</v>
      </c>
      <c r="B3936" s="380"/>
      <c r="C3936" s="334" t="s">
        <v>1887</v>
      </c>
      <c r="D3936" s="377"/>
      <c r="E3936" s="377"/>
      <c r="F3936" s="378"/>
      <c r="G3936" s="377"/>
      <c r="H3936" s="377"/>
      <c r="I3936" s="399"/>
      <c r="J3936" s="377"/>
      <c r="K3936" s="377"/>
      <c r="L3936" s="378"/>
      <c r="M3936" s="377"/>
      <c r="N3936" s="377"/>
      <c r="O3936" s="380"/>
      <c r="P3936" s="380"/>
      <c r="Q3936" s="380"/>
    </row>
    <row r="3937" spans="1:17" x14ac:dyDescent="0.2">
      <c r="A3937" s="334" t="s">
        <v>1737</v>
      </c>
      <c r="B3937" s="380"/>
      <c r="C3937" s="334" t="s">
        <v>1984</v>
      </c>
      <c r="D3937" s="377">
        <v>150</v>
      </c>
      <c r="E3937" s="377"/>
      <c r="F3937" s="378"/>
      <c r="G3937" s="377"/>
      <c r="H3937" s="377"/>
      <c r="I3937" s="399"/>
      <c r="J3937" s="377">
        <v>150</v>
      </c>
      <c r="K3937" s="377"/>
      <c r="L3937" s="378"/>
      <c r="M3937" s="377"/>
      <c r="N3937" s="377"/>
      <c r="O3937" s="380"/>
      <c r="P3937" s="380"/>
      <c r="Q3937" s="380"/>
    </row>
    <row r="3938" spans="1:17" x14ac:dyDescent="0.2">
      <c r="A3938" s="334" t="s">
        <v>1751</v>
      </c>
      <c r="B3938" s="380"/>
      <c r="C3938" s="334" t="s">
        <v>3138</v>
      </c>
      <c r="D3938" s="377"/>
      <c r="E3938" s="377"/>
      <c r="F3938" s="378"/>
      <c r="G3938" s="377"/>
      <c r="H3938" s="377"/>
      <c r="I3938" s="399"/>
      <c r="J3938" s="377"/>
      <c r="K3938" s="377"/>
      <c r="L3938" s="378"/>
      <c r="M3938" s="377"/>
      <c r="N3938" s="377"/>
      <c r="O3938" s="380"/>
      <c r="P3938" s="380"/>
      <c r="Q3938" s="380"/>
    </row>
    <row r="3939" spans="1:17" x14ac:dyDescent="0.2">
      <c r="A3939" s="334" t="s">
        <v>1577</v>
      </c>
      <c r="B3939" s="380"/>
      <c r="C3939" s="334" t="s">
        <v>1815</v>
      </c>
      <c r="D3939" s="377"/>
      <c r="E3939" s="377"/>
      <c r="F3939" s="378"/>
      <c r="G3939" s="377"/>
      <c r="H3939" s="377"/>
      <c r="I3939" s="399"/>
      <c r="J3939" s="377"/>
      <c r="K3939" s="377"/>
      <c r="L3939" s="378"/>
      <c r="M3939" s="377"/>
      <c r="N3939" s="377"/>
      <c r="O3939" s="380"/>
      <c r="P3939" s="380"/>
      <c r="Q3939" s="380"/>
    </row>
    <row r="3940" spans="1:17" x14ac:dyDescent="0.2">
      <c r="A3940" s="334" t="s">
        <v>1734</v>
      </c>
      <c r="B3940" s="380"/>
      <c r="C3940" s="334" t="s">
        <v>1746</v>
      </c>
      <c r="D3940" s="377">
        <v>1000</v>
      </c>
      <c r="E3940" s="377"/>
      <c r="F3940" s="378"/>
      <c r="G3940" s="377"/>
      <c r="H3940" s="377"/>
      <c r="I3940" s="399"/>
      <c r="J3940" s="377">
        <v>1000</v>
      </c>
      <c r="K3940" s="377"/>
      <c r="L3940" s="378"/>
      <c r="M3940" s="377"/>
      <c r="N3940" s="377"/>
      <c r="O3940" s="380"/>
      <c r="P3940" s="380"/>
      <c r="Q3940" s="380"/>
    </row>
    <row r="3941" spans="1:17" x14ac:dyDescent="0.2">
      <c r="A3941" s="384" t="s">
        <v>1571</v>
      </c>
      <c r="B3941" s="380"/>
      <c r="C3941" s="334" t="s">
        <v>3</v>
      </c>
      <c r="D3941" s="377"/>
      <c r="E3941" s="377"/>
      <c r="F3941" s="378"/>
      <c r="G3941" s="377"/>
      <c r="H3941" s="377"/>
      <c r="I3941" s="399"/>
      <c r="J3941" s="377"/>
      <c r="K3941" s="377"/>
      <c r="L3941" s="378"/>
      <c r="M3941" s="377"/>
      <c r="N3941" s="377"/>
      <c r="O3941" s="380"/>
      <c r="P3941" s="380"/>
      <c r="Q3941" s="380"/>
    </row>
    <row r="3942" spans="1:17" x14ac:dyDescent="0.2">
      <c r="A3942" s="334" t="s">
        <v>1738</v>
      </c>
      <c r="B3942" s="380"/>
      <c r="C3942" s="334" t="s">
        <v>1591</v>
      </c>
      <c r="D3942" s="377">
        <v>125</v>
      </c>
      <c r="E3942" s="377"/>
      <c r="F3942" s="378"/>
      <c r="G3942" s="377"/>
      <c r="H3942" s="377"/>
      <c r="I3942" s="399"/>
      <c r="J3942" s="377">
        <v>125</v>
      </c>
      <c r="K3942" s="377"/>
      <c r="L3942" s="378"/>
      <c r="M3942" s="377"/>
      <c r="N3942" s="377"/>
      <c r="O3942" s="380"/>
      <c r="P3942" s="380"/>
      <c r="Q3942" s="380"/>
    </row>
    <row r="3943" spans="1:17" x14ac:dyDescent="0.2">
      <c r="A3943" s="334" t="s">
        <v>1727</v>
      </c>
      <c r="B3943" s="380"/>
      <c r="C3943" s="334" t="s">
        <v>307</v>
      </c>
      <c r="D3943" s="377">
        <v>125</v>
      </c>
      <c r="E3943" s="377"/>
      <c r="F3943" s="378"/>
      <c r="G3943" s="377"/>
      <c r="H3943" s="377"/>
      <c r="I3943" s="399"/>
      <c r="J3943" s="377">
        <v>125</v>
      </c>
      <c r="K3943" s="377"/>
      <c r="L3943" s="378"/>
      <c r="M3943" s="377"/>
      <c r="N3943" s="377"/>
      <c r="O3943" s="380"/>
      <c r="P3943" s="380"/>
      <c r="Q3943" s="380"/>
    </row>
    <row r="3944" spans="1:17" x14ac:dyDescent="0.2">
      <c r="A3944" s="334" t="s">
        <v>1728</v>
      </c>
      <c r="B3944" s="380"/>
      <c r="C3944" s="334" t="s">
        <v>310</v>
      </c>
      <c r="D3944" s="377">
        <v>150</v>
      </c>
      <c r="E3944" s="377"/>
      <c r="F3944" s="378"/>
      <c r="G3944" s="377"/>
      <c r="H3944" s="377"/>
      <c r="I3944" s="399"/>
      <c r="J3944" s="377">
        <v>150</v>
      </c>
      <c r="K3944" s="377"/>
      <c r="L3944" s="378"/>
      <c r="M3944" s="377"/>
      <c r="N3944" s="377"/>
      <c r="O3944" s="380"/>
      <c r="P3944" s="380"/>
      <c r="Q3944" s="380"/>
    </row>
    <row r="3945" spans="1:17" x14ac:dyDescent="0.2">
      <c r="A3945" s="334" t="s">
        <v>1729</v>
      </c>
      <c r="B3945" s="380"/>
      <c r="C3945" s="380" t="s">
        <v>1551</v>
      </c>
      <c r="D3945" s="377">
        <v>-3720</v>
      </c>
      <c r="E3945" s="377"/>
      <c r="F3945" s="378"/>
      <c r="G3945" s="377"/>
      <c r="H3945" s="377"/>
      <c r="I3945" s="399"/>
      <c r="J3945" s="377">
        <v>25</v>
      </c>
      <c r="K3945" s="377"/>
      <c r="L3945" s="378"/>
      <c r="M3945" s="377"/>
      <c r="N3945" s="377"/>
      <c r="O3945" s="380"/>
      <c r="P3945" s="380"/>
      <c r="Q3945" s="380"/>
    </row>
    <row r="3946" spans="1:17" x14ac:dyDescent="0.2">
      <c r="A3946" s="334" t="s">
        <v>1735</v>
      </c>
      <c r="B3946" s="380"/>
      <c r="C3946" s="380" t="s">
        <v>194</v>
      </c>
      <c r="D3946" s="377"/>
      <c r="E3946" s="377"/>
      <c r="F3946" s="378"/>
      <c r="G3946" s="377"/>
      <c r="H3946" s="377"/>
      <c r="I3946" s="399"/>
      <c r="J3946" s="377">
        <v>50</v>
      </c>
      <c r="K3946" s="377"/>
      <c r="L3946" s="378"/>
      <c r="M3946" s="377"/>
      <c r="N3946" s="377"/>
      <c r="O3946" s="380"/>
      <c r="P3946" s="380"/>
      <c r="Q3946" s="380"/>
    </row>
    <row r="3947" spans="1:17" x14ac:dyDescent="0.2">
      <c r="A3947" s="384" t="s">
        <v>1754</v>
      </c>
      <c r="B3947" s="380"/>
      <c r="C3947" s="334" t="s">
        <v>1929</v>
      </c>
      <c r="D3947" s="377"/>
      <c r="E3947" s="377"/>
      <c r="F3947" s="378"/>
      <c r="G3947" s="377"/>
      <c r="H3947" s="377"/>
      <c r="I3947" s="399"/>
      <c r="J3947" s="377"/>
      <c r="K3947" s="377"/>
      <c r="L3947" s="378"/>
      <c r="M3947" s="377"/>
      <c r="N3947" s="377"/>
      <c r="O3947" s="380"/>
      <c r="P3947" s="380"/>
      <c r="Q3947" s="380"/>
    </row>
    <row r="3948" spans="1:17" x14ac:dyDescent="0.2">
      <c r="A3948" s="334" t="s">
        <v>1944</v>
      </c>
      <c r="B3948" s="380"/>
      <c r="C3948" s="334" t="s">
        <v>72</v>
      </c>
      <c r="D3948" s="377"/>
      <c r="E3948" s="377"/>
      <c r="F3948" s="378"/>
      <c r="G3948" s="377"/>
      <c r="H3948" s="377"/>
      <c r="I3948" s="399"/>
      <c r="J3948" s="377"/>
      <c r="K3948" s="377"/>
      <c r="L3948" s="378"/>
      <c r="M3948" s="377"/>
      <c r="N3948" s="377"/>
      <c r="O3948" s="380"/>
      <c r="P3948" s="380"/>
      <c r="Q3948" s="380"/>
    </row>
    <row r="3949" spans="1:17" x14ac:dyDescent="0.2">
      <c r="A3949" s="384" t="s">
        <v>1572</v>
      </c>
      <c r="B3949" s="380"/>
      <c r="C3949" s="334" t="s">
        <v>3134</v>
      </c>
      <c r="D3949" s="377"/>
      <c r="E3949" s="377"/>
      <c r="F3949" s="378"/>
      <c r="G3949" s="377"/>
      <c r="H3949" s="377"/>
      <c r="I3949" s="399"/>
      <c r="J3949" s="377"/>
      <c r="K3949" s="377"/>
      <c r="L3949" s="378"/>
      <c r="M3949" s="377"/>
      <c r="N3949" s="377"/>
      <c r="O3949" s="380"/>
      <c r="P3949" s="380"/>
      <c r="Q3949" s="380"/>
    </row>
    <row r="3950" spans="1:17" x14ac:dyDescent="0.2">
      <c r="A3950" s="334" t="s">
        <v>1730</v>
      </c>
      <c r="B3950" s="380"/>
      <c r="C3950" s="334" t="s">
        <v>1985</v>
      </c>
      <c r="D3950" s="377"/>
      <c r="E3950" s="377"/>
      <c r="F3950" s="378"/>
      <c r="G3950" s="377"/>
      <c r="H3950" s="377"/>
      <c r="I3950" s="399"/>
      <c r="J3950" s="377"/>
      <c r="K3950" s="377"/>
      <c r="L3950" s="378"/>
      <c r="M3950" s="377"/>
      <c r="N3950" s="377"/>
      <c r="O3950" s="380"/>
      <c r="P3950" s="380"/>
      <c r="Q3950" s="380"/>
    </row>
    <row r="3951" spans="1:17" x14ac:dyDescent="0.2">
      <c r="A3951" s="334" t="s">
        <v>1566</v>
      </c>
      <c r="B3951" s="380"/>
      <c r="C3951" s="334" t="s">
        <v>366</v>
      </c>
      <c r="D3951" s="377">
        <v>800</v>
      </c>
      <c r="E3951" s="377"/>
      <c r="F3951" s="378"/>
      <c r="G3951" s="377"/>
      <c r="H3951" s="377"/>
      <c r="I3951" s="399"/>
      <c r="J3951" s="377">
        <v>800</v>
      </c>
      <c r="K3951" s="377"/>
      <c r="L3951" s="378"/>
      <c r="M3951" s="377"/>
      <c r="N3951" s="377"/>
      <c r="O3951" s="380"/>
      <c r="P3951" s="380"/>
      <c r="Q3951" s="380"/>
    </row>
    <row r="3952" spans="1:17" x14ac:dyDescent="0.2">
      <c r="A3952" s="334" t="s">
        <v>1755</v>
      </c>
      <c r="B3952" s="380"/>
      <c r="C3952" s="380" t="s">
        <v>1986</v>
      </c>
      <c r="D3952" s="377">
        <v>600</v>
      </c>
      <c r="E3952" s="377"/>
      <c r="F3952" s="378"/>
      <c r="G3952" s="377"/>
      <c r="H3952" s="377"/>
      <c r="I3952" s="399"/>
      <c r="J3952" s="377">
        <v>600</v>
      </c>
      <c r="K3952" s="377"/>
      <c r="L3952" s="378"/>
      <c r="M3952" s="377"/>
      <c r="N3952" s="377"/>
      <c r="O3952" s="380"/>
      <c r="P3952" s="380"/>
      <c r="Q3952" s="380"/>
    </row>
    <row r="3953" spans="1:17" x14ac:dyDescent="0.2">
      <c r="A3953" s="384" t="s">
        <v>1903</v>
      </c>
      <c r="B3953" s="380"/>
      <c r="C3953" s="334" t="s">
        <v>35</v>
      </c>
      <c r="D3953" s="377">
        <v>3000</v>
      </c>
      <c r="E3953" s="377"/>
      <c r="F3953" s="378"/>
      <c r="G3953" s="377"/>
      <c r="H3953" s="377"/>
      <c r="I3953" s="399"/>
      <c r="J3953" s="377">
        <v>3000</v>
      </c>
      <c r="K3953" s="377"/>
      <c r="L3953" s="378"/>
      <c r="M3953" s="377"/>
      <c r="N3953" s="377"/>
      <c r="O3953" s="380"/>
      <c r="P3953" s="380"/>
      <c r="Q3953" s="380"/>
    </row>
    <row r="3954" spans="1:17" x14ac:dyDescent="0.2">
      <c r="A3954" s="384" t="s">
        <v>1962</v>
      </c>
      <c r="B3954" s="380"/>
      <c r="C3954" s="380" t="s">
        <v>572</v>
      </c>
      <c r="D3954" s="377">
        <v>3500</v>
      </c>
      <c r="E3954" s="377"/>
      <c r="F3954" s="378"/>
      <c r="G3954" s="377"/>
      <c r="H3954" s="377"/>
      <c r="I3954" s="399"/>
      <c r="J3954" s="377">
        <v>1500</v>
      </c>
      <c r="K3954" s="377"/>
      <c r="L3954" s="378"/>
      <c r="M3954" s="377"/>
      <c r="N3954" s="377"/>
      <c r="O3954" s="380"/>
      <c r="P3954" s="380"/>
      <c r="Q3954" s="380"/>
    </row>
    <row r="3955" spans="1:17" x14ac:dyDescent="0.2">
      <c r="A3955" s="334" t="s">
        <v>342</v>
      </c>
      <c r="B3955" s="380"/>
      <c r="C3955" s="334" t="s">
        <v>342</v>
      </c>
      <c r="D3955" s="394"/>
      <c r="E3955" s="377"/>
      <c r="F3955" s="378"/>
      <c r="G3955" s="377"/>
      <c r="H3955" s="377"/>
      <c r="I3955" s="399"/>
      <c r="J3955" s="394"/>
      <c r="K3955" s="377"/>
      <c r="L3955" s="378"/>
      <c r="M3955" s="377"/>
      <c r="N3955" s="377"/>
      <c r="O3955" s="380"/>
      <c r="P3955" s="380"/>
      <c r="Q3955" s="380"/>
    </row>
    <row r="3956" spans="1:17" ht="15.75" thickBot="1" x14ac:dyDescent="0.25">
      <c r="A3956" s="334" t="s">
        <v>342</v>
      </c>
      <c r="B3956" s="380"/>
      <c r="C3956" s="334" t="s">
        <v>342</v>
      </c>
      <c r="D3956" s="411">
        <f>SUM(D3930:D3954)</f>
        <v>14880</v>
      </c>
      <c r="E3956" s="377"/>
      <c r="F3956" s="378"/>
      <c r="G3956" s="377"/>
      <c r="H3956" s="377"/>
      <c r="I3956" s="385"/>
      <c r="J3956" s="411">
        <f>SUM(J3930:J3954)</f>
        <v>17675</v>
      </c>
      <c r="K3956" s="377"/>
      <c r="L3956" s="378"/>
      <c r="M3956" s="377"/>
      <c r="N3956" s="377"/>
      <c r="O3956" s="380"/>
      <c r="P3956" s="380"/>
      <c r="Q3956" s="380"/>
    </row>
    <row r="3957" spans="1:17" x14ac:dyDescent="0.2">
      <c r="A3957" s="377"/>
      <c r="B3957" s="377"/>
      <c r="C3957" s="377"/>
      <c r="D3957" s="377"/>
      <c r="E3957" s="377"/>
      <c r="F3957" s="378"/>
      <c r="G3957" s="377"/>
      <c r="H3957" s="377"/>
      <c r="I3957" s="399"/>
      <c r="J3957" s="377"/>
      <c r="K3957" s="377"/>
      <c r="L3957" s="378"/>
      <c r="M3957" s="377"/>
      <c r="N3957" s="377"/>
      <c r="O3957" s="380"/>
      <c r="P3957" s="380"/>
      <c r="Q3957" s="380"/>
    </row>
    <row r="3958" spans="1:17" x14ac:dyDescent="0.2">
      <c r="A3958" s="377"/>
      <c r="B3958" s="377"/>
      <c r="C3958" s="377"/>
      <c r="D3958" s="377"/>
      <c r="E3958" s="377"/>
      <c r="F3958" s="378"/>
      <c r="G3958" s="377"/>
      <c r="H3958" s="377"/>
      <c r="I3958" s="399"/>
      <c r="J3958" s="377"/>
      <c r="K3958" s="377"/>
      <c r="L3958" s="378"/>
      <c r="M3958" s="377"/>
      <c r="N3958" s="377"/>
      <c r="O3958" s="380"/>
      <c r="P3958" s="380"/>
      <c r="Q3958" s="380"/>
    </row>
    <row r="3959" spans="1:17" x14ac:dyDescent="0.2">
      <c r="A3959" s="377"/>
      <c r="B3959" s="377"/>
      <c r="C3959" s="377"/>
      <c r="D3959" s="377"/>
      <c r="E3959" s="377"/>
      <c r="F3959" s="378"/>
      <c r="G3959" s="377"/>
      <c r="H3959" s="377"/>
      <c r="I3959" s="399"/>
      <c r="J3959" s="377"/>
      <c r="K3959" s="377"/>
      <c r="L3959" s="378"/>
      <c r="M3959" s="377"/>
      <c r="N3959" s="377"/>
      <c r="O3959" s="380"/>
      <c r="P3959" s="380"/>
      <c r="Q3959" s="380"/>
    </row>
    <row r="3960" spans="1:17" x14ac:dyDescent="0.2">
      <c r="A3960" s="334" t="s">
        <v>1948</v>
      </c>
      <c r="B3960" s="380"/>
      <c r="C3960" s="380"/>
      <c r="D3960" s="380"/>
      <c r="E3960" s="380"/>
      <c r="F3960" s="378"/>
      <c r="G3960" s="380"/>
      <c r="H3960" s="380"/>
      <c r="I3960" s="382"/>
      <c r="J3960" s="380"/>
      <c r="K3960" s="380"/>
      <c r="L3960" s="378"/>
      <c r="M3960" s="380"/>
      <c r="N3960" s="380"/>
      <c r="O3960" s="380"/>
      <c r="P3960" s="380"/>
      <c r="Q3960" s="380"/>
    </row>
    <row r="3961" spans="1:17" x14ac:dyDescent="0.2">
      <c r="A3961" s="334" t="s">
        <v>1949</v>
      </c>
      <c r="B3961" s="380"/>
      <c r="C3961" s="384" t="s">
        <v>2172</v>
      </c>
      <c r="D3961" s="380"/>
      <c r="E3961" s="380"/>
      <c r="F3961" s="378"/>
      <c r="G3961" s="380"/>
      <c r="H3961" s="380"/>
      <c r="I3961" s="382"/>
      <c r="J3961" s="380"/>
      <c r="K3961" s="380"/>
      <c r="L3961" s="378"/>
      <c r="M3961" s="380"/>
      <c r="N3961" s="380"/>
      <c r="O3961" s="380"/>
      <c r="P3961" s="380"/>
      <c r="Q3961" s="380"/>
    </row>
    <row r="3962" spans="1:17" x14ac:dyDescent="0.2">
      <c r="A3962" s="334" t="s">
        <v>342</v>
      </c>
      <c r="B3962" s="380"/>
      <c r="C3962" s="334" t="s">
        <v>342</v>
      </c>
      <c r="D3962" s="334" t="s">
        <v>1711</v>
      </c>
      <c r="E3962" s="382"/>
      <c r="F3962" s="416"/>
      <c r="G3962" s="382"/>
      <c r="H3962" s="380"/>
      <c r="I3962" s="385"/>
      <c r="J3962" s="334" t="s">
        <v>1711</v>
      </c>
      <c r="K3962" s="382"/>
      <c r="L3962" s="416"/>
      <c r="M3962" s="382"/>
      <c r="N3962" s="380"/>
      <c r="O3962" s="380"/>
      <c r="P3962" s="380"/>
      <c r="Q3962" s="380"/>
    </row>
    <row r="3963" spans="1:17" x14ac:dyDescent="0.2">
      <c r="A3963" s="334" t="s">
        <v>1723</v>
      </c>
      <c r="B3963" s="380"/>
      <c r="C3963" s="334" t="s">
        <v>1880</v>
      </c>
      <c r="D3963" s="380" t="s">
        <v>679</v>
      </c>
      <c r="E3963" s="382"/>
      <c r="F3963" s="416"/>
      <c r="G3963" s="399"/>
      <c r="H3963" s="380"/>
      <c r="I3963" s="382"/>
      <c r="J3963" s="380" t="s">
        <v>679</v>
      </c>
      <c r="K3963" s="382"/>
      <c r="L3963" s="416"/>
      <c r="M3963" s="399"/>
      <c r="N3963" s="380"/>
      <c r="O3963" s="380"/>
      <c r="P3963" s="380"/>
      <c r="Q3963" s="380"/>
    </row>
    <row r="3964" spans="1:17" x14ac:dyDescent="0.2">
      <c r="A3964" s="334"/>
      <c r="B3964" s="380"/>
      <c r="C3964" s="334"/>
      <c r="D3964" s="334" t="s">
        <v>181</v>
      </c>
      <c r="E3964" s="382"/>
      <c r="F3964" s="416"/>
      <c r="G3964" s="399"/>
      <c r="H3964" s="380"/>
      <c r="I3964" s="385"/>
      <c r="J3964" s="334" t="s">
        <v>181</v>
      </c>
      <c r="K3964" s="382"/>
      <c r="L3964" s="416"/>
      <c r="M3964" s="399"/>
      <c r="N3964" s="380"/>
      <c r="O3964" s="380"/>
      <c r="P3964" s="380"/>
      <c r="Q3964" s="380"/>
    </row>
    <row r="3965" spans="1:17" x14ac:dyDescent="0.2">
      <c r="A3965" s="380"/>
      <c r="B3965" s="380"/>
      <c r="C3965" s="380"/>
      <c r="D3965" s="380"/>
      <c r="E3965" s="382"/>
      <c r="F3965" s="416"/>
      <c r="G3965" s="382"/>
      <c r="H3965" s="380"/>
      <c r="I3965" s="382"/>
      <c r="J3965" s="380"/>
      <c r="K3965" s="382"/>
      <c r="L3965" s="416"/>
      <c r="M3965" s="382"/>
      <c r="N3965" s="380"/>
      <c r="O3965" s="380"/>
      <c r="P3965" s="380"/>
      <c r="Q3965" s="380"/>
    </row>
    <row r="3966" spans="1:17" x14ac:dyDescent="0.2">
      <c r="A3966" s="391" t="s">
        <v>1568</v>
      </c>
      <c r="B3966" s="380"/>
      <c r="C3966" s="380" t="s">
        <v>1817</v>
      </c>
      <c r="D3966" s="380"/>
      <c r="E3966" s="382"/>
      <c r="F3966" s="416"/>
      <c r="G3966" s="382"/>
      <c r="H3966" s="380"/>
      <c r="I3966" s="382"/>
      <c r="J3966" s="380"/>
      <c r="K3966" s="382"/>
      <c r="L3966" s="416"/>
      <c r="M3966" s="382"/>
      <c r="N3966" s="380"/>
      <c r="O3966" s="380"/>
      <c r="P3966" s="380"/>
      <c r="Q3966" s="380"/>
    </row>
    <row r="3967" spans="1:17" x14ac:dyDescent="0.2">
      <c r="A3967" s="334" t="s">
        <v>1724</v>
      </c>
      <c r="B3967" s="380"/>
      <c r="C3967" s="334" t="s">
        <v>1881</v>
      </c>
      <c r="D3967" s="377">
        <v>6000</v>
      </c>
      <c r="E3967" s="382"/>
      <c r="F3967" s="416"/>
      <c r="G3967" s="382"/>
      <c r="H3967" s="380"/>
      <c r="I3967" s="399"/>
      <c r="J3967" s="377">
        <v>5000</v>
      </c>
      <c r="K3967" s="382"/>
      <c r="L3967" s="416"/>
      <c r="M3967" s="382"/>
      <c r="N3967" s="380"/>
      <c r="O3967" s="380"/>
      <c r="P3967" s="380"/>
      <c r="Q3967" s="380"/>
    </row>
    <row r="3968" spans="1:17" x14ac:dyDescent="0.2">
      <c r="A3968" s="334" t="s">
        <v>1736</v>
      </c>
      <c r="B3968" s="380"/>
      <c r="C3968" s="334" t="s">
        <v>1747</v>
      </c>
      <c r="D3968" s="377">
        <v>2200</v>
      </c>
      <c r="E3968" s="382"/>
      <c r="F3968" s="416"/>
      <c r="G3968" s="382"/>
      <c r="H3968" s="380"/>
      <c r="I3968" s="399"/>
      <c r="J3968" s="377"/>
      <c r="K3968" s="382"/>
      <c r="L3968" s="416"/>
      <c r="M3968" s="382"/>
      <c r="N3968" s="380"/>
      <c r="O3968" s="380"/>
      <c r="P3968" s="380"/>
      <c r="Q3968" s="380"/>
    </row>
    <row r="3969" spans="1:17" x14ac:dyDescent="0.2">
      <c r="A3969" s="334" t="s">
        <v>1744</v>
      </c>
      <c r="B3969" s="380"/>
      <c r="C3969" s="334" t="s">
        <v>1254</v>
      </c>
      <c r="D3969" s="377">
        <v>500</v>
      </c>
      <c r="E3969" s="382"/>
      <c r="F3969" s="416"/>
      <c r="G3969" s="382"/>
      <c r="H3969" s="380"/>
      <c r="I3969" s="399"/>
      <c r="J3969" s="377">
        <v>500</v>
      </c>
      <c r="K3969" s="382"/>
      <c r="L3969" s="416"/>
      <c r="M3969" s="382"/>
      <c r="N3969" s="380"/>
      <c r="O3969" s="380"/>
      <c r="P3969" s="380"/>
      <c r="Q3969" s="380"/>
    </row>
    <row r="3970" spans="1:17" x14ac:dyDescent="0.2">
      <c r="A3970" s="334" t="s">
        <v>1582</v>
      </c>
      <c r="B3970" s="380"/>
      <c r="C3970" s="334" t="s">
        <v>3135</v>
      </c>
      <c r="D3970" s="377"/>
      <c r="E3970" s="382"/>
      <c r="F3970" s="416"/>
      <c r="G3970" s="382"/>
      <c r="H3970" s="380"/>
      <c r="I3970" s="399"/>
      <c r="J3970" s="377">
        <v>700</v>
      </c>
      <c r="K3970" s="382"/>
      <c r="L3970" s="416"/>
      <c r="M3970" s="382"/>
      <c r="N3970" s="380"/>
      <c r="O3970" s="380"/>
      <c r="P3970" s="380"/>
      <c r="Q3970" s="380"/>
    </row>
    <row r="3971" spans="1:17" x14ac:dyDescent="0.2">
      <c r="A3971" s="334" t="s">
        <v>1575</v>
      </c>
      <c r="B3971" s="380"/>
      <c r="C3971" s="334" t="s">
        <v>1889</v>
      </c>
      <c r="D3971" s="377">
        <v>11250</v>
      </c>
      <c r="E3971" s="382"/>
      <c r="F3971" s="416"/>
      <c r="G3971" s="382"/>
      <c r="H3971" s="380"/>
      <c r="I3971" s="399"/>
      <c r="J3971" s="377">
        <v>7500</v>
      </c>
      <c r="K3971" s="382"/>
      <c r="L3971" s="416"/>
      <c r="M3971" s="382"/>
      <c r="N3971" s="380"/>
      <c r="O3971" s="380"/>
      <c r="P3971" s="380"/>
      <c r="Q3971" s="380"/>
    </row>
    <row r="3972" spans="1:17" x14ac:dyDescent="0.2">
      <c r="A3972" s="334" t="s">
        <v>1725</v>
      </c>
      <c r="B3972" s="380"/>
      <c r="C3972" s="334" t="s">
        <v>1890</v>
      </c>
      <c r="D3972" s="377">
        <v>400</v>
      </c>
      <c r="E3972" s="382"/>
      <c r="F3972" s="416"/>
      <c r="G3972" s="382"/>
      <c r="H3972" s="380"/>
      <c r="I3972" s="399"/>
      <c r="J3972" s="377">
        <v>400</v>
      </c>
      <c r="K3972" s="382"/>
      <c r="L3972" s="416"/>
      <c r="M3972" s="382"/>
      <c r="N3972" s="380"/>
      <c r="O3972" s="380"/>
      <c r="P3972" s="380"/>
      <c r="Q3972" s="380"/>
    </row>
    <row r="3973" spans="1:17" x14ac:dyDescent="0.2">
      <c r="A3973" s="391" t="s">
        <v>1745</v>
      </c>
      <c r="B3973" s="380"/>
      <c r="C3973" s="334" t="s">
        <v>1887</v>
      </c>
      <c r="D3973" s="377">
        <v>100</v>
      </c>
      <c r="E3973" s="382"/>
      <c r="F3973" s="416"/>
      <c r="G3973" s="382"/>
      <c r="H3973" s="380"/>
      <c r="I3973" s="399"/>
      <c r="J3973" s="377">
        <v>100</v>
      </c>
      <c r="K3973" s="382"/>
      <c r="L3973" s="416"/>
      <c r="M3973" s="382"/>
      <c r="N3973" s="380"/>
      <c r="O3973" s="380"/>
      <c r="P3973" s="380"/>
      <c r="Q3973" s="380"/>
    </row>
    <row r="3974" spans="1:17" x14ac:dyDescent="0.2">
      <c r="A3974" s="334" t="s">
        <v>1737</v>
      </c>
      <c r="B3974" s="380"/>
      <c r="C3974" s="334" t="s">
        <v>1984</v>
      </c>
      <c r="D3974" s="377">
        <v>470</v>
      </c>
      <c r="E3974" s="382"/>
      <c r="F3974" s="416"/>
      <c r="G3974" s="382"/>
      <c r="H3974" s="380"/>
      <c r="I3974" s="399"/>
      <c r="J3974" s="377">
        <v>470</v>
      </c>
      <c r="K3974" s="382"/>
      <c r="L3974" s="416"/>
      <c r="M3974" s="382"/>
      <c r="N3974" s="380"/>
      <c r="O3974" s="380"/>
      <c r="P3974" s="380"/>
      <c r="Q3974" s="380"/>
    </row>
    <row r="3975" spans="1:17" x14ac:dyDescent="0.2">
      <c r="A3975" s="384" t="s">
        <v>1726</v>
      </c>
      <c r="B3975" s="380"/>
      <c r="C3975" s="334" t="s">
        <v>1117</v>
      </c>
      <c r="D3975" s="377"/>
      <c r="E3975" s="382"/>
      <c r="F3975" s="416"/>
      <c r="G3975" s="382"/>
      <c r="H3975" s="380"/>
      <c r="I3975" s="399"/>
      <c r="J3975" s="377"/>
      <c r="K3975" s="382"/>
      <c r="L3975" s="416"/>
      <c r="M3975" s="382"/>
      <c r="N3975" s="380"/>
      <c r="O3975" s="380"/>
      <c r="P3975" s="380"/>
      <c r="Q3975" s="380"/>
    </row>
    <row r="3976" spans="1:17" x14ac:dyDescent="0.2">
      <c r="A3976" s="334" t="s">
        <v>1751</v>
      </c>
      <c r="B3976" s="380"/>
      <c r="C3976" s="334" t="s">
        <v>3138</v>
      </c>
      <c r="D3976" s="377"/>
      <c r="E3976" s="382"/>
      <c r="F3976" s="416"/>
      <c r="G3976" s="382"/>
      <c r="H3976" s="380"/>
      <c r="I3976" s="399"/>
      <c r="J3976" s="377"/>
      <c r="K3976" s="382"/>
      <c r="L3976" s="416"/>
      <c r="M3976" s="382"/>
      <c r="N3976" s="380"/>
      <c r="O3976" s="380"/>
      <c r="P3976" s="380"/>
      <c r="Q3976" s="380"/>
    </row>
    <row r="3977" spans="1:17" x14ac:dyDescent="0.2">
      <c r="A3977" s="334" t="s">
        <v>1577</v>
      </c>
      <c r="B3977" s="380"/>
      <c r="C3977" s="334" t="s">
        <v>1815</v>
      </c>
      <c r="D3977" s="377">
        <v>300</v>
      </c>
      <c r="E3977" s="382"/>
      <c r="F3977" s="416"/>
      <c r="G3977" s="382"/>
      <c r="H3977" s="380"/>
      <c r="I3977" s="399"/>
      <c r="J3977" s="377">
        <v>300</v>
      </c>
      <c r="K3977" s="382"/>
      <c r="L3977" s="416"/>
      <c r="M3977" s="382"/>
      <c r="N3977" s="380"/>
      <c r="O3977" s="380"/>
      <c r="P3977" s="380"/>
      <c r="Q3977" s="380"/>
    </row>
    <row r="3978" spans="1:17" x14ac:dyDescent="0.2">
      <c r="A3978" s="334" t="s">
        <v>1734</v>
      </c>
      <c r="B3978" s="380"/>
      <c r="C3978" s="334" t="s">
        <v>1746</v>
      </c>
      <c r="D3978" s="377">
        <v>300</v>
      </c>
      <c r="E3978" s="382"/>
      <c r="F3978" s="416"/>
      <c r="G3978" s="382"/>
      <c r="H3978" s="380"/>
      <c r="I3978" s="399"/>
      <c r="J3978" s="377">
        <v>500</v>
      </c>
      <c r="K3978" s="382"/>
      <c r="L3978" s="416"/>
      <c r="M3978" s="382"/>
      <c r="N3978" s="380"/>
      <c r="O3978" s="380"/>
      <c r="P3978" s="380"/>
      <c r="Q3978" s="380"/>
    </row>
    <row r="3979" spans="1:17" x14ac:dyDescent="0.2">
      <c r="A3979" s="384" t="s">
        <v>1571</v>
      </c>
      <c r="B3979" s="380"/>
      <c r="C3979" s="334" t="s">
        <v>3</v>
      </c>
      <c r="D3979" s="377">
        <f>500+500</f>
        <v>1000</v>
      </c>
      <c r="E3979" s="382"/>
      <c r="F3979" s="416"/>
      <c r="G3979" s="382"/>
      <c r="H3979" s="380"/>
      <c r="I3979" s="399"/>
      <c r="J3979" s="377">
        <v>500</v>
      </c>
      <c r="K3979" s="382"/>
      <c r="L3979" s="416"/>
      <c r="M3979" s="382"/>
      <c r="N3979" s="380"/>
      <c r="O3979" s="380"/>
      <c r="P3979" s="380"/>
      <c r="Q3979" s="380"/>
    </row>
    <row r="3980" spans="1:17" x14ac:dyDescent="0.2">
      <c r="A3980" s="334" t="s">
        <v>1738</v>
      </c>
      <c r="B3980" s="380"/>
      <c r="C3980" s="334" t="s">
        <v>1591</v>
      </c>
      <c r="D3980" s="377">
        <v>500</v>
      </c>
      <c r="E3980" s="382"/>
      <c r="F3980" s="416"/>
      <c r="G3980" s="382"/>
      <c r="H3980" s="380"/>
      <c r="I3980" s="399"/>
      <c r="J3980" s="377">
        <v>500</v>
      </c>
      <c r="K3980" s="382"/>
      <c r="L3980" s="416"/>
      <c r="M3980" s="382"/>
      <c r="N3980" s="380"/>
      <c r="O3980" s="380"/>
      <c r="P3980" s="380"/>
      <c r="Q3980" s="380"/>
    </row>
    <row r="3981" spans="1:17" x14ac:dyDescent="0.2">
      <c r="A3981" s="334" t="s">
        <v>1727</v>
      </c>
      <c r="B3981" s="380"/>
      <c r="C3981" s="334" t="s">
        <v>307</v>
      </c>
      <c r="D3981" s="377">
        <v>300</v>
      </c>
      <c r="E3981" s="382"/>
      <c r="F3981" s="416"/>
      <c r="G3981" s="382"/>
      <c r="H3981" s="380"/>
      <c r="I3981" s="399"/>
      <c r="J3981" s="377">
        <v>300</v>
      </c>
      <c r="K3981" s="382"/>
      <c r="L3981" s="416"/>
      <c r="M3981" s="382"/>
      <c r="N3981" s="380"/>
      <c r="O3981" s="380"/>
      <c r="P3981" s="380"/>
      <c r="Q3981" s="380"/>
    </row>
    <row r="3982" spans="1:17" x14ac:dyDescent="0.2">
      <c r="A3982" s="334" t="s">
        <v>1728</v>
      </c>
      <c r="B3982" s="380"/>
      <c r="C3982" s="334" t="s">
        <v>310</v>
      </c>
      <c r="D3982" s="377">
        <v>750</v>
      </c>
      <c r="E3982" s="382"/>
      <c r="F3982" s="416"/>
      <c r="G3982" s="382"/>
      <c r="H3982" s="380"/>
      <c r="I3982" s="399"/>
      <c r="J3982" s="377">
        <v>500</v>
      </c>
      <c r="K3982" s="382"/>
      <c r="L3982" s="416"/>
      <c r="M3982" s="382"/>
      <c r="N3982" s="380"/>
      <c r="O3982" s="380"/>
      <c r="P3982" s="380"/>
      <c r="Q3982" s="380"/>
    </row>
    <row r="3983" spans="1:17" x14ac:dyDescent="0.2">
      <c r="A3983" s="334" t="s">
        <v>1729</v>
      </c>
      <c r="B3983" s="380"/>
      <c r="C3983" s="380" t="s">
        <v>1551</v>
      </c>
      <c r="D3983" s="377">
        <v>-5994</v>
      </c>
      <c r="E3983" s="382"/>
      <c r="F3983" s="416"/>
      <c r="G3983" s="382"/>
      <c r="H3983" s="380"/>
      <c r="I3983" s="399"/>
      <c r="J3983" s="377">
        <v>50</v>
      </c>
      <c r="K3983" s="382"/>
      <c r="L3983" s="416"/>
      <c r="M3983" s="382"/>
      <c r="N3983" s="380"/>
      <c r="O3983" s="380"/>
      <c r="P3983" s="380"/>
      <c r="Q3983" s="380"/>
    </row>
    <row r="3984" spans="1:17" x14ac:dyDescent="0.2">
      <c r="A3984" s="334" t="s">
        <v>1735</v>
      </c>
      <c r="B3984" s="380"/>
      <c r="C3984" s="380" t="s">
        <v>194</v>
      </c>
      <c r="D3984" s="377"/>
      <c r="E3984" s="382"/>
      <c r="F3984" s="416"/>
      <c r="G3984" s="382"/>
      <c r="H3984" s="380"/>
      <c r="I3984" s="399"/>
      <c r="J3984" s="377">
        <v>50</v>
      </c>
      <c r="K3984" s="382"/>
      <c r="L3984" s="416"/>
      <c r="M3984" s="382"/>
      <c r="N3984" s="380"/>
      <c r="O3984" s="380"/>
      <c r="P3984" s="380"/>
      <c r="Q3984" s="380"/>
    </row>
    <row r="3985" spans="1:17" x14ac:dyDescent="0.2">
      <c r="A3985" s="334" t="s">
        <v>1944</v>
      </c>
      <c r="B3985" s="380"/>
      <c r="C3985" s="334" t="s">
        <v>72</v>
      </c>
      <c r="D3985" s="377"/>
      <c r="E3985" s="382"/>
      <c r="F3985" s="416"/>
      <c r="G3985" s="382"/>
      <c r="H3985" s="380"/>
      <c r="I3985" s="399"/>
      <c r="J3985" s="377"/>
      <c r="K3985" s="382"/>
      <c r="L3985" s="416"/>
      <c r="M3985" s="382"/>
      <c r="N3985" s="380"/>
      <c r="O3985" s="380"/>
      <c r="P3985" s="380"/>
      <c r="Q3985" s="380"/>
    </row>
    <row r="3986" spans="1:17" x14ac:dyDescent="0.2">
      <c r="A3986" s="384" t="s">
        <v>1572</v>
      </c>
      <c r="B3986" s="380"/>
      <c r="C3986" s="334" t="s">
        <v>3134</v>
      </c>
      <c r="D3986" s="377"/>
      <c r="E3986" s="382"/>
      <c r="F3986" s="416"/>
      <c r="G3986" s="382"/>
      <c r="H3986" s="380"/>
      <c r="I3986" s="399"/>
      <c r="J3986" s="377">
        <v>500</v>
      </c>
      <c r="K3986" s="382"/>
      <c r="L3986" s="416"/>
      <c r="M3986" s="382"/>
      <c r="N3986" s="380"/>
      <c r="O3986" s="380"/>
      <c r="P3986" s="380"/>
      <c r="Q3986" s="380"/>
    </row>
    <row r="3987" spans="1:17" x14ac:dyDescent="0.2">
      <c r="A3987" s="334" t="s">
        <v>1730</v>
      </c>
      <c r="B3987" s="380"/>
      <c r="C3987" s="334" t="s">
        <v>1985</v>
      </c>
      <c r="D3987" s="377">
        <v>1200</v>
      </c>
      <c r="E3987" s="382"/>
      <c r="F3987" s="416"/>
      <c r="G3987" s="382"/>
      <c r="H3987" s="380"/>
      <c r="I3987" s="399"/>
      <c r="J3987" s="377">
        <v>800</v>
      </c>
      <c r="K3987" s="382"/>
      <c r="L3987" s="416"/>
      <c r="M3987" s="382"/>
      <c r="N3987" s="380"/>
      <c r="O3987" s="380"/>
      <c r="P3987" s="380"/>
      <c r="Q3987" s="380"/>
    </row>
    <row r="3988" spans="1:17" x14ac:dyDescent="0.2">
      <c r="A3988" s="334" t="s">
        <v>1566</v>
      </c>
      <c r="B3988" s="380"/>
      <c r="C3988" s="334" t="s">
        <v>366</v>
      </c>
      <c r="D3988" s="377">
        <v>1200</v>
      </c>
      <c r="E3988" s="382"/>
      <c r="F3988" s="416"/>
      <c r="G3988" s="382"/>
      <c r="H3988" s="380"/>
      <c r="I3988" s="399"/>
      <c r="J3988" s="377">
        <v>800</v>
      </c>
      <c r="K3988" s="382"/>
      <c r="L3988" s="416"/>
      <c r="M3988" s="382"/>
      <c r="N3988" s="380"/>
      <c r="O3988" s="380"/>
      <c r="P3988" s="380"/>
      <c r="Q3988" s="380"/>
    </row>
    <row r="3989" spans="1:17" x14ac:dyDescent="0.2">
      <c r="A3989" s="334" t="s">
        <v>1755</v>
      </c>
      <c r="B3989" s="380"/>
      <c r="C3989" s="380" t="s">
        <v>1986</v>
      </c>
      <c r="D3989" s="377"/>
      <c r="E3989" s="382"/>
      <c r="F3989" s="416"/>
      <c r="G3989" s="382"/>
      <c r="H3989" s="380"/>
      <c r="I3989" s="399"/>
      <c r="J3989" s="377"/>
      <c r="K3989" s="382"/>
      <c r="L3989" s="416"/>
      <c r="M3989" s="382"/>
      <c r="N3989" s="380"/>
      <c r="O3989" s="380"/>
      <c r="P3989" s="380"/>
      <c r="Q3989" s="380"/>
    </row>
    <row r="3990" spans="1:17" x14ac:dyDescent="0.2">
      <c r="A3990" s="384" t="s">
        <v>1903</v>
      </c>
      <c r="B3990" s="380"/>
      <c r="C3990" s="334" t="s">
        <v>35</v>
      </c>
      <c r="D3990" s="377">
        <v>3500</v>
      </c>
      <c r="E3990" s="382"/>
      <c r="F3990" s="416"/>
      <c r="G3990" s="382"/>
      <c r="H3990" s="380"/>
      <c r="I3990" s="399"/>
      <c r="J3990" s="377">
        <v>3000</v>
      </c>
      <c r="K3990" s="382"/>
      <c r="L3990" s="416"/>
      <c r="M3990" s="382"/>
      <c r="N3990" s="380"/>
      <c r="O3990" s="380"/>
      <c r="P3990" s="380"/>
      <c r="Q3990" s="380"/>
    </row>
    <row r="3991" spans="1:17" x14ac:dyDescent="0.2">
      <c r="A3991" s="384" t="s">
        <v>1962</v>
      </c>
      <c r="B3991" s="380"/>
      <c r="C3991" s="380" t="s">
        <v>572</v>
      </c>
      <c r="D3991" s="377"/>
      <c r="E3991" s="382"/>
      <c r="F3991" s="416"/>
      <c r="G3991" s="382"/>
      <c r="H3991" s="380"/>
      <c r="I3991" s="399"/>
      <c r="J3991" s="377"/>
      <c r="K3991" s="382"/>
      <c r="L3991" s="416"/>
      <c r="M3991" s="382"/>
      <c r="N3991" s="380"/>
      <c r="O3991" s="380"/>
      <c r="P3991" s="380"/>
      <c r="Q3991" s="380"/>
    </row>
    <row r="3992" spans="1:17" x14ac:dyDescent="0.2">
      <c r="A3992" s="334" t="s">
        <v>342</v>
      </c>
      <c r="B3992" s="380"/>
      <c r="C3992" s="334" t="s">
        <v>342</v>
      </c>
      <c r="D3992" s="394"/>
      <c r="E3992" s="382"/>
      <c r="F3992" s="416"/>
      <c r="G3992" s="382"/>
      <c r="H3992" s="380"/>
      <c r="I3992" s="399"/>
      <c r="J3992" s="394"/>
      <c r="K3992" s="382"/>
      <c r="L3992" s="416"/>
      <c r="M3992" s="382"/>
      <c r="N3992" s="380"/>
      <c r="O3992" s="380"/>
      <c r="P3992" s="380"/>
      <c r="Q3992" s="380"/>
    </row>
    <row r="3993" spans="1:17" x14ac:dyDescent="0.2">
      <c r="A3993" s="334" t="s">
        <v>342</v>
      </c>
      <c r="B3993" s="380"/>
      <c r="C3993" s="334" t="s">
        <v>342</v>
      </c>
      <c r="D3993" s="334">
        <f>SUM(D3966:D3991)</f>
        <v>23976</v>
      </c>
      <c r="E3993" s="382"/>
      <c r="F3993" s="416"/>
      <c r="G3993" s="382"/>
      <c r="H3993" s="380"/>
      <c r="I3993" s="385"/>
      <c r="J3993" s="334">
        <f>SUM(J3966:J3991)</f>
        <v>22470</v>
      </c>
      <c r="K3993" s="382"/>
      <c r="L3993" s="416"/>
      <c r="M3993" s="382"/>
      <c r="N3993" s="380"/>
      <c r="O3993" s="380"/>
      <c r="P3993" s="380"/>
      <c r="Q3993" s="380"/>
    </row>
    <row r="3994" spans="1:17" ht="15.75" thickTop="1" x14ac:dyDescent="0.2">
      <c r="A3994" s="334" t="s">
        <v>342</v>
      </c>
      <c r="B3994" s="380"/>
      <c r="C3994" s="334" t="s">
        <v>342</v>
      </c>
      <c r="D3994" s="395"/>
      <c r="E3994" s="382"/>
      <c r="F3994" s="416"/>
      <c r="G3994" s="382"/>
      <c r="H3994" s="380"/>
      <c r="I3994" s="399"/>
      <c r="J3994" s="395"/>
      <c r="K3994" s="382"/>
      <c r="L3994" s="416"/>
      <c r="M3994" s="382"/>
      <c r="N3994" s="380"/>
      <c r="O3994" s="380"/>
      <c r="P3994" s="380"/>
      <c r="Q3994" s="380"/>
    </row>
    <row r="3995" spans="1:17" x14ac:dyDescent="0.2">
      <c r="A3995" s="334" t="s">
        <v>342</v>
      </c>
      <c r="B3995" s="380"/>
      <c r="C3995" s="334" t="s">
        <v>342</v>
      </c>
      <c r="D3995" s="380"/>
      <c r="E3995" s="380"/>
      <c r="F3995" s="378"/>
      <c r="G3995" s="380"/>
      <c r="H3995" s="380"/>
      <c r="I3995" s="382"/>
      <c r="J3995" s="380"/>
      <c r="K3995" s="380"/>
      <c r="L3995" s="378"/>
      <c r="M3995" s="380"/>
      <c r="N3995" s="380"/>
      <c r="O3995" s="380"/>
      <c r="P3995" s="380"/>
      <c r="Q3995" s="380"/>
    </row>
    <row r="3996" spans="1:17" x14ac:dyDescent="0.2">
      <c r="A3996" s="334" t="s">
        <v>342</v>
      </c>
      <c r="B3996" s="377"/>
      <c r="C3996" s="334" t="s">
        <v>342</v>
      </c>
      <c r="D3996" s="334" t="s">
        <v>342</v>
      </c>
      <c r="E3996" s="377"/>
      <c r="F3996" s="378"/>
      <c r="G3996" s="377"/>
      <c r="H3996" s="377"/>
      <c r="I3996" s="385"/>
      <c r="J3996" s="334" t="s">
        <v>342</v>
      </c>
      <c r="K3996" s="377"/>
      <c r="L3996" s="378"/>
      <c r="M3996" s="377"/>
      <c r="N3996" s="377"/>
      <c r="O3996" s="380"/>
      <c r="P3996" s="380"/>
      <c r="Q3996" s="380"/>
    </row>
    <row r="3997" spans="1:17" x14ac:dyDescent="0.2">
      <c r="A3997" s="334" t="s">
        <v>1950</v>
      </c>
      <c r="B3997" s="380"/>
      <c r="C3997" s="380"/>
      <c r="D3997" s="380"/>
      <c r="E3997" s="380"/>
      <c r="F3997" s="378"/>
      <c r="G3997" s="380"/>
      <c r="H3997" s="380"/>
      <c r="I3997" s="382"/>
      <c r="J3997" s="380"/>
      <c r="K3997" s="380"/>
      <c r="L3997" s="378"/>
      <c r="M3997" s="380"/>
      <c r="N3997" s="380"/>
      <c r="O3997" s="380"/>
      <c r="P3997" s="380"/>
      <c r="Q3997" s="380"/>
    </row>
    <row r="3998" spans="1:17" x14ac:dyDescent="0.2">
      <c r="A3998" s="334" t="s">
        <v>342</v>
      </c>
      <c r="B3998" s="380"/>
      <c r="C3998" s="384" t="s">
        <v>2173</v>
      </c>
      <c r="D3998" s="380"/>
      <c r="E3998" s="380"/>
      <c r="F3998" s="378"/>
      <c r="G3998" s="380"/>
      <c r="H3998" s="380"/>
      <c r="I3998" s="382"/>
      <c r="J3998" s="380"/>
      <c r="K3998" s="380"/>
      <c r="L3998" s="378"/>
      <c r="M3998" s="380"/>
      <c r="N3998" s="380"/>
      <c r="O3998" s="380"/>
      <c r="P3998" s="380"/>
      <c r="Q3998" s="380"/>
    </row>
    <row r="3999" spans="1:17" x14ac:dyDescent="0.2">
      <c r="A3999" s="334" t="s">
        <v>342</v>
      </c>
      <c r="B3999" s="380"/>
      <c r="C3999" s="334" t="s">
        <v>342</v>
      </c>
      <c r="D3999" s="334" t="s">
        <v>342</v>
      </c>
      <c r="E3999" s="380"/>
      <c r="F3999" s="378"/>
      <c r="G3999" s="380"/>
      <c r="H3999" s="380"/>
      <c r="I3999" s="385"/>
      <c r="J3999" s="334" t="s">
        <v>342</v>
      </c>
      <c r="K3999" s="380"/>
      <c r="L3999" s="378"/>
      <c r="M3999" s="380"/>
      <c r="N3999" s="380"/>
      <c r="O3999" s="380"/>
      <c r="P3999" s="380"/>
      <c r="Q3999" s="380"/>
    </row>
    <row r="4000" spans="1:17" x14ac:dyDescent="0.2">
      <c r="A4000" s="334" t="s">
        <v>1723</v>
      </c>
      <c r="B4000" s="380"/>
      <c r="C4000" s="334" t="s">
        <v>1880</v>
      </c>
      <c r="D4000" s="334" t="s">
        <v>181</v>
      </c>
      <c r="E4000" s="380"/>
      <c r="F4000" s="378"/>
      <c r="G4000" s="380"/>
      <c r="H4000" s="380"/>
      <c r="I4000" s="385"/>
      <c r="J4000" s="334" t="s">
        <v>181</v>
      </c>
      <c r="K4000" s="380"/>
      <c r="L4000" s="378"/>
      <c r="M4000" s="380"/>
      <c r="N4000" s="380"/>
      <c r="O4000" s="380"/>
      <c r="P4000" s="380"/>
      <c r="Q4000" s="380"/>
    </row>
    <row r="4001" spans="1:17" x14ac:dyDescent="0.2">
      <c r="A4001" s="334" t="s">
        <v>342</v>
      </c>
      <c r="B4001" s="380"/>
      <c r="C4001" s="334" t="s">
        <v>342</v>
      </c>
      <c r="D4001" s="334" t="s">
        <v>342</v>
      </c>
      <c r="E4001" s="380"/>
      <c r="F4001" s="378"/>
      <c r="G4001" s="380"/>
      <c r="H4001" s="380"/>
      <c r="I4001" s="385"/>
      <c r="J4001" s="334" t="s">
        <v>342</v>
      </c>
      <c r="K4001" s="380"/>
      <c r="L4001" s="378"/>
      <c r="M4001" s="380"/>
      <c r="N4001" s="380"/>
      <c r="O4001" s="380"/>
      <c r="P4001" s="380"/>
      <c r="Q4001" s="380"/>
    </row>
    <row r="4002" spans="1:17" x14ac:dyDescent="0.2">
      <c r="A4002" s="334" t="s">
        <v>1569</v>
      </c>
      <c r="B4002" s="380"/>
      <c r="C4002" s="334" t="s">
        <v>1888</v>
      </c>
      <c r="D4002" s="377"/>
      <c r="E4002" s="380"/>
      <c r="F4002" s="378"/>
      <c r="G4002" s="380"/>
      <c r="H4002" s="380"/>
      <c r="I4002" s="399"/>
      <c r="J4002" s="377"/>
      <c r="K4002" s="380"/>
      <c r="L4002" s="378"/>
      <c r="M4002" s="380"/>
      <c r="N4002" s="380"/>
      <c r="O4002" s="380"/>
      <c r="P4002" s="380"/>
      <c r="Q4002" s="380"/>
    </row>
    <row r="4003" spans="1:17" x14ac:dyDescent="0.2">
      <c r="A4003" s="334" t="s">
        <v>1724</v>
      </c>
      <c r="B4003" s="380"/>
      <c r="C4003" s="334" t="s">
        <v>1881</v>
      </c>
      <c r="D4003" s="377"/>
      <c r="E4003" s="380"/>
      <c r="F4003" s="378"/>
      <c r="G4003" s="380"/>
      <c r="H4003" s="380"/>
      <c r="I4003" s="399"/>
      <c r="J4003" s="377"/>
      <c r="K4003" s="380"/>
      <c r="L4003" s="378"/>
      <c r="M4003" s="380"/>
      <c r="N4003" s="380"/>
      <c r="O4003" s="380"/>
      <c r="P4003" s="380"/>
      <c r="Q4003" s="380"/>
    </row>
    <row r="4004" spans="1:17" x14ac:dyDescent="0.2">
      <c r="A4004" s="334" t="s">
        <v>1736</v>
      </c>
      <c r="B4004" s="380"/>
      <c r="C4004" s="334" t="s">
        <v>1747</v>
      </c>
      <c r="D4004" s="377"/>
      <c r="E4004" s="380"/>
      <c r="F4004" s="378"/>
      <c r="G4004" s="380"/>
      <c r="H4004" s="380"/>
      <c r="I4004" s="399"/>
      <c r="J4004" s="377"/>
      <c r="K4004" s="380"/>
      <c r="L4004" s="378"/>
      <c r="M4004" s="380"/>
      <c r="N4004" s="380"/>
      <c r="O4004" s="380"/>
      <c r="P4004" s="380"/>
      <c r="Q4004" s="380"/>
    </row>
    <row r="4005" spans="1:17" x14ac:dyDescent="0.2">
      <c r="A4005" s="334" t="s">
        <v>1744</v>
      </c>
      <c r="B4005" s="380"/>
      <c r="C4005" s="334" t="s">
        <v>1254</v>
      </c>
      <c r="D4005" s="377"/>
      <c r="E4005" s="380"/>
      <c r="F4005" s="378"/>
      <c r="G4005" s="380"/>
      <c r="H4005" s="380"/>
      <c r="I4005" s="399"/>
      <c r="J4005" s="377"/>
      <c r="K4005" s="380"/>
      <c r="L4005" s="378"/>
      <c r="M4005" s="380"/>
      <c r="N4005" s="380"/>
      <c r="O4005" s="380"/>
      <c r="P4005" s="380"/>
      <c r="Q4005" s="380"/>
    </row>
    <row r="4006" spans="1:17" x14ac:dyDescent="0.2">
      <c r="A4006" s="334" t="s">
        <v>1582</v>
      </c>
      <c r="B4006" s="380"/>
      <c r="C4006" s="334" t="s">
        <v>3135</v>
      </c>
      <c r="D4006" s="377"/>
      <c r="E4006" s="380"/>
      <c r="F4006" s="378"/>
      <c r="G4006" s="380"/>
      <c r="H4006" s="380"/>
      <c r="I4006" s="399"/>
      <c r="J4006" s="377"/>
      <c r="K4006" s="380"/>
      <c r="L4006" s="378"/>
      <c r="M4006" s="380"/>
      <c r="N4006" s="380"/>
      <c r="O4006" s="380"/>
      <c r="P4006" s="380"/>
      <c r="Q4006" s="380"/>
    </row>
    <row r="4007" spans="1:17" x14ac:dyDescent="0.2">
      <c r="A4007" s="334" t="s">
        <v>1575</v>
      </c>
      <c r="B4007" s="380"/>
      <c r="C4007" s="334" t="s">
        <v>1889</v>
      </c>
      <c r="D4007" s="377"/>
      <c r="E4007" s="380"/>
      <c r="F4007" s="378"/>
      <c r="G4007" s="380"/>
      <c r="H4007" s="380"/>
      <c r="I4007" s="399"/>
      <c r="J4007" s="377"/>
      <c r="K4007" s="380"/>
      <c r="L4007" s="378"/>
      <c r="M4007" s="380"/>
      <c r="N4007" s="380"/>
      <c r="O4007" s="380"/>
      <c r="P4007" s="380"/>
      <c r="Q4007" s="380"/>
    </row>
    <row r="4008" spans="1:17" x14ac:dyDescent="0.2">
      <c r="A4008" s="334" t="s">
        <v>1725</v>
      </c>
      <c r="B4008" s="380"/>
      <c r="C4008" s="334" t="s">
        <v>1890</v>
      </c>
      <c r="D4008" s="377"/>
      <c r="E4008" s="380"/>
      <c r="F4008" s="378"/>
      <c r="G4008" s="380"/>
      <c r="H4008" s="380"/>
      <c r="I4008" s="399"/>
      <c r="J4008" s="377"/>
      <c r="K4008" s="380"/>
      <c r="L4008" s="378"/>
      <c r="M4008" s="380"/>
      <c r="N4008" s="380"/>
      <c r="O4008" s="380"/>
      <c r="P4008" s="380"/>
      <c r="Q4008" s="380"/>
    </row>
    <row r="4009" spans="1:17" x14ac:dyDescent="0.2">
      <c r="A4009" s="334" t="s">
        <v>1737</v>
      </c>
      <c r="B4009" s="380"/>
      <c r="C4009" s="334" t="s">
        <v>1984</v>
      </c>
      <c r="D4009" s="377"/>
      <c r="E4009" s="380"/>
      <c r="F4009" s="378"/>
      <c r="G4009" s="380"/>
      <c r="H4009" s="380"/>
      <c r="I4009" s="399"/>
      <c r="J4009" s="377"/>
      <c r="K4009" s="380"/>
      <c r="L4009" s="378"/>
      <c r="M4009" s="380"/>
      <c r="N4009" s="380"/>
      <c r="O4009" s="380"/>
      <c r="P4009" s="380"/>
      <c r="Q4009" s="380"/>
    </row>
    <row r="4010" spans="1:17" x14ac:dyDescent="0.2">
      <c r="A4010" s="334" t="s">
        <v>1726</v>
      </c>
      <c r="B4010" s="380"/>
      <c r="C4010" s="334" t="s">
        <v>1117</v>
      </c>
      <c r="D4010" s="377"/>
      <c r="E4010" s="380"/>
      <c r="F4010" s="378"/>
      <c r="G4010" s="380"/>
      <c r="H4010" s="380"/>
      <c r="I4010" s="399"/>
      <c r="J4010" s="377"/>
      <c r="K4010" s="380"/>
      <c r="L4010" s="378"/>
      <c r="M4010" s="380"/>
      <c r="N4010" s="380"/>
      <c r="O4010" s="380"/>
      <c r="P4010" s="380"/>
      <c r="Q4010" s="380"/>
    </row>
    <row r="4011" spans="1:17" x14ac:dyDescent="0.2">
      <c r="A4011" s="334" t="s">
        <v>1577</v>
      </c>
      <c r="B4011" s="380"/>
      <c r="C4011" s="334" t="s">
        <v>1815</v>
      </c>
      <c r="D4011" s="377"/>
      <c r="E4011" s="380"/>
      <c r="F4011" s="378"/>
      <c r="G4011" s="380"/>
      <c r="H4011" s="380"/>
      <c r="I4011" s="399"/>
      <c r="J4011" s="377"/>
      <c r="K4011" s="380"/>
      <c r="L4011" s="378"/>
      <c r="M4011" s="380"/>
      <c r="N4011" s="380"/>
      <c r="O4011" s="380"/>
      <c r="P4011" s="380"/>
      <c r="Q4011" s="380"/>
    </row>
    <row r="4012" spans="1:17" x14ac:dyDescent="0.2">
      <c r="A4012" s="334" t="s">
        <v>1734</v>
      </c>
      <c r="B4012" s="380"/>
      <c r="C4012" s="334" t="s">
        <v>1746</v>
      </c>
      <c r="D4012" s="377"/>
      <c r="E4012" s="380"/>
      <c r="F4012" s="378"/>
      <c r="G4012" s="380"/>
      <c r="H4012" s="380"/>
      <c r="I4012" s="399"/>
      <c r="J4012" s="377"/>
      <c r="K4012" s="380"/>
      <c r="L4012" s="378"/>
      <c r="M4012" s="380"/>
      <c r="N4012" s="380"/>
      <c r="O4012" s="380"/>
      <c r="P4012" s="380"/>
      <c r="Q4012" s="380"/>
    </row>
    <row r="4013" spans="1:17" x14ac:dyDescent="0.2">
      <c r="A4013" s="334" t="s">
        <v>1571</v>
      </c>
      <c r="B4013" s="380"/>
      <c r="C4013" s="334" t="s">
        <v>3</v>
      </c>
      <c r="D4013" s="377"/>
      <c r="E4013" s="380"/>
      <c r="F4013" s="378"/>
      <c r="G4013" s="380"/>
      <c r="H4013" s="380"/>
      <c r="I4013" s="399"/>
      <c r="J4013" s="377"/>
      <c r="K4013" s="380"/>
      <c r="L4013" s="378"/>
      <c r="M4013" s="380"/>
      <c r="N4013" s="380"/>
      <c r="O4013" s="380"/>
      <c r="P4013" s="380"/>
      <c r="Q4013" s="380"/>
    </row>
    <row r="4014" spans="1:17" x14ac:dyDescent="0.2">
      <c r="A4014" s="334" t="s">
        <v>1738</v>
      </c>
      <c r="B4014" s="380"/>
      <c r="C4014" s="334" t="s">
        <v>1591</v>
      </c>
      <c r="D4014" s="377"/>
      <c r="E4014" s="380"/>
      <c r="F4014" s="378"/>
      <c r="G4014" s="380"/>
      <c r="H4014" s="380"/>
      <c r="I4014" s="399"/>
      <c r="J4014" s="377"/>
      <c r="K4014" s="380"/>
      <c r="L4014" s="378"/>
      <c r="M4014" s="380"/>
      <c r="N4014" s="380"/>
      <c r="O4014" s="380"/>
      <c r="P4014" s="380"/>
      <c r="Q4014" s="380"/>
    </row>
    <row r="4015" spans="1:17" x14ac:dyDescent="0.2">
      <c r="A4015" s="334" t="s">
        <v>1727</v>
      </c>
      <c r="B4015" s="380"/>
      <c r="C4015" s="334" t="s">
        <v>307</v>
      </c>
      <c r="D4015" s="377"/>
      <c r="E4015" s="380"/>
      <c r="F4015" s="378"/>
      <c r="G4015" s="380"/>
      <c r="H4015" s="380"/>
      <c r="I4015" s="399"/>
      <c r="J4015" s="377"/>
      <c r="K4015" s="380"/>
      <c r="L4015" s="378"/>
      <c r="M4015" s="380"/>
      <c r="N4015" s="380"/>
      <c r="O4015" s="380"/>
      <c r="P4015" s="380"/>
      <c r="Q4015" s="380"/>
    </row>
    <row r="4016" spans="1:17" x14ac:dyDescent="0.2">
      <c r="A4016" s="334" t="s">
        <v>1728</v>
      </c>
      <c r="B4016" s="380"/>
      <c r="C4016" s="334" t="s">
        <v>310</v>
      </c>
      <c r="D4016" s="377"/>
      <c r="E4016" s="380"/>
      <c r="F4016" s="378"/>
      <c r="G4016" s="380"/>
      <c r="H4016" s="380"/>
      <c r="I4016" s="399"/>
      <c r="J4016" s="377"/>
      <c r="K4016" s="380"/>
      <c r="L4016" s="378"/>
      <c r="M4016" s="380"/>
      <c r="N4016" s="380"/>
      <c r="O4016" s="380"/>
      <c r="P4016" s="380"/>
      <c r="Q4016" s="380"/>
    </row>
    <row r="4017" spans="1:17" x14ac:dyDescent="0.2">
      <c r="A4017" s="334" t="s">
        <v>1729</v>
      </c>
      <c r="B4017" s="380"/>
      <c r="C4017" s="380" t="s">
        <v>1551</v>
      </c>
      <c r="D4017" s="377"/>
      <c r="E4017" s="380"/>
      <c r="F4017" s="378"/>
      <c r="G4017" s="380"/>
      <c r="H4017" s="380"/>
      <c r="I4017" s="399"/>
      <c r="J4017" s="377"/>
      <c r="K4017" s="380"/>
      <c r="L4017" s="378"/>
      <c r="M4017" s="380"/>
      <c r="N4017" s="380"/>
      <c r="O4017" s="380"/>
      <c r="P4017" s="380"/>
      <c r="Q4017" s="380"/>
    </row>
    <row r="4018" spans="1:17" x14ac:dyDescent="0.2">
      <c r="A4018" s="334" t="s">
        <v>1735</v>
      </c>
      <c r="B4018" s="380"/>
      <c r="C4018" s="380" t="s">
        <v>194</v>
      </c>
      <c r="D4018" s="377"/>
      <c r="E4018" s="380"/>
      <c r="F4018" s="378"/>
      <c r="G4018" s="380"/>
      <c r="H4018" s="380"/>
      <c r="I4018" s="399"/>
      <c r="J4018" s="377"/>
      <c r="K4018" s="380"/>
      <c r="L4018" s="378"/>
      <c r="M4018" s="380"/>
      <c r="N4018" s="380"/>
      <c r="O4018" s="380"/>
      <c r="P4018" s="380"/>
      <c r="Q4018" s="380"/>
    </row>
    <row r="4019" spans="1:17" x14ac:dyDescent="0.2">
      <c r="A4019" s="334" t="s">
        <v>1572</v>
      </c>
      <c r="B4019" s="380"/>
      <c r="C4019" s="334" t="s">
        <v>3134</v>
      </c>
      <c r="D4019" s="377"/>
      <c r="E4019" s="380"/>
      <c r="F4019" s="378"/>
      <c r="G4019" s="380"/>
      <c r="H4019" s="380"/>
      <c r="I4019" s="399"/>
      <c r="J4019" s="377"/>
      <c r="K4019" s="380"/>
      <c r="L4019" s="378"/>
      <c r="M4019" s="380"/>
      <c r="N4019" s="380"/>
      <c r="O4019" s="380"/>
      <c r="P4019" s="380"/>
      <c r="Q4019" s="380"/>
    </row>
    <row r="4020" spans="1:17" x14ac:dyDescent="0.2">
      <c r="A4020" s="334" t="s">
        <v>1730</v>
      </c>
      <c r="B4020" s="380"/>
      <c r="C4020" s="334" t="s">
        <v>1985</v>
      </c>
      <c r="D4020" s="377"/>
      <c r="E4020" s="380"/>
      <c r="F4020" s="378"/>
      <c r="G4020" s="380"/>
      <c r="H4020" s="380"/>
      <c r="I4020" s="399"/>
      <c r="J4020" s="377"/>
      <c r="K4020" s="380"/>
      <c r="L4020" s="378"/>
      <c r="M4020" s="380"/>
      <c r="N4020" s="380"/>
      <c r="O4020" s="380"/>
      <c r="P4020" s="380"/>
      <c r="Q4020" s="380"/>
    </row>
    <row r="4021" spans="1:17" x14ac:dyDescent="0.2">
      <c r="A4021" s="334" t="s">
        <v>1566</v>
      </c>
      <c r="B4021" s="380"/>
      <c r="C4021" s="334" t="s">
        <v>366</v>
      </c>
      <c r="D4021" s="377"/>
      <c r="E4021" s="380"/>
      <c r="F4021" s="378"/>
      <c r="G4021" s="380"/>
      <c r="H4021" s="380"/>
      <c r="I4021" s="399"/>
      <c r="J4021" s="377"/>
      <c r="K4021" s="380"/>
      <c r="L4021" s="378"/>
      <c r="M4021" s="380"/>
      <c r="N4021" s="380"/>
      <c r="O4021" s="380"/>
      <c r="P4021" s="380"/>
      <c r="Q4021" s="380"/>
    </row>
    <row r="4022" spans="1:17" x14ac:dyDescent="0.2">
      <c r="A4022" s="334" t="s">
        <v>1755</v>
      </c>
      <c r="B4022" s="380"/>
      <c r="C4022" s="380" t="s">
        <v>1986</v>
      </c>
      <c r="D4022" s="377"/>
      <c r="E4022" s="380"/>
      <c r="F4022" s="378"/>
      <c r="G4022" s="380"/>
      <c r="H4022" s="380"/>
      <c r="I4022" s="399"/>
      <c r="J4022" s="377"/>
      <c r="K4022" s="380"/>
      <c r="L4022" s="378"/>
      <c r="M4022" s="380"/>
      <c r="N4022" s="380"/>
      <c r="O4022" s="380"/>
      <c r="P4022" s="380"/>
      <c r="Q4022" s="380"/>
    </row>
    <row r="4023" spans="1:17" x14ac:dyDescent="0.2">
      <c r="A4023" s="384" t="s">
        <v>1962</v>
      </c>
      <c r="B4023" s="380"/>
      <c r="C4023" s="380" t="s">
        <v>572</v>
      </c>
      <c r="D4023" s="377"/>
      <c r="E4023" s="380"/>
      <c r="F4023" s="378"/>
      <c r="G4023" s="380"/>
      <c r="H4023" s="380"/>
      <c r="I4023" s="399"/>
      <c r="J4023" s="377"/>
      <c r="K4023" s="380"/>
      <c r="L4023" s="378"/>
      <c r="M4023" s="380"/>
      <c r="N4023" s="380"/>
      <c r="O4023" s="380"/>
      <c r="P4023" s="380"/>
      <c r="Q4023" s="380"/>
    </row>
    <row r="4024" spans="1:17" x14ac:dyDescent="0.2">
      <c r="A4024" s="380"/>
      <c r="B4024" s="380"/>
      <c r="C4024" s="380"/>
      <c r="D4024" s="394"/>
      <c r="E4024" s="380"/>
      <c r="F4024" s="378"/>
      <c r="G4024" s="380"/>
      <c r="H4024" s="380"/>
      <c r="I4024" s="399"/>
      <c r="J4024" s="394"/>
      <c r="K4024" s="380"/>
      <c r="L4024" s="378"/>
      <c r="M4024" s="380"/>
      <c r="N4024" s="380"/>
      <c r="O4024" s="380"/>
      <c r="P4024" s="380"/>
      <c r="Q4024" s="380"/>
    </row>
    <row r="4025" spans="1:17" ht="15.75" thickBot="1" x14ac:dyDescent="0.25">
      <c r="A4025" s="380"/>
      <c r="B4025" s="380"/>
      <c r="C4025" s="380"/>
      <c r="D4025" s="411">
        <f>SUM(D4002:D4023)</f>
        <v>0</v>
      </c>
      <c r="E4025" s="380"/>
      <c r="F4025" s="378"/>
      <c r="G4025" s="380"/>
      <c r="H4025" s="380"/>
      <c r="I4025" s="385"/>
      <c r="J4025" s="411">
        <f>SUM(J4002:J4023)</f>
        <v>0</v>
      </c>
      <c r="K4025" s="380"/>
      <c r="L4025" s="378"/>
      <c r="M4025" s="380"/>
      <c r="N4025" s="380"/>
      <c r="O4025" s="380"/>
      <c r="P4025" s="380"/>
      <c r="Q4025" s="380"/>
    </row>
    <row r="4026" spans="1:17" x14ac:dyDescent="0.2">
      <c r="A4026" s="380"/>
      <c r="B4026" s="380"/>
      <c r="C4026" s="380"/>
      <c r="D4026" s="385"/>
      <c r="E4026" s="380"/>
      <c r="F4026" s="378"/>
      <c r="G4026" s="380"/>
      <c r="H4026" s="380"/>
      <c r="I4026" s="385"/>
      <c r="J4026" s="385"/>
      <c r="K4026" s="380"/>
      <c r="L4026" s="378"/>
      <c r="M4026" s="380"/>
      <c r="N4026" s="380"/>
      <c r="O4026" s="380"/>
      <c r="P4026" s="380"/>
      <c r="Q4026" s="380"/>
    </row>
    <row r="4027" spans="1:17" x14ac:dyDescent="0.2">
      <c r="A4027" s="380"/>
      <c r="B4027" s="380"/>
      <c r="C4027" s="380"/>
      <c r="D4027" s="399"/>
      <c r="E4027" s="380"/>
      <c r="F4027" s="378"/>
      <c r="G4027" s="380"/>
      <c r="H4027" s="380"/>
      <c r="I4027" s="399"/>
      <c r="J4027" s="399"/>
      <c r="K4027" s="380"/>
      <c r="L4027" s="378"/>
      <c r="M4027" s="380"/>
      <c r="N4027" s="380"/>
      <c r="O4027" s="380"/>
      <c r="P4027" s="380"/>
      <c r="Q4027" s="380"/>
    </row>
    <row r="4028" spans="1:17" x14ac:dyDescent="0.2">
      <c r="A4028" s="334" t="s">
        <v>216</v>
      </c>
      <c r="B4028" s="380"/>
      <c r="C4028" s="398"/>
      <c r="D4028" s="380"/>
      <c r="E4028" s="380"/>
      <c r="F4028" s="378"/>
      <c r="G4028" s="380"/>
      <c r="H4028" s="380"/>
      <c r="I4028" s="382"/>
      <c r="J4028" s="380"/>
      <c r="K4028" s="380"/>
      <c r="L4028" s="378"/>
      <c r="M4028" s="380"/>
      <c r="N4028" s="380"/>
      <c r="O4028" s="380"/>
      <c r="P4028" s="380"/>
      <c r="Q4028" s="380"/>
    </row>
    <row r="4029" spans="1:17" x14ac:dyDescent="0.2">
      <c r="A4029" s="334" t="s">
        <v>342</v>
      </c>
      <c r="B4029" s="380"/>
      <c r="C4029" s="384" t="s">
        <v>2174</v>
      </c>
      <c r="D4029" s="380"/>
      <c r="E4029" s="380"/>
      <c r="F4029" s="378"/>
      <c r="G4029" s="380"/>
      <c r="H4029" s="380"/>
      <c r="I4029" s="382"/>
      <c r="J4029" s="380"/>
      <c r="K4029" s="380"/>
      <c r="L4029" s="378"/>
      <c r="M4029" s="380"/>
      <c r="N4029" s="380"/>
      <c r="O4029" s="380"/>
      <c r="P4029" s="380"/>
      <c r="Q4029" s="380"/>
    </row>
    <row r="4030" spans="1:17" x14ac:dyDescent="0.2">
      <c r="A4030" s="334" t="s">
        <v>342</v>
      </c>
      <c r="B4030" s="380"/>
      <c r="C4030" s="334" t="s">
        <v>342</v>
      </c>
      <c r="D4030" s="334" t="s">
        <v>342</v>
      </c>
      <c r="E4030" s="380"/>
      <c r="F4030" s="378"/>
      <c r="G4030" s="380"/>
      <c r="H4030" s="380"/>
      <c r="I4030" s="385"/>
      <c r="J4030" s="334" t="s">
        <v>342</v>
      </c>
      <c r="K4030" s="380"/>
      <c r="L4030" s="378"/>
      <c r="M4030" s="380"/>
      <c r="N4030" s="380"/>
      <c r="O4030" s="380"/>
      <c r="P4030" s="380"/>
      <c r="Q4030" s="380"/>
    </row>
    <row r="4031" spans="1:17" x14ac:dyDescent="0.2">
      <c r="A4031" s="334" t="s">
        <v>1723</v>
      </c>
      <c r="B4031" s="380"/>
      <c r="C4031" s="334" t="s">
        <v>1880</v>
      </c>
      <c r="D4031" s="334" t="s">
        <v>181</v>
      </c>
      <c r="E4031" s="380"/>
      <c r="F4031" s="378"/>
      <c r="G4031" s="380"/>
      <c r="H4031" s="380"/>
      <c r="I4031" s="385"/>
      <c r="J4031" s="334" t="s">
        <v>181</v>
      </c>
      <c r="K4031" s="380"/>
      <c r="L4031" s="378"/>
      <c r="M4031" s="380"/>
      <c r="N4031" s="380"/>
      <c r="O4031" s="380"/>
      <c r="P4031" s="380"/>
      <c r="Q4031" s="380"/>
    </row>
    <row r="4032" spans="1:17" x14ac:dyDescent="0.2">
      <c r="A4032" s="334" t="s">
        <v>342</v>
      </c>
      <c r="B4032" s="380"/>
      <c r="C4032" s="334" t="s">
        <v>342</v>
      </c>
      <c r="D4032" s="334" t="s">
        <v>342</v>
      </c>
      <c r="E4032" s="380"/>
      <c r="F4032" s="378"/>
      <c r="G4032" s="380"/>
      <c r="H4032" s="380"/>
      <c r="I4032" s="385"/>
      <c r="J4032" s="334" t="s">
        <v>342</v>
      </c>
      <c r="K4032" s="380"/>
      <c r="L4032" s="378"/>
      <c r="M4032" s="380"/>
      <c r="N4032" s="380"/>
      <c r="O4032" s="380"/>
      <c r="P4032" s="380"/>
      <c r="Q4032" s="380"/>
    </row>
    <row r="4033" spans="1:17" x14ac:dyDescent="0.2">
      <c r="A4033" s="334" t="s">
        <v>1569</v>
      </c>
      <c r="B4033" s="380"/>
      <c r="C4033" s="334" t="s">
        <v>1888</v>
      </c>
      <c r="D4033" s="377"/>
      <c r="E4033" s="380"/>
      <c r="F4033" s="378"/>
      <c r="G4033" s="380"/>
      <c r="H4033" s="380"/>
      <c r="I4033" s="399"/>
      <c r="J4033" s="377">
        <v>1000</v>
      </c>
      <c r="K4033" s="380"/>
      <c r="L4033" s="378"/>
      <c r="M4033" s="380"/>
      <c r="N4033" s="380"/>
      <c r="O4033" s="380"/>
      <c r="P4033" s="380"/>
      <c r="Q4033" s="380"/>
    </row>
    <row r="4034" spans="1:17" x14ac:dyDescent="0.2">
      <c r="A4034" s="334" t="s">
        <v>1724</v>
      </c>
      <c r="B4034" s="380"/>
      <c r="C4034" s="334" t="s">
        <v>1881</v>
      </c>
      <c r="D4034" s="377">
        <v>20000</v>
      </c>
      <c r="E4034" s="380"/>
      <c r="F4034" s="378"/>
      <c r="G4034" s="380"/>
      <c r="H4034" s="380"/>
      <c r="I4034" s="399"/>
      <c r="J4034" s="377">
        <v>12000</v>
      </c>
      <c r="K4034" s="380"/>
      <c r="L4034" s="378"/>
      <c r="M4034" s="380"/>
      <c r="N4034" s="380"/>
      <c r="O4034" s="380"/>
      <c r="P4034" s="380"/>
      <c r="Q4034" s="380"/>
    </row>
    <row r="4035" spans="1:17" x14ac:dyDescent="0.2">
      <c r="A4035" s="334" t="s">
        <v>1736</v>
      </c>
      <c r="B4035" s="380"/>
      <c r="C4035" s="334" t="s">
        <v>1747</v>
      </c>
      <c r="D4035" s="377"/>
      <c r="E4035" s="380"/>
      <c r="F4035" s="378"/>
      <c r="G4035" s="380"/>
      <c r="H4035" s="380"/>
      <c r="I4035" s="399"/>
      <c r="J4035" s="377"/>
      <c r="K4035" s="380"/>
      <c r="L4035" s="378"/>
      <c r="M4035" s="380"/>
      <c r="N4035" s="380"/>
      <c r="O4035" s="380"/>
      <c r="P4035" s="380"/>
      <c r="Q4035" s="380"/>
    </row>
    <row r="4036" spans="1:17" x14ac:dyDescent="0.2">
      <c r="A4036" s="334" t="s">
        <v>1744</v>
      </c>
      <c r="B4036" s="380"/>
      <c r="C4036" s="334" t="s">
        <v>1254</v>
      </c>
      <c r="D4036" s="377">
        <v>500</v>
      </c>
      <c r="E4036" s="380"/>
      <c r="F4036" s="378"/>
      <c r="G4036" s="380"/>
      <c r="H4036" s="380"/>
      <c r="I4036" s="399"/>
      <c r="J4036" s="377">
        <v>200</v>
      </c>
      <c r="K4036" s="380"/>
      <c r="L4036" s="378"/>
      <c r="M4036" s="380"/>
      <c r="N4036" s="380"/>
      <c r="O4036" s="380"/>
      <c r="P4036" s="380"/>
      <c r="Q4036" s="380"/>
    </row>
    <row r="4037" spans="1:17" x14ac:dyDescent="0.2">
      <c r="A4037" s="334" t="s">
        <v>1582</v>
      </c>
      <c r="B4037" s="380"/>
      <c r="C4037" s="334" t="s">
        <v>3135</v>
      </c>
      <c r="D4037" s="377">
        <v>500</v>
      </c>
      <c r="E4037" s="380"/>
      <c r="F4037" s="378"/>
      <c r="G4037" s="380"/>
      <c r="H4037" s="380"/>
      <c r="I4037" s="399"/>
      <c r="J4037" s="377">
        <v>300</v>
      </c>
      <c r="K4037" s="380"/>
      <c r="L4037" s="378"/>
      <c r="M4037" s="380"/>
      <c r="N4037" s="380"/>
      <c r="O4037" s="380"/>
      <c r="P4037" s="380"/>
      <c r="Q4037" s="380"/>
    </row>
    <row r="4038" spans="1:17" x14ac:dyDescent="0.2">
      <c r="A4038" s="334" t="s">
        <v>1575</v>
      </c>
      <c r="B4038" s="380"/>
      <c r="C4038" s="334" t="s">
        <v>1889</v>
      </c>
      <c r="D4038" s="377">
        <v>10000</v>
      </c>
      <c r="E4038" s="380"/>
      <c r="F4038" s="378"/>
      <c r="G4038" s="380"/>
      <c r="H4038" s="380"/>
      <c r="I4038" s="399"/>
      <c r="J4038" s="377">
        <v>3000</v>
      </c>
      <c r="K4038" s="380"/>
      <c r="L4038" s="378"/>
      <c r="M4038" s="380"/>
      <c r="N4038" s="380"/>
      <c r="O4038" s="380"/>
      <c r="P4038" s="380"/>
      <c r="Q4038" s="380"/>
    </row>
    <row r="4039" spans="1:17" x14ac:dyDescent="0.2">
      <c r="A4039" s="334" t="s">
        <v>1725</v>
      </c>
      <c r="B4039" s="380"/>
      <c r="C4039" s="334" t="s">
        <v>1890</v>
      </c>
      <c r="D4039" s="377">
        <v>500</v>
      </c>
      <c r="E4039" s="380"/>
      <c r="F4039" s="378"/>
      <c r="G4039" s="380"/>
      <c r="H4039" s="380"/>
      <c r="I4039" s="399"/>
      <c r="J4039" s="377">
        <v>200</v>
      </c>
      <c r="K4039" s="380"/>
      <c r="L4039" s="378"/>
      <c r="M4039" s="380"/>
      <c r="N4039" s="380"/>
      <c r="O4039" s="380"/>
      <c r="P4039" s="380"/>
      <c r="Q4039" s="380"/>
    </row>
    <row r="4040" spans="1:17" x14ac:dyDescent="0.2">
      <c r="A4040" s="391" t="s">
        <v>1745</v>
      </c>
      <c r="B4040" s="380"/>
      <c r="C4040" s="334" t="s">
        <v>1887</v>
      </c>
      <c r="D4040" s="377">
        <v>200</v>
      </c>
      <c r="E4040" s="380"/>
      <c r="F4040" s="378"/>
      <c r="G4040" s="380"/>
      <c r="H4040" s="380"/>
      <c r="I4040" s="399"/>
      <c r="J4040" s="377">
        <v>80</v>
      </c>
      <c r="K4040" s="380"/>
      <c r="L4040" s="378"/>
      <c r="M4040" s="380"/>
      <c r="N4040" s="380"/>
      <c r="O4040" s="380"/>
      <c r="P4040" s="380"/>
      <c r="Q4040" s="380"/>
    </row>
    <row r="4041" spans="1:17" x14ac:dyDescent="0.2">
      <c r="A4041" s="334" t="s">
        <v>1737</v>
      </c>
      <c r="B4041" s="380"/>
      <c r="C4041" s="334" t="s">
        <v>1984</v>
      </c>
      <c r="D4041" s="377">
        <v>500</v>
      </c>
      <c r="E4041" s="380"/>
      <c r="F4041" s="378"/>
      <c r="G4041" s="380"/>
      <c r="H4041" s="380"/>
      <c r="I4041" s="399"/>
      <c r="J4041" s="377">
        <v>180</v>
      </c>
      <c r="K4041" s="380"/>
      <c r="L4041" s="378"/>
      <c r="M4041" s="380"/>
      <c r="N4041" s="380"/>
      <c r="O4041" s="380"/>
      <c r="P4041" s="380"/>
      <c r="Q4041" s="380"/>
    </row>
    <row r="4042" spans="1:17" x14ac:dyDescent="0.2">
      <c r="A4042" s="334" t="s">
        <v>1726</v>
      </c>
      <c r="B4042" s="380"/>
      <c r="C4042" s="334" t="s">
        <v>1117</v>
      </c>
      <c r="D4042" s="377">
        <v>200</v>
      </c>
      <c r="E4042" s="380"/>
      <c r="F4042" s="378"/>
      <c r="G4042" s="380"/>
      <c r="H4042" s="380"/>
      <c r="I4042" s="399"/>
      <c r="J4042" s="377">
        <v>150</v>
      </c>
      <c r="K4042" s="380"/>
      <c r="L4042" s="378"/>
      <c r="M4042" s="380"/>
      <c r="N4042" s="380"/>
      <c r="O4042" s="380"/>
      <c r="P4042" s="380"/>
      <c r="Q4042" s="380"/>
    </row>
    <row r="4043" spans="1:17" x14ac:dyDescent="0.2">
      <c r="A4043" s="384" t="s">
        <v>1751</v>
      </c>
      <c r="B4043" s="380"/>
      <c r="C4043" s="334" t="s">
        <v>3138</v>
      </c>
      <c r="D4043" s="377">
        <v>100</v>
      </c>
      <c r="E4043" s="380"/>
      <c r="F4043" s="378"/>
      <c r="G4043" s="380"/>
      <c r="H4043" s="380"/>
      <c r="I4043" s="399"/>
      <c r="J4043" s="377">
        <v>50</v>
      </c>
      <c r="K4043" s="380"/>
      <c r="L4043" s="378"/>
      <c r="M4043" s="380"/>
      <c r="N4043" s="380"/>
      <c r="O4043" s="380"/>
      <c r="P4043" s="380"/>
      <c r="Q4043" s="380"/>
    </row>
    <row r="4044" spans="1:17" x14ac:dyDescent="0.2">
      <c r="A4044" s="334" t="s">
        <v>1577</v>
      </c>
      <c r="B4044" s="380"/>
      <c r="C4044" s="334" t="s">
        <v>1815</v>
      </c>
      <c r="D4044" s="377"/>
      <c r="E4044" s="380"/>
      <c r="F4044" s="378"/>
      <c r="G4044" s="380"/>
      <c r="H4044" s="380"/>
      <c r="I4044" s="399"/>
      <c r="J4044" s="377">
        <v>1500</v>
      </c>
      <c r="K4044" s="380"/>
      <c r="L4044" s="378"/>
      <c r="M4044" s="380"/>
      <c r="N4044" s="380"/>
      <c r="O4044" s="380"/>
      <c r="P4044" s="380"/>
      <c r="Q4044" s="380"/>
    </row>
    <row r="4045" spans="1:17" x14ac:dyDescent="0.2">
      <c r="A4045" s="334" t="s">
        <v>1734</v>
      </c>
      <c r="B4045" s="380"/>
      <c r="C4045" s="334" t="s">
        <v>1746</v>
      </c>
      <c r="D4045" s="377">
        <v>2500</v>
      </c>
      <c r="E4045" s="380"/>
      <c r="F4045" s="378"/>
      <c r="G4045" s="380"/>
      <c r="H4045" s="380"/>
      <c r="I4045" s="399"/>
      <c r="J4045" s="377"/>
      <c r="K4045" s="380"/>
      <c r="L4045" s="378"/>
      <c r="M4045" s="380"/>
      <c r="N4045" s="380"/>
      <c r="O4045" s="380"/>
      <c r="P4045" s="380"/>
      <c r="Q4045" s="380"/>
    </row>
    <row r="4046" spans="1:17" x14ac:dyDescent="0.2">
      <c r="A4046" s="334" t="s">
        <v>1571</v>
      </c>
      <c r="B4046" s="380"/>
      <c r="C4046" s="334" t="s">
        <v>3</v>
      </c>
      <c r="D4046" s="377">
        <v>500</v>
      </c>
      <c r="E4046" s="380"/>
      <c r="F4046" s="378"/>
      <c r="G4046" s="380"/>
      <c r="H4046" s="380"/>
      <c r="I4046" s="399"/>
      <c r="J4046" s="377"/>
      <c r="K4046" s="380"/>
      <c r="L4046" s="378"/>
      <c r="M4046" s="380"/>
      <c r="N4046" s="380"/>
      <c r="O4046" s="380"/>
      <c r="P4046" s="380"/>
      <c r="Q4046" s="380"/>
    </row>
    <row r="4047" spans="1:17" x14ac:dyDescent="0.2">
      <c r="A4047" s="334" t="s">
        <v>1738</v>
      </c>
      <c r="B4047" s="380"/>
      <c r="C4047" s="334" t="s">
        <v>1591</v>
      </c>
      <c r="D4047" s="377">
        <v>200</v>
      </c>
      <c r="E4047" s="380"/>
      <c r="F4047" s="378"/>
      <c r="G4047" s="380"/>
      <c r="H4047" s="380"/>
      <c r="I4047" s="399"/>
      <c r="J4047" s="377">
        <v>100</v>
      </c>
      <c r="K4047" s="380"/>
      <c r="L4047" s="378"/>
      <c r="M4047" s="380"/>
      <c r="N4047" s="380"/>
      <c r="O4047" s="380"/>
      <c r="P4047" s="380"/>
      <c r="Q4047" s="380"/>
    </row>
    <row r="4048" spans="1:17" x14ac:dyDescent="0.2">
      <c r="A4048" s="334" t="s">
        <v>1727</v>
      </c>
      <c r="B4048" s="380"/>
      <c r="C4048" s="334" t="s">
        <v>307</v>
      </c>
      <c r="D4048" s="377">
        <v>300</v>
      </c>
      <c r="E4048" s="380"/>
      <c r="F4048" s="378"/>
      <c r="G4048" s="380"/>
      <c r="H4048" s="380"/>
      <c r="I4048" s="399"/>
      <c r="J4048" s="377">
        <v>100</v>
      </c>
      <c r="K4048" s="380"/>
      <c r="L4048" s="378"/>
      <c r="M4048" s="380"/>
      <c r="N4048" s="380"/>
      <c r="O4048" s="380"/>
      <c r="P4048" s="380"/>
      <c r="Q4048" s="380"/>
    </row>
    <row r="4049" spans="1:17" x14ac:dyDescent="0.2">
      <c r="A4049" s="334" t="s">
        <v>1728</v>
      </c>
      <c r="B4049" s="380"/>
      <c r="C4049" s="334" t="s">
        <v>310</v>
      </c>
      <c r="D4049" s="377">
        <v>800</v>
      </c>
      <c r="E4049" s="380"/>
      <c r="F4049" s="378"/>
      <c r="G4049" s="380"/>
      <c r="H4049" s="380"/>
      <c r="I4049" s="399"/>
      <c r="J4049" s="377">
        <v>400</v>
      </c>
      <c r="K4049" s="380"/>
      <c r="L4049" s="378"/>
      <c r="M4049" s="380"/>
      <c r="N4049" s="380"/>
      <c r="O4049" s="380"/>
      <c r="P4049" s="380"/>
      <c r="Q4049" s="380"/>
    </row>
    <row r="4050" spans="1:17" x14ac:dyDescent="0.2">
      <c r="A4050" s="334" t="s">
        <v>1729</v>
      </c>
      <c r="B4050" s="380"/>
      <c r="C4050" s="380" t="s">
        <v>1551</v>
      </c>
      <c r="D4050" s="377">
        <v>-1000</v>
      </c>
      <c r="E4050" s="380"/>
      <c r="F4050" s="378"/>
      <c r="G4050" s="380"/>
      <c r="H4050" s="380"/>
      <c r="I4050" s="399"/>
      <c r="J4050" s="377">
        <v>40</v>
      </c>
      <c r="K4050" s="380"/>
      <c r="L4050" s="378"/>
      <c r="M4050" s="380"/>
      <c r="N4050" s="380"/>
      <c r="O4050" s="380"/>
      <c r="P4050" s="380"/>
      <c r="Q4050" s="380"/>
    </row>
    <row r="4051" spans="1:17" x14ac:dyDescent="0.2">
      <c r="A4051" s="334" t="s">
        <v>1735</v>
      </c>
      <c r="B4051" s="380"/>
      <c r="C4051" s="380" t="s">
        <v>194</v>
      </c>
      <c r="D4051" s="377"/>
      <c r="E4051" s="380"/>
      <c r="F4051" s="378"/>
      <c r="G4051" s="380"/>
      <c r="H4051" s="380"/>
      <c r="I4051" s="399"/>
      <c r="J4051" s="377">
        <v>20</v>
      </c>
      <c r="K4051" s="380"/>
      <c r="L4051" s="378"/>
      <c r="M4051" s="380"/>
      <c r="N4051" s="380"/>
      <c r="O4051" s="380"/>
      <c r="P4051" s="380"/>
      <c r="Q4051" s="380"/>
    </row>
    <row r="4052" spans="1:17" x14ac:dyDescent="0.2">
      <c r="A4052" s="384" t="s">
        <v>1754</v>
      </c>
      <c r="B4052" s="380"/>
      <c r="C4052" s="334" t="s">
        <v>1929</v>
      </c>
      <c r="D4052" s="377"/>
      <c r="E4052" s="380"/>
      <c r="F4052" s="378"/>
      <c r="G4052" s="380"/>
      <c r="H4052" s="380"/>
      <c r="I4052" s="399"/>
      <c r="J4052" s="377">
        <v>350</v>
      </c>
      <c r="K4052" s="380"/>
      <c r="L4052" s="378"/>
      <c r="M4052" s="380"/>
      <c r="N4052" s="380"/>
      <c r="O4052" s="380"/>
      <c r="P4052" s="380"/>
      <c r="Q4052" s="380"/>
    </row>
    <row r="4053" spans="1:17" x14ac:dyDescent="0.2">
      <c r="A4053" s="334" t="s">
        <v>1572</v>
      </c>
      <c r="B4053" s="380"/>
      <c r="C4053" s="334" t="s">
        <v>3134</v>
      </c>
      <c r="D4053" s="377">
        <v>250</v>
      </c>
      <c r="E4053" s="380"/>
      <c r="F4053" s="378"/>
      <c r="G4053" s="380"/>
      <c r="H4053" s="380"/>
      <c r="I4053" s="399"/>
      <c r="J4053" s="377"/>
      <c r="K4053" s="380"/>
      <c r="L4053" s="378"/>
      <c r="M4053" s="380"/>
      <c r="N4053" s="380"/>
      <c r="O4053" s="380"/>
      <c r="P4053" s="380"/>
      <c r="Q4053" s="380"/>
    </row>
    <row r="4054" spans="1:17" x14ac:dyDescent="0.2">
      <c r="A4054" s="334" t="s">
        <v>1730</v>
      </c>
      <c r="B4054" s="380"/>
      <c r="C4054" s="334" t="s">
        <v>1985</v>
      </c>
      <c r="D4054" s="377">
        <v>500</v>
      </c>
      <c r="E4054" s="380"/>
      <c r="F4054" s="378"/>
      <c r="G4054" s="380"/>
      <c r="H4054" s="380"/>
      <c r="I4054" s="399"/>
      <c r="J4054" s="377"/>
      <c r="K4054" s="380"/>
      <c r="L4054" s="378"/>
      <c r="M4054" s="380"/>
      <c r="N4054" s="380"/>
      <c r="O4054" s="380"/>
      <c r="P4054" s="380"/>
      <c r="Q4054" s="380"/>
    </row>
    <row r="4055" spans="1:17" x14ac:dyDescent="0.2">
      <c r="A4055" s="334" t="s">
        <v>1566</v>
      </c>
      <c r="B4055" s="380"/>
      <c r="C4055" s="334" t="s">
        <v>366</v>
      </c>
      <c r="D4055" s="377">
        <v>2000</v>
      </c>
      <c r="E4055" s="380"/>
      <c r="F4055" s="378"/>
      <c r="G4055" s="380"/>
      <c r="H4055" s="380"/>
      <c r="I4055" s="399"/>
      <c r="J4055" s="377">
        <v>800</v>
      </c>
      <c r="K4055" s="380"/>
      <c r="L4055" s="378"/>
      <c r="M4055" s="380"/>
      <c r="N4055" s="380"/>
      <c r="O4055" s="380"/>
      <c r="P4055" s="380"/>
      <c r="Q4055" s="380"/>
    </row>
    <row r="4056" spans="1:17" x14ac:dyDescent="0.2">
      <c r="A4056" s="334" t="s">
        <v>1755</v>
      </c>
      <c r="B4056" s="380"/>
      <c r="C4056" s="380" t="s">
        <v>1986</v>
      </c>
      <c r="D4056" s="377">
        <v>1000</v>
      </c>
      <c r="E4056" s="380"/>
      <c r="F4056" s="378"/>
      <c r="G4056" s="380"/>
      <c r="H4056" s="380"/>
      <c r="I4056" s="399"/>
      <c r="J4056" s="377">
        <v>150</v>
      </c>
      <c r="K4056" s="380"/>
      <c r="L4056" s="378"/>
      <c r="M4056" s="380"/>
      <c r="N4056" s="380"/>
      <c r="O4056" s="380"/>
      <c r="P4056" s="380"/>
      <c r="Q4056" s="380"/>
    </row>
    <row r="4057" spans="1:17" x14ac:dyDescent="0.2">
      <c r="A4057" s="384" t="s">
        <v>1903</v>
      </c>
      <c r="B4057" s="380"/>
      <c r="C4057" s="334" t="s">
        <v>35</v>
      </c>
      <c r="D4057" s="377">
        <v>10000</v>
      </c>
      <c r="E4057" s="380"/>
      <c r="F4057" s="378"/>
      <c r="G4057" s="380"/>
      <c r="H4057" s="380"/>
      <c r="I4057" s="399"/>
      <c r="J4057" s="377">
        <v>3000</v>
      </c>
      <c r="K4057" s="380"/>
      <c r="L4057" s="378"/>
      <c r="M4057" s="380"/>
      <c r="N4057" s="380"/>
      <c r="O4057" s="380"/>
      <c r="P4057" s="380"/>
      <c r="Q4057" s="380"/>
    </row>
    <row r="4058" spans="1:17" x14ac:dyDescent="0.2">
      <c r="A4058" s="380"/>
      <c r="B4058" s="380"/>
      <c r="C4058" s="380"/>
      <c r="D4058" s="394"/>
      <c r="E4058" s="334" t="s">
        <v>342</v>
      </c>
      <c r="F4058" s="378"/>
      <c r="G4058" s="377"/>
      <c r="H4058" s="377"/>
      <c r="I4058" s="399"/>
      <c r="J4058" s="394"/>
      <c r="K4058" s="334" t="s">
        <v>342</v>
      </c>
      <c r="L4058" s="378"/>
      <c r="M4058" s="377"/>
      <c r="N4058" s="377"/>
      <c r="O4058" s="380"/>
      <c r="P4058" s="380"/>
      <c r="Q4058" s="380"/>
    </row>
    <row r="4059" spans="1:17" ht="15.75" thickBot="1" x14ac:dyDescent="0.25">
      <c r="A4059" s="380"/>
      <c r="B4059" s="380"/>
      <c r="C4059" s="380"/>
      <c r="D4059" s="411">
        <f>SUM(D4033:D4057)</f>
        <v>49550</v>
      </c>
      <c r="E4059" s="380"/>
      <c r="F4059" s="378"/>
      <c r="G4059" s="380"/>
      <c r="H4059" s="380"/>
      <c r="I4059" s="385"/>
      <c r="J4059" s="411">
        <f>SUM(J4033:J4057)</f>
        <v>23620</v>
      </c>
      <c r="K4059" s="380"/>
      <c r="L4059" s="378"/>
      <c r="M4059" s="380"/>
      <c r="N4059" s="380"/>
      <c r="O4059" s="380"/>
      <c r="P4059" s="380"/>
      <c r="Q4059" s="380"/>
    </row>
    <row r="4060" spans="1:17" x14ac:dyDescent="0.2">
      <c r="A4060" s="380"/>
      <c r="B4060" s="380"/>
      <c r="C4060" s="380"/>
      <c r="D4060" s="334"/>
      <c r="E4060" s="380"/>
      <c r="F4060" s="378"/>
      <c r="G4060" s="380"/>
      <c r="H4060" s="380"/>
      <c r="I4060" s="385"/>
      <c r="J4060" s="334"/>
      <c r="K4060" s="380"/>
      <c r="L4060" s="378"/>
      <c r="M4060" s="380"/>
      <c r="N4060" s="380"/>
      <c r="O4060" s="380"/>
      <c r="P4060" s="380"/>
      <c r="Q4060" s="380"/>
    </row>
    <row r="4061" spans="1:17" x14ac:dyDescent="0.2">
      <c r="A4061" s="380"/>
      <c r="B4061" s="380"/>
      <c r="C4061" s="380"/>
      <c r="D4061" s="334"/>
      <c r="E4061" s="380"/>
      <c r="F4061" s="378"/>
      <c r="G4061" s="380"/>
      <c r="H4061" s="380"/>
      <c r="I4061" s="385"/>
      <c r="J4061" s="334"/>
      <c r="K4061" s="380"/>
      <c r="L4061" s="378"/>
      <c r="M4061" s="380"/>
      <c r="N4061" s="380"/>
      <c r="O4061" s="380"/>
      <c r="P4061" s="380"/>
      <c r="Q4061" s="380"/>
    </row>
    <row r="4062" spans="1:17" x14ac:dyDescent="0.2">
      <c r="A4062" s="380" t="s">
        <v>12</v>
      </c>
      <c r="B4062" s="380"/>
      <c r="C4062" s="380"/>
      <c r="D4062" s="334"/>
      <c r="E4062" s="380"/>
      <c r="F4062" s="378"/>
      <c r="G4062" s="380"/>
      <c r="H4062" s="380"/>
      <c r="I4062" s="385"/>
      <c r="J4062" s="334"/>
      <c r="K4062" s="380"/>
      <c r="L4062" s="378"/>
      <c r="M4062" s="380"/>
      <c r="N4062" s="380"/>
      <c r="O4062" s="380"/>
      <c r="P4062" s="380"/>
      <c r="Q4062" s="380"/>
    </row>
    <row r="4063" spans="1:17" x14ac:dyDescent="0.2">
      <c r="A4063" s="334" t="s">
        <v>342</v>
      </c>
      <c r="B4063" s="380"/>
      <c r="C4063" s="384" t="s">
        <v>342</v>
      </c>
      <c r="D4063" s="380" t="s">
        <v>679</v>
      </c>
      <c r="E4063" s="380" t="s">
        <v>1116</v>
      </c>
      <c r="F4063" s="378"/>
      <c r="G4063" s="380"/>
      <c r="H4063" s="380"/>
      <c r="I4063" s="382"/>
      <c r="J4063" s="380" t="s">
        <v>679</v>
      </c>
      <c r="K4063" s="380" t="s">
        <v>1116</v>
      </c>
      <c r="L4063" s="378"/>
      <c r="M4063" s="380"/>
      <c r="N4063" s="380"/>
      <c r="O4063" s="380"/>
      <c r="P4063" s="380"/>
      <c r="Q4063" s="380"/>
    </row>
    <row r="4064" spans="1:17" x14ac:dyDescent="0.2">
      <c r="A4064" s="334" t="s">
        <v>342</v>
      </c>
      <c r="B4064" s="380"/>
      <c r="C4064" s="334" t="s">
        <v>342</v>
      </c>
      <c r="D4064" s="384" t="s">
        <v>2175</v>
      </c>
      <c r="E4064" s="384" t="s">
        <v>2175</v>
      </c>
      <c r="F4064" s="378"/>
      <c r="G4064" s="380"/>
      <c r="H4064" s="380"/>
      <c r="I4064" s="424"/>
      <c r="J4064" s="384" t="s">
        <v>2175</v>
      </c>
      <c r="K4064" s="384" t="s">
        <v>2176</v>
      </c>
      <c r="L4064" s="378"/>
      <c r="M4064" s="380"/>
      <c r="N4064" s="380"/>
      <c r="O4064" s="380"/>
      <c r="P4064" s="380"/>
      <c r="Q4064" s="380"/>
    </row>
    <row r="4065" spans="1:17" x14ac:dyDescent="0.2">
      <c r="A4065" s="334" t="s">
        <v>1723</v>
      </c>
      <c r="B4065" s="380"/>
      <c r="C4065" s="334" t="s">
        <v>1880</v>
      </c>
      <c r="D4065" s="334" t="s">
        <v>181</v>
      </c>
      <c r="E4065" s="380" t="s">
        <v>181</v>
      </c>
      <c r="F4065" s="378"/>
      <c r="G4065" s="380"/>
      <c r="H4065" s="380"/>
      <c r="I4065" s="385"/>
      <c r="J4065" s="334" t="s">
        <v>181</v>
      </c>
      <c r="K4065" s="380" t="s">
        <v>181</v>
      </c>
      <c r="L4065" s="378"/>
      <c r="M4065" s="380"/>
      <c r="N4065" s="380"/>
      <c r="O4065" s="380"/>
      <c r="P4065" s="380"/>
      <c r="Q4065" s="380"/>
    </row>
    <row r="4066" spans="1:17" x14ac:dyDescent="0.2">
      <c r="A4066" s="334" t="s">
        <v>342</v>
      </c>
      <c r="B4066" s="380"/>
      <c r="C4066" s="334" t="s">
        <v>342</v>
      </c>
      <c r="D4066" s="334" t="s">
        <v>342</v>
      </c>
      <c r="E4066" s="380"/>
      <c r="F4066" s="378"/>
      <c r="G4066" s="380"/>
      <c r="H4066" s="380"/>
      <c r="I4066" s="385"/>
      <c r="J4066" s="334" t="s">
        <v>342</v>
      </c>
      <c r="K4066" s="380"/>
      <c r="L4066" s="378"/>
      <c r="M4066" s="380"/>
      <c r="N4066" s="380"/>
      <c r="O4066" s="380"/>
      <c r="P4066" s="380"/>
      <c r="Q4066" s="380"/>
    </row>
    <row r="4067" spans="1:17" x14ac:dyDescent="0.2">
      <c r="A4067" s="334" t="s">
        <v>1733</v>
      </c>
      <c r="B4067" s="380"/>
      <c r="C4067" s="334" t="s">
        <v>27</v>
      </c>
      <c r="D4067" s="377"/>
      <c r="E4067" s="380"/>
      <c r="F4067" s="378"/>
      <c r="G4067" s="380"/>
      <c r="H4067" s="380"/>
      <c r="I4067" s="399"/>
      <c r="J4067" s="377"/>
      <c r="K4067" s="380"/>
      <c r="L4067" s="378"/>
      <c r="M4067" s="380"/>
      <c r="N4067" s="380"/>
      <c r="O4067" s="380"/>
      <c r="P4067" s="380"/>
      <c r="Q4067" s="380"/>
    </row>
    <row r="4068" spans="1:17" x14ac:dyDescent="0.2">
      <c r="A4068" s="334" t="s">
        <v>1724</v>
      </c>
      <c r="B4068" s="380"/>
      <c r="C4068" s="334" t="s">
        <v>1881</v>
      </c>
      <c r="D4068" s="377">
        <v>3000</v>
      </c>
      <c r="E4068" s="380"/>
      <c r="F4068" s="378"/>
      <c r="G4068" s="380"/>
      <c r="H4068" s="380"/>
      <c r="I4068" s="399"/>
      <c r="J4068" s="377">
        <v>3000</v>
      </c>
      <c r="K4068" s="380"/>
      <c r="L4068" s="378"/>
      <c r="M4068" s="380"/>
      <c r="N4068" s="380"/>
      <c r="O4068" s="380"/>
      <c r="P4068" s="380"/>
      <c r="Q4068" s="380"/>
    </row>
    <row r="4069" spans="1:17" x14ac:dyDescent="0.2">
      <c r="A4069" s="334" t="s">
        <v>1736</v>
      </c>
      <c r="B4069" s="380"/>
      <c r="C4069" s="334" t="s">
        <v>1747</v>
      </c>
      <c r="D4069" s="377"/>
      <c r="E4069" s="380"/>
      <c r="F4069" s="378"/>
      <c r="G4069" s="380"/>
      <c r="H4069" s="380"/>
      <c r="I4069" s="399"/>
      <c r="J4069" s="377"/>
      <c r="K4069" s="380"/>
      <c r="L4069" s="378"/>
      <c r="M4069" s="380"/>
      <c r="N4069" s="380"/>
      <c r="O4069" s="380"/>
      <c r="P4069" s="380"/>
      <c r="Q4069" s="380"/>
    </row>
    <row r="4070" spans="1:17" x14ac:dyDescent="0.2">
      <c r="A4070" s="384" t="s">
        <v>1744</v>
      </c>
      <c r="B4070" s="380"/>
      <c r="C4070" s="334" t="s">
        <v>1254</v>
      </c>
      <c r="D4070" s="377"/>
      <c r="E4070" s="380"/>
      <c r="F4070" s="378"/>
      <c r="G4070" s="380"/>
      <c r="H4070" s="380"/>
      <c r="I4070" s="399"/>
      <c r="J4070" s="377"/>
      <c r="K4070" s="380"/>
      <c r="L4070" s="378"/>
      <c r="M4070" s="380"/>
      <c r="N4070" s="380"/>
      <c r="O4070" s="380"/>
      <c r="P4070" s="380"/>
      <c r="Q4070" s="380"/>
    </row>
    <row r="4071" spans="1:17" x14ac:dyDescent="0.2">
      <c r="A4071" s="384" t="s">
        <v>1582</v>
      </c>
      <c r="B4071" s="380"/>
      <c r="C4071" s="334" t="s">
        <v>3135</v>
      </c>
      <c r="D4071" s="377"/>
      <c r="E4071" s="380"/>
      <c r="F4071" s="378"/>
      <c r="G4071" s="380"/>
      <c r="H4071" s="380"/>
      <c r="I4071" s="399"/>
      <c r="J4071" s="377"/>
      <c r="K4071" s="380"/>
      <c r="L4071" s="378"/>
      <c r="M4071" s="380"/>
      <c r="N4071" s="380"/>
      <c r="O4071" s="380"/>
      <c r="P4071" s="380"/>
      <c r="Q4071" s="380"/>
    </row>
    <row r="4072" spans="1:17" x14ac:dyDescent="0.2">
      <c r="A4072" s="334" t="s">
        <v>1725</v>
      </c>
      <c r="B4072" s="380"/>
      <c r="C4072" s="334" t="s">
        <v>1890</v>
      </c>
      <c r="D4072" s="377">
        <v>25770</v>
      </c>
      <c r="E4072" s="380"/>
      <c r="F4072" s="378"/>
      <c r="G4072" s="380"/>
      <c r="H4072" s="380"/>
      <c r="I4072" s="399"/>
      <c r="J4072" s="377">
        <v>21120</v>
      </c>
      <c r="K4072" s="380"/>
      <c r="L4072" s="378"/>
      <c r="M4072" s="380"/>
      <c r="N4072" s="380"/>
      <c r="O4072" s="380"/>
      <c r="P4072" s="380"/>
      <c r="Q4072" s="380"/>
    </row>
    <row r="4073" spans="1:17" x14ac:dyDescent="0.2">
      <c r="A4073" s="334" t="s">
        <v>1737</v>
      </c>
      <c r="B4073" s="380"/>
      <c r="C4073" s="334" t="s">
        <v>1984</v>
      </c>
      <c r="D4073" s="377">
        <v>1100</v>
      </c>
      <c r="E4073" s="380"/>
      <c r="F4073" s="378"/>
      <c r="G4073" s="380"/>
      <c r="H4073" s="380"/>
      <c r="I4073" s="399"/>
      <c r="J4073" s="377">
        <v>1100</v>
      </c>
      <c r="K4073" s="380"/>
      <c r="L4073" s="378"/>
      <c r="M4073" s="380"/>
      <c r="N4073" s="380"/>
      <c r="O4073" s="380"/>
      <c r="P4073" s="380"/>
      <c r="Q4073" s="380"/>
    </row>
    <row r="4074" spans="1:17" x14ac:dyDescent="0.2">
      <c r="A4074" s="334" t="s">
        <v>1661</v>
      </c>
      <c r="B4074" s="380"/>
      <c r="C4074" s="334" t="s">
        <v>3136</v>
      </c>
      <c r="D4074" s="377"/>
      <c r="E4074" s="380"/>
      <c r="F4074" s="378"/>
      <c r="G4074" s="380"/>
      <c r="H4074" s="380"/>
      <c r="I4074" s="399"/>
      <c r="J4074" s="377"/>
      <c r="K4074" s="380"/>
      <c r="L4074" s="378"/>
      <c r="M4074" s="380"/>
      <c r="N4074" s="380"/>
      <c r="O4074" s="380"/>
      <c r="P4074" s="380"/>
      <c r="Q4074" s="380"/>
    </row>
    <row r="4075" spans="1:17" x14ac:dyDescent="0.2">
      <c r="A4075" s="384" t="s">
        <v>1734</v>
      </c>
      <c r="B4075" s="380"/>
      <c r="C4075" s="334" t="s">
        <v>1746</v>
      </c>
      <c r="D4075" s="377"/>
      <c r="E4075" s="380"/>
      <c r="F4075" s="378"/>
      <c r="G4075" s="380"/>
      <c r="H4075" s="380"/>
      <c r="I4075" s="399"/>
      <c r="J4075" s="377"/>
      <c r="K4075" s="380"/>
      <c r="L4075" s="378"/>
      <c r="M4075" s="380"/>
      <c r="N4075" s="380"/>
      <c r="O4075" s="380"/>
      <c r="P4075" s="380"/>
      <c r="Q4075" s="380"/>
    </row>
    <row r="4076" spans="1:17" x14ac:dyDescent="0.2">
      <c r="A4076" s="384" t="s">
        <v>1571</v>
      </c>
      <c r="B4076" s="380"/>
      <c r="C4076" s="334" t="s">
        <v>3</v>
      </c>
      <c r="D4076" s="377"/>
      <c r="E4076" s="380"/>
      <c r="F4076" s="378"/>
      <c r="G4076" s="380"/>
      <c r="H4076" s="380"/>
      <c r="I4076" s="399"/>
      <c r="J4076" s="377"/>
      <c r="K4076" s="380"/>
      <c r="L4076" s="378"/>
      <c r="M4076" s="380"/>
      <c r="N4076" s="380"/>
      <c r="O4076" s="380"/>
      <c r="P4076" s="380"/>
      <c r="Q4076" s="380"/>
    </row>
    <row r="4077" spans="1:17" x14ac:dyDescent="0.2">
      <c r="A4077" s="384" t="s">
        <v>1578</v>
      </c>
      <c r="B4077" s="380"/>
      <c r="C4077" s="334" t="s">
        <v>22</v>
      </c>
      <c r="D4077" s="377"/>
      <c r="E4077" s="380"/>
      <c r="F4077" s="378"/>
      <c r="G4077" s="380"/>
      <c r="H4077" s="380"/>
      <c r="I4077" s="399"/>
      <c r="J4077" s="377"/>
      <c r="K4077" s="380"/>
      <c r="L4077" s="378"/>
      <c r="M4077" s="380"/>
      <c r="N4077" s="380"/>
      <c r="O4077" s="380"/>
      <c r="P4077" s="380"/>
      <c r="Q4077" s="380"/>
    </row>
    <row r="4078" spans="1:17" x14ac:dyDescent="0.2">
      <c r="A4078" s="334" t="s">
        <v>1738</v>
      </c>
      <c r="B4078" s="380"/>
      <c r="C4078" s="334" t="s">
        <v>1591</v>
      </c>
      <c r="D4078" s="377">
        <v>400</v>
      </c>
      <c r="E4078" s="380"/>
      <c r="F4078" s="378"/>
      <c r="G4078" s="380"/>
      <c r="H4078" s="380"/>
      <c r="I4078" s="399"/>
      <c r="J4078" s="377">
        <v>400</v>
      </c>
      <c r="K4078" s="380"/>
      <c r="L4078" s="378"/>
      <c r="M4078" s="380"/>
      <c r="N4078" s="380"/>
      <c r="O4078" s="380"/>
      <c r="P4078" s="380"/>
      <c r="Q4078" s="380"/>
    </row>
    <row r="4079" spans="1:17" x14ac:dyDescent="0.2">
      <c r="A4079" s="334" t="s">
        <v>1727</v>
      </c>
      <c r="B4079" s="380"/>
      <c r="C4079" s="334" t="s">
        <v>307</v>
      </c>
      <c r="D4079" s="377">
        <v>900</v>
      </c>
      <c r="E4079" s="380"/>
      <c r="F4079" s="378"/>
      <c r="G4079" s="380"/>
      <c r="H4079" s="380"/>
      <c r="I4079" s="399"/>
      <c r="J4079" s="377">
        <v>900</v>
      </c>
      <c r="K4079" s="380"/>
      <c r="L4079" s="378"/>
      <c r="M4079" s="380"/>
      <c r="N4079" s="380"/>
      <c r="O4079" s="380"/>
      <c r="P4079" s="380"/>
      <c r="Q4079" s="380"/>
    </row>
    <row r="4080" spans="1:17" x14ac:dyDescent="0.2">
      <c r="A4080" s="334" t="s">
        <v>1728</v>
      </c>
      <c r="B4080" s="380"/>
      <c r="C4080" s="334" t="s">
        <v>310</v>
      </c>
      <c r="D4080" s="377">
        <v>600</v>
      </c>
      <c r="E4080" s="380"/>
      <c r="F4080" s="378"/>
      <c r="G4080" s="380"/>
      <c r="H4080" s="380"/>
      <c r="I4080" s="399"/>
      <c r="J4080" s="377">
        <v>600</v>
      </c>
      <c r="K4080" s="380"/>
      <c r="L4080" s="378"/>
      <c r="M4080" s="380"/>
      <c r="N4080" s="380"/>
      <c r="O4080" s="380"/>
      <c r="P4080" s="380"/>
      <c r="Q4080" s="380"/>
    </row>
    <row r="4081" spans="1:17" x14ac:dyDescent="0.2">
      <c r="A4081" s="334" t="s">
        <v>1729</v>
      </c>
      <c r="B4081" s="380"/>
      <c r="C4081" s="380" t="s">
        <v>1551</v>
      </c>
      <c r="D4081" s="377">
        <f>-3651.09-5000</f>
        <v>-8651.09</v>
      </c>
      <c r="E4081" s="380"/>
      <c r="F4081" s="378"/>
      <c r="G4081" s="380"/>
      <c r="H4081" s="380"/>
      <c r="I4081" s="399"/>
      <c r="J4081" s="377">
        <v>500</v>
      </c>
      <c r="K4081" s="380"/>
      <c r="L4081" s="378"/>
      <c r="M4081" s="380"/>
      <c r="N4081" s="380"/>
      <c r="O4081" s="380"/>
      <c r="P4081" s="380"/>
      <c r="Q4081" s="380"/>
    </row>
    <row r="4082" spans="1:17" x14ac:dyDescent="0.2">
      <c r="A4082" s="334" t="s">
        <v>1735</v>
      </c>
      <c r="B4082" s="380"/>
      <c r="C4082" s="380" t="s">
        <v>194</v>
      </c>
      <c r="D4082" s="377"/>
      <c r="E4082" s="380"/>
      <c r="F4082" s="378"/>
      <c r="G4082" s="380"/>
      <c r="H4082" s="380"/>
      <c r="I4082" s="399"/>
      <c r="J4082" s="377">
        <v>100</v>
      </c>
      <c r="K4082" s="380"/>
      <c r="L4082" s="378"/>
      <c r="M4082" s="380"/>
      <c r="N4082" s="380"/>
      <c r="O4082" s="380"/>
      <c r="P4082" s="380"/>
      <c r="Q4082" s="380"/>
    </row>
    <row r="4083" spans="1:17" x14ac:dyDescent="0.2">
      <c r="A4083" s="334" t="s">
        <v>1741</v>
      </c>
      <c r="B4083" s="380"/>
      <c r="C4083" s="334" t="s">
        <v>1748</v>
      </c>
      <c r="D4083" s="377"/>
      <c r="E4083" s="380"/>
      <c r="F4083" s="378"/>
      <c r="G4083" s="380"/>
      <c r="H4083" s="380"/>
      <c r="I4083" s="399"/>
      <c r="J4083" s="377"/>
      <c r="K4083" s="380"/>
      <c r="L4083" s="378"/>
      <c r="M4083" s="380"/>
      <c r="N4083" s="380"/>
      <c r="O4083" s="380"/>
      <c r="P4083" s="380"/>
      <c r="Q4083" s="380"/>
    </row>
    <row r="4084" spans="1:17" x14ac:dyDescent="0.2">
      <c r="A4084" s="334" t="s">
        <v>1572</v>
      </c>
      <c r="B4084" s="380"/>
      <c r="C4084" s="334" t="s">
        <v>3134</v>
      </c>
      <c r="D4084" s="377">
        <v>100</v>
      </c>
      <c r="E4084" s="380"/>
      <c r="F4084" s="378"/>
      <c r="G4084" s="380"/>
      <c r="H4084" s="380"/>
      <c r="I4084" s="399"/>
      <c r="J4084" s="377">
        <v>100</v>
      </c>
      <c r="K4084" s="380"/>
      <c r="L4084" s="378"/>
      <c r="M4084" s="380"/>
      <c r="N4084" s="380"/>
      <c r="O4084" s="380"/>
      <c r="P4084" s="380"/>
      <c r="Q4084" s="380"/>
    </row>
    <row r="4085" spans="1:17" x14ac:dyDescent="0.2">
      <c r="A4085" s="334" t="s">
        <v>1730</v>
      </c>
      <c r="B4085" s="380"/>
      <c r="C4085" s="334" t="s">
        <v>1985</v>
      </c>
      <c r="D4085" s="377">
        <v>1100</v>
      </c>
      <c r="E4085" s="380"/>
      <c r="F4085" s="378"/>
      <c r="G4085" s="380"/>
      <c r="H4085" s="380"/>
      <c r="I4085" s="399"/>
      <c r="J4085" s="377">
        <v>1100</v>
      </c>
      <c r="K4085" s="380"/>
      <c r="L4085" s="378"/>
      <c r="M4085" s="380"/>
      <c r="N4085" s="380"/>
      <c r="O4085" s="380"/>
      <c r="P4085" s="380"/>
      <c r="Q4085" s="380"/>
    </row>
    <row r="4086" spans="1:17" x14ac:dyDescent="0.2">
      <c r="A4086" s="334" t="s">
        <v>1566</v>
      </c>
      <c r="B4086" s="380"/>
      <c r="C4086" s="334" t="s">
        <v>366</v>
      </c>
      <c r="D4086" s="377">
        <v>2000</v>
      </c>
      <c r="E4086" s="380"/>
      <c r="F4086" s="378"/>
      <c r="G4086" s="380"/>
      <c r="H4086" s="380"/>
      <c r="I4086" s="399"/>
      <c r="J4086" s="377">
        <v>2100</v>
      </c>
      <c r="K4086" s="380"/>
      <c r="L4086" s="378"/>
      <c r="M4086" s="380"/>
      <c r="N4086" s="380"/>
      <c r="O4086" s="380"/>
      <c r="P4086" s="380"/>
      <c r="Q4086" s="380"/>
    </row>
    <row r="4087" spans="1:17" x14ac:dyDescent="0.2">
      <c r="A4087" s="334" t="s">
        <v>1755</v>
      </c>
      <c r="B4087" s="380"/>
      <c r="C4087" s="380" t="s">
        <v>1986</v>
      </c>
      <c r="D4087" s="377">
        <v>600</v>
      </c>
      <c r="E4087" s="380"/>
      <c r="F4087" s="378"/>
      <c r="G4087" s="380"/>
      <c r="H4087" s="380"/>
      <c r="I4087" s="399"/>
      <c r="J4087" s="377">
        <v>600</v>
      </c>
      <c r="K4087" s="380"/>
      <c r="L4087" s="378"/>
      <c r="M4087" s="380"/>
      <c r="N4087" s="380"/>
      <c r="O4087" s="380"/>
      <c r="P4087" s="380"/>
      <c r="Q4087" s="380"/>
    </row>
    <row r="4088" spans="1:17" x14ac:dyDescent="0.2">
      <c r="A4088" s="334" t="s">
        <v>1587</v>
      </c>
      <c r="B4088" s="380"/>
      <c r="C4088" s="334" t="s">
        <v>34</v>
      </c>
      <c r="D4088" s="377"/>
      <c r="E4088" s="380"/>
      <c r="F4088" s="378"/>
      <c r="G4088" s="380"/>
      <c r="H4088" s="380"/>
      <c r="I4088" s="399"/>
      <c r="J4088" s="377"/>
      <c r="K4088" s="380"/>
      <c r="L4088" s="378"/>
      <c r="M4088" s="380"/>
      <c r="N4088" s="380"/>
      <c r="O4088" s="380"/>
      <c r="P4088" s="380"/>
      <c r="Q4088" s="380"/>
    </row>
    <row r="4089" spans="1:17" x14ac:dyDescent="0.2">
      <c r="A4089" s="384" t="s">
        <v>1903</v>
      </c>
      <c r="B4089" s="380"/>
      <c r="C4089" s="334" t="s">
        <v>35</v>
      </c>
      <c r="D4089" s="377"/>
      <c r="E4089" s="380"/>
      <c r="F4089" s="378"/>
      <c r="G4089" s="380"/>
      <c r="H4089" s="380"/>
      <c r="I4089" s="399"/>
      <c r="J4089" s="377"/>
      <c r="K4089" s="380"/>
      <c r="L4089" s="378"/>
      <c r="M4089" s="380"/>
      <c r="N4089" s="380"/>
      <c r="O4089" s="380"/>
      <c r="P4089" s="380"/>
      <c r="Q4089" s="380"/>
    </row>
    <row r="4090" spans="1:17" x14ac:dyDescent="0.2">
      <c r="A4090" s="384" t="s">
        <v>1962</v>
      </c>
      <c r="B4090" s="380"/>
      <c r="C4090" s="380" t="s">
        <v>572</v>
      </c>
      <c r="D4090" s="377">
        <v>940.94</v>
      </c>
      <c r="E4090" s="459"/>
      <c r="F4090" s="378"/>
      <c r="G4090" s="380"/>
      <c r="H4090" s="380"/>
      <c r="I4090" s="399"/>
      <c r="J4090" s="377"/>
      <c r="K4090" s="459"/>
      <c r="L4090" s="378"/>
      <c r="M4090" s="380"/>
      <c r="N4090" s="380"/>
      <c r="O4090" s="380"/>
      <c r="P4090" s="380"/>
      <c r="Q4090" s="380"/>
    </row>
    <row r="4091" spans="1:17" x14ac:dyDescent="0.2">
      <c r="A4091" s="334" t="s">
        <v>342</v>
      </c>
      <c r="B4091" s="380"/>
      <c r="C4091" s="334" t="s">
        <v>342</v>
      </c>
      <c r="D4091" s="394"/>
      <c r="E4091" s="380"/>
      <c r="F4091" s="378"/>
      <c r="G4091" s="380"/>
      <c r="H4091" s="380"/>
      <c r="I4091" s="399"/>
      <c r="J4091" s="394"/>
      <c r="K4091" s="380"/>
      <c r="L4091" s="378"/>
      <c r="M4091" s="380"/>
      <c r="N4091" s="380"/>
      <c r="O4091" s="380"/>
      <c r="P4091" s="380"/>
      <c r="Q4091" s="380"/>
    </row>
    <row r="4092" spans="1:17" ht="15.75" thickBot="1" x14ac:dyDescent="0.25">
      <c r="A4092" s="334" t="s">
        <v>342</v>
      </c>
      <c r="B4092" s="380"/>
      <c r="C4092" s="334" t="s">
        <v>342</v>
      </c>
      <c r="D4092" s="334">
        <f>SUM(D4067:D4090)</f>
        <v>27859.85</v>
      </c>
      <c r="E4092" s="460">
        <f>SUM(E4067:E4091)</f>
        <v>0</v>
      </c>
      <c r="F4092" s="378"/>
      <c r="G4092" s="380"/>
      <c r="H4092" s="380"/>
      <c r="I4092" s="385"/>
      <c r="J4092" s="334">
        <f>SUM(J4067:J4090)</f>
        <v>31620</v>
      </c>
      <c r="K4092" s="460">
        <f>SUM(K4067:K4091)</f>
        <v>0</v>
      </c>
      <c r="L4092" s="378"/>
      <c r="M4092" s="380"/>
      <c r="N4092" s="380"/>
      <c r="O4092" s="380"/>
      <c r="P4092" s="380"/>
      <c r="Q4092" s="380"/>
    </row>
    <row r="4093" spans="1:17" ht="15.75" thickTop="1" x14ac:dyDescent="0.2">
      <c r="A4093" s="334" t="s">
        <v>342</v>
      </c>
      <c r="B4093" s="380"/>
      <c r="C4093" s="334" t="s">
        <v>342</v>
      </c>
      <c r="D4093" s="400" t="s">
        <v>342</v>
      </c>
      <c r="E4093" s="380"/>
      <c r="F4093" s="378"/>
      <c r="G4093" s="380"/>
      <c r="H4093" s="334" t="s">
        <v>342</v>
      </c>
      <c r="I4093" s="385"/>
      <c r="J4093" s="400" t="s">
        <v>342</v>
      </c>
      <c r="K4093" s="380"/>
      <c r="L4093" s="378"/>
      <c r="M4093" s="380"/>
      <c r="N4093" s="334" t="s">
        <v>342</v>
      </c>
      <c r="O4093" s="380"/>
      <c r="P4093" s="380"/>
      <c r="Q4093" s="380"/>
    </row>
    <row r="4094" spans="1:17" x14ac:dyDescent="0.2">
      <c r="A4094" s="334" t="s">
        <v>342</v>
      </c>
      <c r="B4094" s="380"/>
      <c r="C4094" s="334" t="s">
        <v>342</v>
      </c>
      <c r="D4094" s="380"/>
      <c r="E4094" s="380"/>
      <c r="F4094" s="378"/>
      <c r="G4094" s="380"/>
      <c r="H4094" s="380"/>
      <c r="I4094" s="382"/>
      <c r="J4094" s="380"/>
      <c r="K4094" s="380"/>
      <c r="L4094" s="378"/>
      <c r="M4094" s="380"/>
      <c r="N4094" s="380"/>
      <c r="O4094" s="380"/>
      <c r="P4094" s="380"/>
      <c r="Q4094" s="380"/>
    </row>
    <row r="4095" spans="1:17" x14ac:dyDescent="0.2">
      <c r="A4095" s="334" t="s">
        <v>342</v>
      </c>
      <c r="B4095" s="377"/>
      <c r="C4095" s="334" t="s">
        <v>342</v>
      </c>
      <c r="D4095" s="334" t="s">
        <v>342</v>
      </c>
      <c r="E4095" s="377"/>
      <c r="F4095" s="378"/>
      <c r="G4095" s="377"/>
      <c r="H4095" s="377"/>
      <c r="I4095" s="385"/>
      <c r="J4095" s="334" t="s">
        <v>342</v>
      </c>
      <c r="K4095" s="377"/>
      <c r="L4095" s="378"/>
      <c r="M4095" s="377"/>
      <c r="N4095" s="377"/>
      <c r="O4095" s="380"/>
      <c r="P4095" s="380"/>
      <c r="Q4095" s="380"/>
    </row>
    <row r="4096" spans="1:17" x14ac:dyDescent="0.2">
      <c r="A4096" s="334" t="s">
        <v>1951</v>
      </c>
      <c r="B4096" s="380"/>
      <c r="C4096" s="380"/>
      <c r="D4096" s="380"/>
      <c r="E4096" s="380"/>
      <c r="F4096" s="416"/>
      <c r="G4096" s="382"/>
      <c r="H4096" s="382"/>
      <c r="I4096" s="382"/>
      <c r="J4096" s="380"/>
      <c r="K4096" s="380"/>
      <c r="L4096" s="416"/>
      <c r="M4096" s="382"/>
      <c r="N4096" s="382"/>
      <c r="O4096" s="380"/>
      <c r="P4096" s="380"/>
      <c r="Q4096" s="380"/>
    </row>
    <row r="4097" spans="1:17" x14ac:dyDescent="0.2">
      <c r="A4097" s="334" t="s">
        <v>342</v>
      </c>
      <c r="B4097" s="380"/>
      <c r="C4097" s="384" t="s">
        <v>436</v>
      </c>
      <c r="D4097" s="384" t="s">
        <v>3716</v>
      </c>
      <c r="E4097" s="384" t="s">
        <v>3717</v>
      </c>
      <c r="F4097" s="416"/>
      <c r="G4097" s="382"/>
      <c r="H4097" s="382"/>
      <c r="I4097" s="382"/>
      <c r="J4097" s="384" t="s">
        <v>3716</v>
      </c>
      <c r="K4097" s="384" t="s">
        <v>3717</v>
      </c>
      <c r="L4097" s="416"/>
      <c r="M4097" s="382"/>
      <c r="N4097" s="382"/>
      <c r="O4097" s="380"/>
      <c r="P4097" s="380"/>
      <c r="Q4097" s="380"/>
    </row>
    <row r="4098" spans="1:17" x14ac:dyDescent="0.2">
      <c r="A4098" s="334" t="s">
        <v>342</v>
      </c>
      <c r="B4098" s="380"/>
      <c r="C4098" s="334" t="s">
        <v>342</v>
      </c>
      <c r="D4098" s="334" t="s">
        <v>2872</v>
      </c>
      <c r="E4098" s="380"/>
      <c r="F4098" s="416"/>
      <c r="G4098" s="382"/>
      <c r="H4098" s="382"/>
      <c r="I4098" s="385"/>
      <c r="J4098" s="334" t="s">
        <v>2872</v>
      </c>
      <c r="K4098" s="380"/>
      <c r="L4098" s="416"/>
      <c r="M4098" s="382"/>
      <c r="N4098" s="382"/>
      <c r="O4098" s="380"/>
      <c r="P4098" s="380"/>
      <c r="Q4098" s="380"/>
    </row>
    <row r="4099" spans="1:17" x14ac:dyDescent="0.2">
      <c r="A4099" s="334" t="s">
        <v>1723</v>
      </c>
      <c r="B4099" s="380"/>
      <c r="C4099" s="334" t="s">
        <v>1880</v>
      </c>
      <c r="D4099" s="428" t="s">
        <v>181</v>
      </c>
      <c r="E4099" s="428" t="s">
        <v>181</v>
      </c>
      <c r="F4099" s="416"/>
      <c r="G4099" s="382"/>
      <c r="H4099" s="382"/>
      <c r="I4099" s="430"/>
      <c r="J4099" s="428" t="s">
        <v>181</v>
      </c>
      <c r="K4099" s="428" t="s">
        <v>181</v>
      </c>
      <c r="L4099" s="416"/>
      <c r="M4099" s="382"/>
      <c r="N4099" s="382"/>
      <c r="O4099" s="380"/>
      <c r="P4099" s="380"/>
      <c r="Q4099" s="380"/>
    </row>
    <row r="4100" spans="1:17" x14ac:dyDescent="0.2">
      <c r="A4100" s="380"/>
      <c r="B4100" s="380"/>
      <c r="C4100" s="380"/>
      <c r="D4100" s="334" t="s">
        <v>342</v>
      </c>
      <c r="E4100" s="334" t="s">
        <v>342</v>
      </c>
      <c r="F4100" s="416"/>
      <c r="G4100" s="382"/>
      <c r="H4100" s="382"/>
      <c r="I4100" s="385"/>
      <c r="J4100" s="334" t="s">
        <v>342</v>
      </c>
      <c r="K4100" s="334" t="s">
        <v>342</v>
      </c>
      <c r="L4100" s="416"/>
      <c r="M4100" s="382"/>
      <c r="N4100" s="382"/>
      <c r="O4100" s="380"/>
      <c r="P4100" s="380"/>
      <c r="Q4100" s="380"/>
    </row>
    <row r="4101" spans="1:17" x14ac:dyDescent="0.2">
      <c r="A4101" s="334" t="s">
        <v>1724</v>
      </c>
      <c r="B4101" s="380"/>
      <c r="C4101" s="334" t="s">
        <v>1881</v>
      </c>
      <c r="D4101" s="377">
        <v>8500</v>
      </c>
      <c r="E4101" s="377"/>
      <c r="F4101" s="416"/>
      <c r="G4101" s="382"/>
      <c r="H4101" s="382"/>
      <c r="I4101" s="399"/>
      <c r="J4101" s="377">
        <v>6000</v>
      </c>
      <c r="K4101" s="377">
        <v>500</v>
      </c>
      <c r="L4101" s="416"/>
      <c r="M4101" s="382"/>
      <c r="N4101" s="382"/>
      <c r="O4101" s="380"/>
      <c r="P4101" s="380"/>
      <c r="Q4101" s="380"/>
    </row>
    <row r="4102" spans="1:17" x14ac:dyDescent="0.2">
      <c r="A4102" s="384" t="s">
        <v>1744</v>
      </c>
      <c r="B4102" s="380"/>
      <c r="C4102" s="334" t="s">
        <v>1254</v>
      </c>
      <c r="D4102" s="377"/>
      <c r="E4102" s="377"/>
      <c r="F4102" s="416"/>
      <c r="G4102" s="382"/>
      <c r="H4102" s="382"/>
      <c r="I4102" s="399"/>
      <c r="J4102" s="377">
        <v>750</v>
      </c>
      <c r="K4102" s="377"/>
      <c r="L4102" s="416"/>
      <c r="M4102" s="382"/>
      <c r="N4102" s="382"/>
      <c r="O4102" s="380"/>
      <c r="P4102" s="380"/>
      <c r="Q4102" s="380"/>
    </row>
    <row r="4103" spans="1:17" x14ac:dyDescent="0.2">
      <c r="A4103" s="384" t="s">
        <v>1582</v>
      </c>
      <c r="B4103" s="380"/>
      <c r="C4103" s="334" t="s">
        <v>3135</v>
      </c>
      <c r="D4103" s="377"/>
      <c r="E4103" s="377"/>
      <c r="F4103" s="416"/>
      <c r="G4103" s="382"/>
      <c r="H4103" s="382"/>
      <c r="I4103" s="399"/>
      <c r="J4103" s="377">
        <v>7000</v>
      </c>
      <c r="K4103" s="377"/>
      <c r="L4103" s="416"/>
      <c r="M4103" s="382"/>
      <c r="N4103" s="382"/>
      <c r="O4103" s="380"/>
      <c r="P4103" s="380"/>
      <c r="Q4103" s="380"/>
    </row>
    <row r="4104" spans="1:17" x14ac:dyDescent="0.2">
      <c r="A4104" s="334" t="s">
        <v>1725</v>
      </c>
      <c r="B4104" s="380"/>
      <c r="C4104" s="334" t="s">
        <v>1890</v>
      </c>
      <c r="D4104" s="377">
        <v>1500</v>
      </c>
      <c r="E4104" s="377"/>
      <c r="F4104" s="416"/>
      <c r="G4104" s="382"/>
      <c r="H4104" s="382"/>
      <c r="I4104" s="399"/>
      <c r="J4104" s="377">
        <v>2500</v>
      </c>
      <c r="K4104" s="377"/>
      <c r="L4104" s="416"/>
      <c r="M4104" s="382"/>
      <c r="N4104" s="382"/>
      <c r="O4104" s="380"/>
      <c r="P4104" s="380"/>
      <c r="Q4104" s="380"/>
    </row>
    <row r="4105" spans="1:17" x14ac:dyDescent="0.2">
      <c r="A4105" s="384" t="s">
        <v>1745</v>
      </c>
      <c r="B4105" s="380"/>
      <c r="C4105" s="334" t="s">
        <v>1887</v>
      </c>
      <c r="D4105" s="377">
        <v>1200</v>
      </c>
      <c r="E4105" s="377"/>
      <c r="F4105" s="416"/>
      <c r="G4105" s="382"/>
      <c r="H4105" s="382"/>
      <c r="I4105" s="399"/>
      <c r="J4105" s="377">
        <v>1500</v>
      </c>
      <c r="K4105" s="377"/>
      <c r="L4105" s="416"/>
      <c r="M4105" s="382"/>
      <c r="N4105" s="382"/>
      <c r="O4105" s="380"/>
      <c r="P4105" s="380"/>
      <c r="Q4105" s="380"/>
    </row>
    <row r="4106" spans="1:17" x14ac:dyDescent="0.2">
      <c r="A4106" s="334" t="s">
        <v>1576</v>
      </c>
      <c r="B4106" s="380"/>
      <c r="C4106" s="334" t="s">
        <v>1590</v>
      </c>
      <c r="D4106" s="377"/>
      <c r="E4106" s="377"/>
      <c r="F4106" s="416"/>
      <c r="G4106" s="382"/>
      <c r="H4106" s="382"/>
      <c r="I4106" s="399"/>
      <c r="J4106" s="377">
        <v>120</v>
      </c>
      <c r="K4106" s="377"/>
      <c r="L4106" s="416"/>
      <c r="M4106" s="382"/>
      <c r="N4106" s="382"/>
      <c r="O4106" s="380"/>
      <c r="P4106" s="380"/>
      <c r="Q4106" s="380"/>
    </row>
    <row r="4107" spans="1:17" x14ac:dyDescent="0.2">
      <c r="A4107" s="334" t="s">
        <v>1737</v>
      </c>
      <c r="B4107" s="380"/>
      <c r="C4107" s="334" t="s">
        <v>1984</v>
      </c>
      <c r="D4107" s="377">
        <v>1500</v>
      </c>
      <c r="E4107" s="377"/>
      <c r="F4107" s="416"/>
      <c r="G4107" s="382"/>
      <c r="H4107" s="382"/>
      <c r="I4107" s="399"/>
      <c r="J4107" s="377">
        <v>2000</v>
      </c>
      <c r="K4107" s="377"/>
      <c r="L4107" s="416"/>
      <c r="M4107" s="382"/>
      <c r="N4107" s="382"/>
      <c r="O4107" s="380"/>
      <c r="P4107" s="380"/>
      <c r="Q4107" s="380"/>
    </row>
    <row r="4108" spans="1:17" x14ac:dyDescent="0.2">
      <c r="A4108" s="391" t="s">
        <v>1726</v>
      </c>
      <c r="B4108" s="380"/>
      <c r="C4108" s="334" t="s">
        <v>1117</v>
      </c>
      <c r="D4108" s="377"/>
      <c r="E4108" s="377"/>
      <c r="F4108" s="416"/>
      <c r="G4108" s="382"/>
      <c r="H4108" s="382"/>
      <c r="I4108" s="399"/>
      <c r="J4108" s="377"/>
      <c r="K4108" s="377"/>
      <c r="L4108" s="416"/>
      <c r="M4108" s="382"/>
      <c r="N4108" s="382"/>
      <c r="O4108" s="380"/>
      <c r="P4108" s="380"/>
      <c r="Q4108" s="380"/>
    </row>
    <row r="4109" spans="1:17" x14ac:dyDescent="0.2">
      <c r="A4109" s="334" t="s">
        <v>1751</v>
      </c>
      <c r="B4109" s="380"/>
      <c r="C4109" s="334" t="s">
        <v>3138</v>
      </c>
      <c r="D4109" s="377">
        <v>1500</v>
      </c>
      <c r="E4109" s="377"/>
      <c r="F4109" s="416"/>
      <c r="G4109" s="382"/>
      <c r="H4109" s="382"/>
      <c r="I4109" s="399"/>
      <c r="J4109" s="377">
        <v>3000</v>
      </c>
      <c r="K4109" s="377">
        <v>300</v>
      </c>
      <c r="L4109" s="416"/>
      <c r="M4109" s="382"/>
      <c r="N4109" s="382"/>
      <c r="O4109" s="380"/>
      <c r="P4109" s="380"/>
      <c r="Q4109" s="380"/>
    </row>
    <row r="4110" spans="1:17" x14ac:dyDescent="0.2">
      <c r="A4110" s="403" t="s">
        <v>1760</v>
      </c>
      <c r="B4110" s="380"/>
      <c r="C4110" s="334" t="s">
        <v>40</v>
      </c>
      <c r="D4110" s="377"/>
      <c r="E4110" s="377">
        <v>20000</v>
      </c>
      <c r="F4110" s="416"/>
      <c r="G4110" s="382"/>
      <c r="H4110" s="382"/>
      <c r="I4110" s="399"/>
      <c r="J4110" s="377"/>
      <c r="K4110" s="377">
        <v>12000</v>
      </c>
      <c r="L4110" s="416"/>
      <c r="M4110" s="382"/>
      <c r="N4110" s="382"/>
      <c r="O4110" s="380"/>
      <c r="P4110" s="380"/>
      <c r="Q4110" s="380"/>
    </row>
    <row r="4111" spans="1:17" x14ac:dyDescent="0.2">
      <c r="A4111" s="334" t="s">
        <v>1952</v>
      </c>
      <c r="B4111" s="380"/>
      <c r="C4111" s="334" t="s">
        <v>1251</v>
      </c>
      <c r="D4111" s="377">
        <v>2000</v>
      </c>
      <c r="E4111" s="377"/>
      <c r="F4111" s="416"/>
      <c r="G4111" s="382"/>
      <c r="H4111" s="382"/>
      <c r="I4111" s="399"/>
      <c r="J4111" s="377">
        <v>2000</v>
      </c>
      <c r="K4111" s="377"/>
      <c r="L4111" s="416"/>
      <c r="M4111" s="382"/>
      <c r="N4111" s="382"/>
      <c r="O4111" s="380"/>
      <c r="P4111" s="380"/>
      <c r="Q4111" s="380"/>
    </row>
    <row r="4112" spans="1:17" x14ac:dyDescent="0.2">
      <c r="A4112" s="391" t="s">
        <v>1945</v>
      </c>
      <c r="B4112" s="380"/>
      <c r="C4112" s="334" t="s">
        <v>2941</v>
      </c>
      <c r="D4112" s="377">
        <v>500</v>
      </c>
      <c r="E4112" s="377"/>
      <c r="F4112" s="416"/>
      <c r="G4112" s="382"/>
      <c r="H4112" s="382"/>
      <c r="I4112" s="399"/>
      <c r="J4112" s="377">
        <v>1000</v>
      </c>
      <c r="K4112" s="377"/>
      <c r="L4112" s="416"/>
      <c r="M4112" s="382"/>
      <c r="N4112" s="382"/>
      <c r="O4112" s="380"/>
      <c r="P4112" s="380"/>
      <c r="Q4112" s="380"/>
    </row>
    <row r="4113" spans="1:17" x14ac:dyDescent="0.2">
      <c r="A4113" s="334" t="s">
        <v>1738</v>
      </c>
      <c r="B4113" s="380"/>
      <c r="C4113" s="334" t="s">
        <v>1591</v>
      </c>
      <c r="D4113" s="377">
        <v>500</v>
      </c>
      <c r="E4113" s="377"/>
      <c r="F4113" s="416"/>
      <c r="G4113" s="382"/>
      <c r="H4113" s="382"/>
      <c r="I4113" s="399"/>
      <c r="J4113" s="377">
        <v>700</v>
      </c>
      <c r="K4113" s="377"/>
      <c r="L4113" s="416"/>
      <c r="M4113" s="382"/>
      <c r="N4113" s="382"/>
      <c r="O4113" s="380"/>
      <c r="P4113" s="380"/>
      <c r="Q4113" s="380"/>
    </row>
    <row r="4114" spans="1:17" x14ac:dyDescent="0.2">
      <c r="A4114" s="334" t="s">
        <v>1727</v>
      </c>
      <c r="B4114" s="380"/>
      <c r="C4114" s="334" t="s">
        <v>307</v>
      </c>
      <c r="D4114" s="377">
        <v>300</v>
      </c>
      <c r="E4114" s="377"/>
      <c r="F4114" s="416"/>
      <c r="G4114" s="382"/>
      <c r="H4114" s="382"/>
      <c r="I4114" s="399"/>
      <c r="J4114" s="377">
        <v>300</v>
      </c>
      <c r="K4114" s="377"/>
      <c r="L4114" s="416"/>
      <c r="M4114" s="382"/>
      <c r="N4114" s="382"/>
      <c r="O4114" s="380"/>
      <c r="P4114" s="380"/>
      <c r="Q4114" s="380"/>
    </row>
    <row r="4115" spans="1:17" x14ac:dyDescent="0.2">
      <c r="A4115" s="334" t="s">
        <v>1728</v>
      </c>
      <c r="B4115" s="380"/>
      <c r="C4115" s="334" t="s">
        <v>310</v>
      </c>
      <c r="D4115" s="377">
        <v>3500</v>
      </c>
      <c r="E4115" s="377">
        <v>1200</v>
      </c>
      <c r="F4115" s="416"/>
      <c r="G4115" s="382"/>
      <c r="H4115" s="382"/>
      <c r="I4115" s="399"/>
      <c r="J4115" s="377">
        <v>9000</v>
      </c>
      <c r="K4115" s="377">
        <v>1000</v>
      </c>
      <c r="L4115" s="416"/>
      <c r="M4115" s="382"/>
      <c r="N4115" s="382"/>
      <c r="O4115" s="380"/>
      <c r="P4115" s="380"/>
      <c r="Q4115" s="380"/>
    </row>
    <row r="4116" spans="1:17" x14ac:dyDescent="0.2">
      <c r="A4116" s="334" t="s">
        <v>1729</v>
      </c>
      <c r="B4116" s="380"/>
      <c r="C4116" s="380" t="s">
        <v>1551</v>
      </c>
      <c r="D4116" s="377">
        <v>-6670</v>
      </c>
      <c r="E4116" s="377">
        <v>-5480</v>
      </c>
      <c r="F4116" s="416"/>
      <c r="G4116" s="382"/>
      <c r="H4116" s="382"/>
      <c r="I4116" s="399"/>
      <c r="J4116" s="377">
        <v>500</v>
      </c>
      <c r="K4116" s="377"/>
      <c r="L4116" s="416"/>
      <c r="M4116" s="382"/>
      <c r="N4116" s="382"/>
      <c r="O4116" s="380"/>
      <c r="P4116" s="380"/>
      <c r="Q4116" s="380"/>
    </row>
    <row r="4117" spans="1:17" x14ac:dyDescent="0.2">
      <c r="A4117" s="334" t="s">
        <v>1735</v>
      </c>
      <c r="B4117" s="380"/>
      <c r="C4117" s="380" t="s">
        <v>194</v>
      </c>
      <c r="D4117" s="377"/>
      <c r="E4117" s="377"/>
      <c r="F4117" s="416"/>
      <c r="G4117" s="382"/>
      <c r="H4117" s="382"/>
      <c r="I4117" s="399"/>
      <c r="J4117" s="377">
        <v>800</v>
      </c>
      <c r="K4117" s="377"/>
      <c r="L4117" s="416"/>
      <c r="M4117" s="382"/>
      <c r="N4117" s="382"/>
      <c r="O4117" s="380"/>
      <c r="P4117" s="380"/>
      <c r="Q4117" s="380"/>
    </row>
    <row r="4118" spans="1:17" x14ac:dyDescent="0.2">
      <c r="A4118" s="334" t="s">
        <v>1741</v>
      </c>
      <c r="B4118" s="380"/>
      <c r="C4118" s="334" t="s">
        <v>1748</v>
      </c>
      <c r="D4118" s="377">
        <v>1500</v>
      </c>
      <c r="E4118" s="377"/>
      <c r="F4118" s="416"/>
      <c r="G4118" s="382"/>
      <c r="H4118" s="382"/>
      <c r="I4118" s="399"/>
      <c r="J4118" s="377">
        <v>500</v>
      </c>
      <c r="K4118" s="377"/>
      <c r="L4118" s="416"/>
      <c r="M4118" s="382"/>
      <c r="N4118" s="382"/>
      <c r="O4118" s="380"/>
      <c r="P4118" s="380"/>
      <c r="Q4118" s="380"/>
    </row>
    <row r="4119" spans="1:17" x14ac:dyDescent="0.2">
      <c r="A4119" s="384" t="s">
        <v>1754</v>
      </c>
      <c r="B4119" s="380"/>
      <c r="C4119" s="334" t="s">
        <v>1929</v>
      </c>
      <c r="D4119" s="377">
        <v>100</v>
      </c>
      <c r="E4119" s="377"/>
      <c r="F4119" s="416"/>
      <c r="G4119" s="382"/>
      <c r="H4119" s="382"/>
      <c r="I4119" s="399"/>
      <c r="J4119" s="377">
        <v>100</v>
      </c>
      <c r="K4119" s="377"/>
      <c r="L4119" s="416"/>
      <c r="M4119" s="382"/>
      <c r="N4119" s="382"/>
      <c r="O4119" s="380"/>
      <c r="P4119" s="380"/>
      <c r="Q4119" s="380"/>
    </row>
    <row r="4120" spans="1:17" x14ac:dyDescent="0.2">
      <c r="A4120" s="384" t="s">
        <v>1572</v>
      </c>
      <c r="B4120" s="380"/>
      <c r="C4120" s="334" t="s">
        <v>3134</v>
      </c>
      <c r="D4120" s="377"/>
      <c r="E4120" s="377"/>
      <c r="F4120" s="416"/>
      <c r="G4120" s="382"/>
      <c r="H4120" s="382"/>
      <c r="I4120" s="399"/>
      <c r="J4120" s="377"/>
      <c r="K4120" s="377"/>
      <c r="L4120" s="416"/>
      <c r="M4120" s="382"/>
      <c r="N4120" s="382"/>
      <c r="O4120" s="380"/>
      <c r="P4120" s="380"/>
      <c r="Q4120" s="380"/>
    </row>
    <row r="4121" spans="1:17" x14ac:dyDescent="0.2">
      <c r="A4121" s="334" t="s">
        <v>1730</v>
      </c>
      <c r="B4121" s="380"/>
      <c r="C4121" s="334" t="s">
        <v>1985</v>
      </c>
      <c r="D4121" s="377">
        <v>3000</v>
      </c>
      <c r="E4121" s="377">
        <v>1200</v>
      </c>
      <c r="F4121" s="416"/>
      <c r="G4121" s="382"/>
      <c r="H4121" s="382"/>
      <c r="I4121" s="399"/>
      <c r="J4121" s="377">
        <v>3000</v>
      </c>
      <c r="K4121" s="377">
        <v>500</v>
      </c>
      <c r="L4121" s="416"/>
      <c r="M4121" s="382"/>
      <c r="N4121" s="382"/>
      <c r="O4121" s="380"/>
      <c r="P4121" s="380"/>
      <c r="Q4121" s="380"/>
    </row>
    <row r="4122" spans="1:17" x14ac:dyDescent="0.2">
      <c r="A4122" s="334" t="s">
        <v>1566</v>
      </c>
      <c r="B4122" s="380"/>
      <c r="C4122" s="334" t="s">
        <v>366</v>
      </c>
      <c r="D4122" s="377"/>
      <c r="E4122" s="377"/>
      <c r="F4122" s="416"/>
      <c r="G4122" s="382"/>
      <c r="H4122" s="382"/>
      <c r="I4122" s="399"/>
      <c r="J4122" s="377"/>
      <c r="K4122" s="377"/>
      <c r="L4122" s="416"/>
      <c r="M4122" s="382"/>
      <c r="N4122" s="382"/>
      <c r="O4122" s="380"/>
      <c r="P4122" s="380"/>
      <c r="Q4122" s="380"/>
    </row>
    <row r="4123" spans="1:17" x14ac:dyDescent="0.2">
      <c r="A4123" s="391" t="s">
        <v>1946</v>
      </c>
      <c r="B4123" s="380"/>
      <c r="C4123" s="392" t="s">
        <v>931</v>
      </c>
      <c r="D4123" s="377">
        <v>100</v>
      </c>
      <c r="E4123" s="377"/>
      <c r="F4123" s="416"/>
      <c r="G4123" s="382"/>
      <c r="H4123" s="382"/>
      <c r="I4123" s="399"/>
      <c r="J4123" s="377">
        <v>200</v>
      </c>
      <c r="K4123" s="377"/>
      <c r="L4123" s="416"/>
      <c r="M4123" s="382"/>
      <c r="N4123" s="382"/>
      <c r="O4123" s="380"/>
      <c r="P4123" s="380"/>
      <c r="Q4123" s="380"/>
    </row>
    <row r="4124" spans="1:17" x14ac:dyDescent="0.2">
      <c r="A4124" s="384" t="s">
        <v>1962</v>
      </c>
      <c r="B4124" s="380"/>
      <c r="C4124" s="380" t="s">
        <v>572</v>
      </c>
      <c r="D4124" s="377">
        <v>6000</v>
      </c>
      <c r="E4124" s="377"/>
      <c r="F4124" s="416"/>
      <c r="G4124" s="382"/>
      <c r="H4124" s="382"/>
      <c r="I4124" s="399"/>
      <c r="J4124" s="377"/>
      <c r="K4124" s="377"/>
      <c r="L4124" s="416"/>
      <c r="M4124" s="382"/>
      <c r="N4124" s="382"/>
      <c r="O4124" s="380"/>
      <c r="P4124" s="380"/>
      <c r="Q4124" s="380"/>
    </row>
    <row r="4125" spans="1:17" x14ac:dyDescent="0.2">
      <c r="A4125" s="334" t="s">
        <v>1953</v>
      </c>
      <c r="B4125" s="380"/>
      <c r="C4125" s="334" t="s">
        <v>193</v>
      </c>
      <c r="D4125" s="377">
        <v>35000</v>
      </c>
      <c r="E4125" s="377">
        <v>5000</v>
      </c>
      <c r="F4125" s="415"/>
      <c r="G4125" s="385"/>
      <c r="H4125" s="382"/>
      <c r="I4125" s="399"/>
      <c r="J4125" s="377">
        <f>60000+50000+38000-125012.6</f>
        <v>22987.4</v>
      </c>
      <c r="K4125" s="377">
        <v>8000</v>
      </c>
      <c r="L4125" s="415"/>
      <c r="M4125" s="385"/>
      <c r="N4125" s="382"/>
      <c r="O4125" s="380"/>
      <c r="P4125" s="380"/>
      <c r="Q4125" s="380"/>
    </row>
    <row r="4126" spans="1:17" x14ac:dyDescent="0.2">
      <c r="A4126" s="403" t="s">
        <v>1758</v>
      </c>
      <c r="B4126" s="380"/>
      <c r="C4126" s="334" t="s">
        <v>1987</v>
      </c>
      <c r="D4126" s="377"/>
      <c r="E4126" s="377"/>
      <c r="F4126" s="415"/>
      <c r="G4126" s="385"/>
      <c r="H4126" s="382"/>
      <c r="I4126" s="399"/>
      <c r="J4126" s="377"/>
      <c r="K4126" s="377"/>
      <c r="L4126" s="415"/>
      <c r="M4126" s="385"/>
      <c r="N4126" s="382"/>
      <c r="O4126" s="380"/>
      <c r="P4126" s="380"/>
      <c r="Q4126" s="380"/>
    </row>
    <row r="4127" spans="1:17" x14ac:dyDescent="0.2">
      <c r="A4127" s="384" t="s">
        <v>1733</v>
      </c>
      <c r="B4127" s="380"/>
      <c r="C4127" s="334" t="s">
        <v>27</v>
      </c>
      <c r="D4127" s="377"/>
      <c r="E4127" s="423"/>
      <c r="F4127" s="415"/>
      <c r="G4127" s="385"/>
      <c r="H4127" s="382"/>
      <c r="I4127" s="399"/>
      <c r="J4127" s="377"/>
      <c r="K4127" s="423"/>
      <c r="L4127" s="415"/>
      <c r="M4127" s="385"/>
      <c r="N4127" s="382"/>
      <c r="O4127" s="380"/>
      <c r="P4127" s="380"/>
      <c r="Q4127" s="380"/>
    </row>
    <row r="4128" spans="1:17" x14ac:dyDescent="0.2">
      <c r="A4128" s="334" t="s">
        <v>342</v>
      </c>
      <c r="B4128" s="380"/>
      <c r="C4128" s="334" t="s">
        <v>342</v>
      </c>
      <c r="D4128" s="394"/>
      <c r="E4128" s="380"/>
      <c r="F4128" s="416"/>
      <c r="G4128" s="399"/>
      <c r="H4128" s="382"/>
      <c r="I4128" s="399"/>
      <c r="J4128" s="394"/>
      <c r="K4128" s="380"/>
      <c r="L4128" s="416"/>
      <c r="M4128" s="399"/>
      <c r="N4128" s="382"/>
      <c r="O4128" s="380"/>
      <c r="P4128" s="380"/>
      <c r="Q4128" s="380"/>
    </row>
    <row r="4129" spans="1:17" ht="15.75" thickBot="1" x14ac:dyDescent="0.25">
      <c r="A4129" s="334" t="s">
        <v>342</v>
      </c>
      <c r="B4129" s="380"/>
      <c r="C4129" s="334" t="s">
        <v>342</v>
      </c>
      <c r="D4129" s="334">
        <f>SUM(D4101:D4127)</f>
        <v>60030</v>
      </c>
      <c r="E4129" s="414">
        <f>SUM(E4101:E4128)</f>
        <v>21920</v>
      </c>
      <c r="F4129" s="415"/>
      <c r="G4129" s="385"/>
      <c r="H4129" s="382"/>
      <c r="I4129" s="385"/>
      <c r="J4129" s="334">
        <f>SUM(J4101:J4127)</f>
        <v>63957.4</v>
      </c>
      <c r="K4129" s="414">
        <f>SUM(K4101:K4128)</f>
        <v>22300</v>
      </c>
      <c r="L4129" s="415"/>
      <c r="M4129" s="385"/>
      <c r="N4129" s="382"/>
      <c r="O4129" s="380"/>
      <c r="P4129" s="380"/>
      <c r="Q4129" s="380"/>
    </row>
    <row r="4130" spans="1:17" ht="15.75" thickTop="1" x14ac:dyDescent="0.2">
      <c r="A4130" s="334" t="s">
        <v>342</v>
      </c>
      <c r="B4130" s="380"/>
      <c r="C4130" s="334" t="s">
        <v>342</v>
      </c>
      <c r="D4130" s="400">
        <f>D4129</f>
        <v>60030</v>
      </c>
      <c r="E4130" s="380">
        <f>E4129</f>
        <v>21920</v>
      </c>
      <c r="F4130" s="415"/>
      <c r="G4130" s="385"/>
      <c r="H4130" s="382"/>
      <c r="I4130" s="385"/>
      <c r="J4130" s="400">
        <f>J4129</f>
        <v>63957.4</v>
      </c>
      <c r="K4130" s="380">
        <f>K4129</f>
        <v>22300</v>
      </c>
      <c r="L4130" s="415"/>
      <c r="M4130" s="385"/>
      <c r="N4130" s="382"/>
      <c r="O4130" s="380"/>
      <c r="P4130" s="380"/>
      <c r="Q4130" s="380"/>
    </row>
    <row r="4131" spans="1:17" x14ac:dyDescent="0.2">
      <c r="A4131" s="334" t="s">
        <v>342</v>
      </c>
      <c r="B4131" s="380"/>
      <c r="C4131" s="334" t="s">
        <v>342</v>
      </c>
      <c r="D4131" s="334" t="s">
        <v>342</v>
      </c>
      <c r="E4131" s="380"/>
      <c r="F4131" s="416"/>
      <c r="G4131" s="382"/>
      <c r="H4131" s="382"/>
      <c r="I4131" s="385"/>
      <c r="J4131" s="334" t="s">
        <v>342</v>
      </c>
      <c r="K4131" s="380"/>
      <c r="L4131" s="416"/>
      <c r="M4131" s="382"/>
      <c r="N4131" s="382"/>
      <c r="O4131" s="380"/>
      <c r="P4131" s="380"/>
      <c r="Q4131" s="380"/>
    </row>
    <row r="4132" spans="1:17" x14ac:dyDescent="0.2">
      <c r="A4132" s="334" t="s">
        <v>342</v>
      </c>
      <c r="B4132" s="377"/>
      <c r="C4132" s="334" t="s">
        <v>342</v>
      </c>
      <c r="D4132" s="334" t="s">
        <v>342</v>
      </c>
      <c r="E4132" s="377"/>
      <c r="F4132" s="378"/>
      <c r="G4132" s="377"/>
      <c r="H4132" s="377"/>
      <c r="I4132" s="385"/>
      <c r="J4132" s="334" t="s">
        <v>342</v>
      </c>
      <c r="K4132" s="377"/>
      <c r="L4132" s="378"/>
      <c r="M4132" s="377"/>
      <c r="N4132" s="377"/>
      <c r="O4132" s="380"/>
      <c r="P4132" s="380"/>
      <c r="Q4132" s="380"/>
    </row>
    <row r="4133" spans="1:17" x14ac:dyDescent="0.2">
      <c r="A4133" s="334" t="s">
        <v>1954</v>
      </c>
      <c r="B4133" s="380"/>
      <c r="C4133" s="380"/>
      <c r="D4133" s="380"/>
      <c r="E4133" s="380"/>
      <c r="F4133" s="378"/>
      <c r="G4133" s="380"/>
      <c r="H4133" s="380"/>
      <c r="I4133" s="382"/>
      <c r="J4133" s="380"/>
      <c r="K4133" s="380"/>
      <c r="L4133" s="378"/>
      <c r="M4133" s="380"/>
      <c r="N4133" s="380"/>
      <c r="O4133" s="380"/>
      <c r="P4133" s="380"/>
      <c r="Q4133" s="380"/>
    </row>
    <row r="4134" spans="1:17" x14ac:dyDescent="0.2">
      <c r="A4134" s="334" t="s">
        <v>342</v>
      </c>
      <c r="B4134" s="380"/>
      <c r="C4134" s="384" t="s">
        <v>2177</v>
      </c>
      <c r="D4134" s="380"/>
      <c r="E4134" s="380"/>
      <c r="F4134" s="378"/>
      <c r="G4134" s="380"/>
      <c r="H4134" s="380"/>
      <c r="I4134" s="382"/>
      <c r="J4134" s="380"/>
      <c r="K4134" s="380"/>
      <c r="L4134" s="378"/>
      <c r="M4134" s="380"/>
      <c r="N4134" s="380"/>
      <c r="O4134" s="380"/>
      <c r="P4134" s="380"/>
      <c r="Q4134" s="380"/>
    </row>
    <row r="4135" spans="1:17" x14ac:dyDescent="0.2">
      <c r="A4135" s="334" t="s">
        <v>342</v>
      </c>
      <c r="B4135" s="380"/>
      <c r="C4135" s="334" t="s">
        <v>342</v>
      </c>
      <c r="D4135" s="334" t="s">
        <v>342</v>
      </c>
      <c r="E4135" s="380"/>
      <c r="F4135" s="412"/>
      <c r="G4135" s="334"/>
      <c r="H4135" s="380"/>
      <c r="I4135" s="385"/>
      <c r="J4135" s="334" t="s">
        <v>342</v>
      </c>
      <c r="K4135" s="380"/>
      <c r="L4135" s="412" t="s">
        <v>2028</v>
      </c>
      <c r="M4135" s="334"/>
      <c r="N4135" s="380"/>
      <c r="O4135" s="380"/>
      <c r="P4135" s="380"/>
      <c r="Q4135" s="380"/>
    </row>
    <row r="4136" spans="1:17" x14ac:dyDescent="0.2">
      <c r="A4136" s="334" t="s">
        <v>1723</v>
      </c>
      <c r="B4136" s="380"/>
      <c r="C4136" s="334" t="s">
        <v>1880</v>
      </c>
      <c r="D4136" s="334" t="s">
        <v>181</v>
      </c>
      <c r="E4136" s="380"/>
      <c r="F4136" s="412"/>
      <c r="G4136" s="334"/>
      <c r="H4136" s="380"/>
      <c r="I4136" s="385"/>
      <c r="J4136" s="334" t="s">
        <v>181</v>
      </c>
      <c r="K4136" s="380"/>
      <c r="L4136" s="412" t="s">
        <v>2027</v>
      </c>
      <c r="M4136" s="334"/>
      <c r="N4136" s="380"/>
      <c r="O4136" s="380"/>
      <c r="P4136" s="380"/>
      <c r="Q4136" s="380"/>
    </row>
    <row r="4137" spans="1:17" x14ac:dyDescent="0.2">
      <c r="A4137" s="334" t="s">
        <v>342</v>
      </c>
      <c r="B4137" s="380"/>
      <c r="C4137" s="334" t="s">
        <v>342</v>
      </c>
      <c r="D4137" s="334" t="s">
        <v>342</v>
      </c>
      <c r="E4137" s="380"/>
      <c r="F4137" s="378"/>
      <c r="G4137" s="380"/>
      <c r="H4137" s="380"/>
      <c r="I4137" s="385"/>
      <c r="J4137" s="334" t="s">
        <v>342</v>
      </c>
      <c r="K4137" s="380"/>
      <c r="L4137" s="378"/>
      <c r="M4137" s="380"/>
      <c r="N4137" s="380"/>
      <c r="O4137" s="380"/>
      <c r="P4137" s="380"/>
      <c r="Q4137" s="380"/>
    </row>
    <row r="4138" spans="1:17" x14ac:dyDescent="0.2">
      <c r="A4138" s="334" t="s">
        <v>1724</v>
      </c>
      <c r="B4138" s="380"/>
      <c r="C4138" s="334" t="s">
        <v>1881</v>
      </c>
      <c r="D4138" s="377">
        <f>15000</f>
        <v>15000</v>
      </c>
      <c r="E4138" s="380"/>
      <c r="F4138" s="378"/>
      <c r="G4138" s="380"/>
      <c r="H4138" s="380"/>
      <c r="I4138" s="399"/>
      <c r="J4138" s="377">
        <v>13500</v>
      </c>
      <c r="K4138" s="380"/>
      <c r="L4138" s="378"/>
      <c r="M4138" s="380"/>
      <c r="N4138" s="380"/>
      <c r="O4138" s="380"/>
      <c r="P4138" s="380"/>
      <c r="Q4138" s="380"/>
    </row>
    <row r="4139" spans="1:17" x14ac:dyDescent="0.2">
      <c r="A4139" s="334" t="s">
        <v>1736</v>
      </c>
      <c r="B4139" s="380"/>
      <c r="C4139" s="334" t="s">
        <v>1747</v>
      </c>
      <c r="D4139" s="377">
        <v>450</v>
      </c>
      <c r="E4139" s="380"/>
      <c r="F4139" s="378"/>
      <c r="G4139" s="380"/>
      <c r="H4139" s="380"/>
      <c r="I4139" s="399"/>
      <c r="J4139" s="377">
        <v>350</v>
      </c>
      <c r="K4139" s="380"/>
      <c r="L4139" s="378"/>
      <c r="M4139" s="380"/>
      <c r="N4139" s="380"/>
      <c r="O4139" s="380"/>
      <c r="P4139" s="380"/>
      <c r="Q4139" s="380"/>
    </row>
    <row r="4140" spans="1:17" x14ac:dyDescent="0.2">
      <c r="A4140" s="334" t="s">
        <v>1744</v>
      </c>
      <c r="B4140" s="380"/>
      <c r="C4140" s="334" t="s">
        <v>1254</v>
      </c>
      <c r="D4140" s="377"/>
      <c r="E4140" s="380"/>
      <c r="F4140" s="378"/>
      <c r="G4140" s="380"/>
      <c r="H4140" s="380"/>
      <c r="I4140" s="399"/>
      <c r="J4140" s="377">
        <v>700</v>
      </c>
      <c r="K4140" s="380"/>
      <c r="L4140" s="378"/>
      <c r="M4140" s="380"/>
      <c r="N4140" s="380"/>
      <c r="O4140" s="380"/>
      <c r="P4140" s="380"/>
      <c r="Q4140" s="380"/>
    </row>
    <row r="4141" spans="1:17" x14ac:dyDescent="0.2">
      <c r="A4141" s="334" t="s">
        <v>1582</v>
      </c>
      <c r="B4141" s="380"/>
      <c r="C4141" s="334" t="s">
        <v>3135</v>
      </c>
      <c r="D4141" s="377">
        <f>400</f>
        <v>400</v>
      </c>
      <c r="E4141" s="380"/>
      <c r="F4141" s="378"/>
      <c r="G4141" s="380"/>
      <c r="H4141" s="380"/>
      <c r="I4141" s="399"/>
      <c r="J4141" s="377">
        <v>1500</v>
      </c>
      <c r="K4141" s="380"/>
      <c r="L4141" s="378"/>
      <c r="M4141" s="380"/>
      <c r="N4141" s="380"/>
      <c r="O4141" s="380"/>
      <c r="P4141" s="380"/>
      <c r="Q4141" s="380"/>
    </row>
    <row r="4142" spans="1:17" x14ac:dyDescent="0.2">
      <c r="A4142" s="384" t="s">
        <v>1575</v>
      </c>
      <c r="B4142" s="380"/>
      <c r="C4142" s="334" t="s">
        <v>1889</v>
      </c>
      <c r="D4142" s="377">
        <v>100</v>
      </c>
      <c r="E4142" s="380"/>
      <c r="F4142" s="378"/>
      <c r="G4142" s="380"/>
      <c r="H4142" s="380"/>
      <c r="I4142" s="399"/>
      <c r="J4142" s="377">
        <v>75</v>
      </c>
      <c r="K4142" s="380"/>
      <c r="L4142" s="378"/>
      <c r="M4142" s="380"/>
      <c r="N4142" s="380"/>
      <c r="O4142" s="380"/>
      <c r="P4142" s="380"/>
      <c r="Q4142" s="380"/>
    </row>
    <row r="4143" spans="1:17" x14ac:dyDescent="0.2">
      <c r="A4143" s="334" t="s">
        <v>1725</v>
      </c>
      <c r="B4143" s="380"/>
      <c r="C4143" s="334" t="s">
        <v>1890</v>
      </c>
      <c r="D4143" s="377">
        <v>400</v>
      </c>
      <c r="E4143" s="380"/>
      <c r="F4143" s="378"/>
      <c r="G4143" s="380"/>
      <c r="H4143" s="380"/>
      <c r="I4143" s="399"/>
      <c r="J4143" s="377">
        <v>500</v>
      </c>
      <c r="K4143" s="380"/>
      <c r="L4143" s="378"/>
      <c r="M4143" s="380"/>
      <c r="N4143" s="380"/>
      <c r="O4143" s="380"/>
      <c r="P4143" s="380"/>
      <c r="Q4143" s="380"/>
    </row>
    <row r="4144" spans="1:17" x14ac:dyDescent="0.2">
      <c r="A4144" s="384" t="s">
        <v>1745</v>
      </c>
      <c r="B4144" s="380"/>
      <c r="C4144" s="334" t="s">
        <v>1887</v>
      </c>
      <c r="D4144" s="377">
        <v>300</v>
      </c>
      <c r="E4144" s="380"/>
      <c r="F4144" s="378"/>
      <c r="G4144" s="380"/>
      <c r="H4144" s="380"/>
      <c r="I4144" s="399"/>
      <c r="J4144" s="377">
        <v>300</v>
      </c>
      <c r="K4144" s="380"/>
      <c r="L4144" s="378"/>
      <c r="M4144" s="380"/>
      <c r="N4144" s="380"/>
      <c r="O4144" s="380"/>
      <c r="P4144" s="380"/>
      <c r="Q4144" s="380"/>
    </row>
    <row r="4145" spans="1:17" x14ac:dyDescent="0.2">
      <c r="A4145" s="334" t="s">
        <v>1565</v>
      </c>
      <c r="B4145" s="380"/>
      <c r="C4145" s="334" t="s">
        <v>1927</v>
      </c>
      <c r="D4145" s="377">
        <f>121</f>
        <v>121</v>
      </c>
      <c r="E4145" s="380"/>
      <c r="F4145" s="378"/>
      <c r="G4145" s="380"/>
      <c r="H4145" s="380"/>
      <c r="I4145" s="399"/>
      <c r="J4145" s="377">
        <v>121</v>
      </c>
      <c r="K4145" s="380"/>
      <c r="L4145" s="378"/>
      <c r="M4145" s="380"/>
      <c r="N4145" s="380"/>
      <c r="O4145" s="380"/>
      <c r="P4145" s="380"/>
      <c r="Q4145" s="380"/>
    </row>
    <row r="4146" spans="1:17" x14ac:dyDescent="0.2">
      <c r="A4146" s="334" t="s">
        <v>1737</v>
      </c>
      <c r="B4146" s="380"/>
      <c r="C4146" s="334" t="s">
        <v>1984</v>
      </c>
      <c r="D4146" s="377">
        <f>700</f>
        <v>700</v>
      </c>
      <c r="E4146" s="380"/>
      <c r="F4146" s="378"/>
      <c r="G4146" s="380"/>
      <c r="H4146" s="380"/>
      <c r="I4146" s="399"/>
      <c r="J4146" s="377">
        <v>500</v>
      </c>
      <c r="K4146" s="380"/>
      <c r="L4146" s="378"/>
      <c r="M4146" s="380"/>
      <c r="N4146" s="380"/>
      <c r="O4146" s="380"/>
      <c r="P4146" s="380"/>
      <c r="Q4146" s="380"/>
    </row>
    <row r="4147" spans="1:17" x14ac:dyDescent="0.2">
      <c r="A4147" s="334" t="s">
        <v>1726</v>
      </c>
      <c r="B4147" s="380"/>
      <c r="C4147" s="334" t="s">
        <v>1117</v>
      </c>
      <c r="D4147" s="377"/>
      <c r="E4147" s="380"/>
      <c r="F4147" s="378"/>
      <c r="G4147" s="380"/>
      <c r="H4147" s="380"/>
      <c r="I4147" s="399"/>
      <c r="J4147" s="377"/>
      <c r="K4147" s="380"/>
      <c r="L4147" s="378"/>
      <c r="M4147" s="380"/>
      <c r="N4147" s="380"/>
      <c r="O4147" s="380"/>
      <c r="P4147" s="380"/>
      <c r="Q4147" s="380"/>
    </row>
    <row r="4148" spans="1:17" x14ac:dyDescent="0.2">
      <c r="A4148" s="384" t="s">
        <v>1751</v>
      </c>
      <c r="B4148" s="380"/>
      <c r="C4148" s="334" t="s">
        <v>3138</v>
      </c>
      <c r="D4148" s="377">
        <v>1000</v>
      </c>
      <c r="E4148" s="380"/>
      <c r="F4148" s="378"/>
      <c r="G4148" s="380"/>
      <c r="H4148" s="380"/>
      <c r="I4148" s="399"/>
      <c r="J4148" s="377">
        <v>1000</v>
      </c>
      <c r="K4148" s="380"/>
      <c r="L4148" s="378"/>
      <c r="M4148" s="380"/>
      <c r="N4148" s="380"/>
      <c r="O4148" s="380"/>
      <c r="P4148" s="380"/>
      <c r="Q4148" s="380"/>
    </row>
    <row r="4149" spans="1:17" x14ac:dyDescent="0.2">
      <c r="A4149" s="334" t="s">
        <v>1734</v>
      </c>
      <c r="B4149" s="380"/>
      <c r="C4149" s="334" t="s">
        <v>1746</v>
      </c>
      <c r="D4149" s="377">
        <v>500</v>
      </c>
      <c r="E4149" s="380"/>
      <c r="F4149" s="378"/>
      <c r="G4149" s="380"/>
      <c r="H4149" s="380"/>
      <c r="I4149" s="399"/>
      <c r="J4149" s="377">
        <v>1000</v>
      </c>
      <c r="K4149" s="380"/>
      <c r="L4149" s="378"/>
      <c r="M4149" s="380"/>
      <c r="N4149" s="380"/>
      <c r="O4149" s="380"/>
      <c r="P4149" s="380"/>
      <c r="Q4149" s="380"/>
    </row>
    <row r="4150" spans="1:17" x14ac:dyDescent="0.2">
      <c r="A4150" s="334" t="s">
        <v>1578</v>
      </c>
      <c r="B4150" s="380"/>
      <c r="C4150" s="334" t="s">
        <v>22</v>
      </c>
      <c r="D4150" s="377">
        <f>300+300</f>
        <v>600</v>
      </c>
      <c r="E4150" s="380"/>
      <c r="F4150" s="378"/>
      <c r="G4150" s="380"/>
      <c r="H4150" s="380"/>
      <c r="I4150" s="399"/>
      <c r="J4150" s="377"/>
      <c r="K4150" s="380"/>
      <c r="L4150" s="378"/>
      <c r="M4150" s="380"/>
      <c r="N4150" s="380"/>
      <c r="O4150" s="380"/>
      <c r="P4150" s="380"/>
      <c r="Q4150" s="380"/>
    </row>
    <row r="4151" spans="1:17" x14ac:dyDescent="0.2">
      <c r="A4151" s="334" t="s">
        <v>1738</v>
      </c>
      <c r="B4151" s="380"/>
      <c r="C4151" s="334" t="s">
        <v>1591</v>
      </c>
      <c r="D4151" s="377">
        <f>300</f>
        <v>300</v>
      </c>
      <c r="E4151" s="380"/>
      <c r="F4151" s="378"/>
      <c r="G4151" s="380"/>
      <c r="H4151" s="380"/>
      <c r="I4151" s="399"/>
      <c r="J4151" s="377">
        <v>300</v>
      </c>
      <c r="K4151" s="380"/>
      <c r="L4151" s="378"/>
      <c r="M4151" s="380"/>
      <c r="N4151" s="380"/>
      <c r="O4151" s="380"/>
      <c r="P4151" s="380"/>
      <c r="Q4151" s="380"/>
    </row>
    <row r="4152" spans="1:17" x14ac:dyDescent="0.2">
      <c r="A4152" s="334" t="s">
        <v>1727</v>
      </c>
      <c r="B4152" s="380"/>
      <c r="C4152" s="334" t="s">
        <v>307</v>
      </c>
      <c r="D4152" s="377">
        <f>350</f>
        <v>350</v>
      </c>
      <c r="E4152" s="380"/>
      <c r="F4152" s="378"/>
      <c r="G4152" s="380"/>
      <c r="H4152" s="380"/>
      <c r="I4152" s="399"/>
      <c r="J4152" s="377">
        <v>350</v>
      </c>
      <c r="K4152" s="380"/>
      <c r="L4152" s="378"/>
      <c r="M4152" s="380"/>
      <c r="N4152" s="380"/>
      <c r="O4152" s="380"/>
      <c r="P4152" s="380"/>
      <c r="Q4152" s="380"/>
    </row>
    <row r="4153" spans="1:17" x14ac:dyDescent="0.2">
      <c r="A4153" s="334" t="s">
        <v>1728</v>
      </c>
      <c r="B4153" s="380"/>
      <c r="C4153" s="334" t="s">
        <v>310</v>
      </c>
      <c r="D4153" s="377">
        <f>400</f>
        <v>400</v>
      </c>
      <c r="E4153" s="380"/>
      <c r="F4153" s="378"/>
      <c r="G4153" s="380"/>
      <c r="H4153" s="380"/>
      <c r="I4153" s="399"/>
      <c r="J4153" s="377">
        <v>400</v>
      </c>
      <c r="K4153" s="380"/>
      <c r="L4153" s="378"/>
      <c r="M4153" s="380"/>
      <c r="N4153" s="380"/>
      <c r="O4153" s="380"/>
      <c r="P4153" s="380"/>
      <c r="Q4153" s="380"/>
    </row>
    <row r="4154" spans="1:17" x14ac:dyDescent="0.2">
      <c r="A4154" s="334" t="s">
        <v>1729</v>
      </c>
      <c r="B4154" s="380"/>
      <c r="C4154" s="380" t="s">
        <v>1551</v>
      </c>
      <c r="D4154" s="377"/>
      <c r="E4154" s="380"/>
      <c r="F4154" s="378"/>
      <c r="G4154" s="380"/>
      <c r="H4154" s="380"/>
      <c r="I4154" s="399"/>
      <c r="J4154" s="377">
        <v>100</v>
      </c>
      <c r="K4154" s="380"/>
      <c r="L4154" s="378"/>
      <c r="M4154" s="380"/>
      <c r="N4154" s="380"/>
      <c r="O4154" s="380"/>
      <c r="P4154" s="380"/>
      <c r="Q4154" s="380"/>
    </row>
    <row r="4155" spans="1:17" x14ac:dyDescent="0.2">
      <c r="A4155" s="334" t="s">
        <v>1735</v>
      </c>
      <c r="B4155" s="380"/>
      <c r="C4155" s="380" t="s">
        <v>194</v>
      </c>
      <c r="D4155" s="377"/>
      <c r="E4155" s="380"/>
      <c r="F4155" s="378"/>
      <c r="G4155" s="380"/>
      <c r="H4155" s="380"/>
      <c r="I4155" s="399"/>
      <c r="J4155" s="377">
        <v>250</v>
      </c>
      <c r="K4155" s="380"/>
      <c r="L4155" s="378"/>
      <c r="M4155" s="380"/>
      <c r="N4155" s="380"/>
      <c r="O4155" s="380"/>
      <c r="P4155" s="380"/>
      <c r="Q4155" s="380"/>
    </row>
    <row r="4156" spans="1:17" x14ac:dyDescent="0.2">
      <c r="A4156" s="334" t="s">
        <v>1741</v>
      </c>
      <c r="B4156" s="380"/>
      <c r="C4156" s="334" t="s">
        <v>1748</v>
      </c>
      <c r="D4156" s="377"/>
      <c r="E4156" s="380"/>
      <c r="F4156" s="378"/>
      <c r="G4156" s="380"/>
      <c r="H4156" s="380"/>
      <c r="I4156" s="399"/>
      <c r="J4156" s="377">
        <v>400</v>
      </c>
      <c r="K4156" s="380"/>
      <c r="L4156" s="378"/>
      <c r="M4156" s="380"/>
      <c r="N4156" s="380"/>
      <c r="O4156" s="380"/>
      <c r="P4156" s="380"/>
      <c r="Q4156" s="380"/>
    </row>
    <row r="4157" spans="1:17" x14ac:dyDescent="0.2">
      <c r="A4157" s="384" t="s">
        <v>1754</v>
      </c>
      <c r="B4157" s="380"/>
      <c r="C4157" s="334" t="s">
        <v>1929</v>
      </c>
      <c r="D4157" s="377">
        <v>225</v>
      </c>
      <c r="E4157" s="380"/>
      <c r="F4157" s="378"/>
      <c r="G4157" s="380"/>
      <c r="H4157" s="380"/>
      <c r="I4157" s="399"/>
      <c r="J4157" s="377">
        <v>200</v>
      </c>
      <c r="K4157" s="380"/>
      <c r="L4157" s="378"/>
      <c r="M4157" s="380"/>
      <c r="N4157" s="380"/>
      <c r="O4157" s="380"/>
      <c r="P4157" s="380"/>
      <c r="Q4157" s="380"/>
    </row>
    <row r="4158" spans="1:17" x14ac:dyDescent="0.2">
      <c r="A4158" s="334" t="s">
        <v>1584</v>
      </c>
      <c r="B4158" s="380"/>
      <c r="C4158" s="334" t="s">
        <v>0</v>
      </c>
      <c r="D4158" s="377"/>
      <c r="E4158" s="380"/>
      <c r="F4158" s="378"/>
      <c r="G4158" s="380"/>
      <c r="H4158" s="380"/>
      <c r="I4158" s="399"/>
      <c r="J4158" s="377"/>
      <c r="K4158" s="380"/>
      <c r="L4158" s="378"/>
      <c r="M4158" s="380"/>
      <c r="N4158" s="380"/>
      <c r="O4158" s="380"/>
      <c r="P4158" s="380"/>
      <c r="Q4158" s="380"/>
    </row>
    <row r="4159" spans="1:17" x14ac:dyDescent="0.2">
      <c r="A4159" s="334" t="s">
        <v>1572</v>
      </c>
      <c r="B4159" s="380"/>
      <c r="C4159" s="334" t="s">
        <v>3134</v>
      </c>
      <c r="D4159" s="377"/>
      <c r="E4159" s="380"/>
      <c r="F4159" s="378"/>
      <c r="G4159" s="380"/>
      <c r="H4159" s="380"/>
      <c r="I4159" s="399"/>
      <c r="J4159" s="377"/>
      <c r="K4159" s="380"/>
      <c r="L4159" s="378"/>
      <c r="M4159" s="380"/>
      <c r="N4159" s="380"/>
      <c r="O4159" s="380"/>
      <c r="P4159" s="380"/>
      <c r="Q4159" s="380"/>
    </row>
    <row r="4160" spans="1:17" x14ac:dyDescent="0.2">
      <c r="A4160" s="334" t="s">
        <v>1730</v>
      </c>
      <c r="B4160" s="380"/>
      <c r="C4160" s="334" t="s">
        <v>1985</v>
      </c>
      <c r="D4160" s="377">
        <f>350</f>
        <v>350</v>
      </c>
      <c r="E4160" s="380"/>
      <c r="F4160" s="378"/>
      <c r="G4160" s="380"/>
      <c r="H4160" s="380"/>
      <c r="I4160" s="399"/>
      <c r="J4160" s="377">
        <v>300</v>
      </c>
      <c r="K4160" s="380"/>
      <c r="L4160" s="378"/>
      <c r="M4160" s="380"/>
      <c r="N4160" s="380"/>
      <c r="O4160" s="380"/>
      <c r="P4160" s="380"/>
      <c r="Q4160" s="380"/>
    </row>
    <row r="4161" spans="1:17" x14ac:dyDescent="0.2">
      <c r="A4161" s="334" t="s">
        <v>1566</v>
      </c>
      <c r="B4161" s="380"/>
      <c r="C4161" s="334" t="s">
        <v>366</v>
      </c>
      <c r="D4161" s="377">
        <f>3900</f>
        <v>3900</v>
      </c>
      <c r="E4161" s="380"/>
      <c r="F4161" s="378"/>
      <c r="G4161" s="380"/>
      <c r="H4161" s="380"/>
      <c r="I4161" s="399"/>
      <c r="J4161" s="377">
        <v>800</v>
      </c>
      <c r="K4161" s="380"/>
      <c r="L4161" s="378"/>
      <c r="M4161" s="380"/>
      <c r="N4161" s="380"/>
      <c r="O4161" s="380"/>
      <c r="P4161" s="380"/>
      <c r="Q4161" s="380"/>
    </row>
    <row r="4162" spans="1:17" x14ac:dyDescent="0.2">
      <c r="A4162" s="334" t="s">
        <v>1755</v>
      </c>
      <c r="B4162" s="380"/>
      <c r="C4162" s="380" t="s">
        <v>1986</v>
      </c>
      <c r="D4162" s="377">
        <f>1700</f>
        <v>1700</v>
      </c>
      <c r="E4162" s="377"/>
      <c r="F4162" s="378"/>
      <c r="G4162" s="377"/>
      <c r="H4162" s="380"/>
      <c r="I4162" s="399"/>
      <c r="J4162" s="377">
        <v>1100</v>
      </c>
      <c r="K4162" s="377"/>
      <c r="L4162" s="378"/>
      <c r="M4162" s="377"/>
      <c r="N4162" s="380"/>
      <c r="O4162" s="380"/>
      <c r="P4162" s="380"/>
      <c r="Q4162" s="380"/>
    </row>
    <row r="4163" spans="1:17" x14ac:dyDescent="0.2">
      <c r="A4163" s="334" t="s">
        <v>1587</v>
      </c>
      <c r="B4163" s="380"/>
      <c r="C4163" s="334" t="s">
        <v>34</v>
      </c>
      <c r="D4163" s="377"/>
      <c r="E4163" s="377"/>
      <c r="F4163" s="378"/>
      <c r="G4163" s="377"/>
      <c r="H4163" s="380"/>
      <c r="I4163" s="399"/>
      <c r="J4163" s="377">
        <v>450</v>
      </c>
      <c r="K4163" s="377"/>
      <c r="L4163" s="378"/>
      <c r="M4163" s="377"/>
      <c r="N4163" s="380"/>
      <c r="O4163" s="380"/>
      <c r="P4163" s="380"/>
      <c r="Q4163" s="380"/>
    </row>
    <row r="4164" spans="1:17" x14ac:dyDescent="0.2">
      <c r="A4164" s="384" t="s">
        <v>1962</v>
      </c>
      <c r="B4164" s="380"/>
      <c r="C4164" s="380" t="s">
        <v>572</v>
      </c>
      <c r="D4164" s="377">
        <v>3987</v>
      </c>
      <c r="E4164" s="377"/>
      <c r="F4164" s="378"/>
      <c r="G4164" s="377"/>
      <c r="H4164" s="380"/>
      <c r="I4164" s="399"/>
      <c r="J4164" s="377">
        <v>1500</v>
      </c>
      <c r="K4164" s="377"/>
      <c r="L4164" s="378"/>
      <c r="M4164" s="377"/>
      <c r="N4164" s="380"/>
      <c r="O4164" s="380"/>
      <c r="P4164" s="380"/>
      <c r="Q4164" s="380"/>
    </row>
    <row r="4165" spans="1:17" x14ac:dyDescent="0.2">
      <c r="A4165" s="384" t="s">
        <v>1567</v>
      </c>
      <c r="B4165" s="380"/>
      <c r="C4165" s="334" t="s">
        <v>3142</v>
      </c>
      <c r="D4165" s="377"/>
      <c r="E4165" s="377"/>
      <c r="F4165" s="378"/>
      <c r="G4165" s="377"/>
      <c r="H4165" s="380"/>
      <c r="I4165" s="399"/>
      <c r="J4165" s="377"/>
      <c r="K4165" s="377"/>
      <c r="L4165" s="378"/>
      <c r="M4165" s="377"/>
      <c r="N4165" s="380"/>
      <c r="O4165" s="380"/>
      <c r="P4165" s="380"/>
      <c r="Q4165" s="380"/>
    </row>
    <row r="4166" spans="1:17" x14ac:dyDescent="0.2">
      <c r="A4166" s="334" t="s">
        <v>342</v>
      </c>
      <c r="B4166" s="380"/>
      <c r="C4166" s="334" t="s">
        <v>342</v>
      </c>
      <c r="D4166" s="394"/>
      <c r="E4166" s="377"/>
      <c r="F4166" s="378"/>
      <c r="G4166" s="377"/>
      <c r="H4166" s="380"/>
      <c r="I4166" s="399"/>
      <c r="J4166" s="394"/>
      <c r="K4166" s="377"/>
      <c r="L4166" s="378"/>
      <c r="M4166" s="377"/>
      <c r="N4166" s="380"/>
      <c r="O4166" s="380"/>
      <c r="P4166" s="380"/>
      <c r="Q4166" s="380"/>
    </row>
    <row r="4167" spans="1:17" x14ac:dyDescent="0.2">
      <c r="A4167" s="334" t="s">
        <v>342</v>
      </c>
      <c r="B4167" s="380"/>
      <c r="C4167" s="334" t="s">
        <v>342</v>
      </c>
      <c r="D4167" s="334">
        <f>SUM(D4138:D4165)</f>
        <v>30783</v>
      </c>
      <c r="E4167" s="377"/>
      <c r="F4167" s="412">
        <f>SUM(F4138:F4165)</f>
        <v>0</v>
      </c>
      <c r="G4167" s="334"/>
      <c r="H4167" s="380"/>
      <c r="I4167" s="385"/>
      <c r="J4167" s="334">
        <f>SUM(J4138:J4165)</f>
        <v>25696</v>
      </c>
      <c r="K4167" s="377"/>
      <c r="L4167" s="412">
        <f>SUM(L4138:L4165)</f>
        <v>0</v>
      </c>
      <c r="M4167" s="334"/>
      <c r="N4167" s="380"/>
      <c r="O4167" s="380"/>
      <c r="P4167" s="380"/>
      <c r="Q4167" s="380"/>
    </row>
    <row r="4168" spans="1:17" ht="15.75" thickTop="1" x14ac:dyDescent="0.2">
      <c r="A4168" s="334" t="s">
        <v>342</v>
      </c>
      <c r="B4168" s="380"/>
      <c r="C4168" s="334" t="s">
        <v>342</v>
      </c>
      <c r="D4168" s="400" t="s">
        <v>342</v>
      </c>
      <c r="E4168" s="377"/>
      <c r="F4168" s="378"/>
      <c r="G4168" s="377"/>
      <c r="H4168" s="380"/>
      <c r="I4168" s="385"/>
      <c r="J4168" s="400" t="s">
        <v>342</v>
      </c>
      <c r="K4168" s="377"/>
      <c r="L4168" s="378"/>
      <c r="M4168" s="377"/>
      <c r="N4168" s="380"/>
      <c r="O4168" s="380"/>
      <c r="P4168" s="380"/>
      <c r="Q4168" s="380"/>
    </row>
    <row r="4169" spans="1:17" x14ac:dyDescent="0.2">
      <c r="A4169" s="334" t="s">
        <v>342</v>
      </c>
      <c r="B4169" s="380"/>
      <c r="C4169" s="334" t="s">
        <v>342</v>
      </c>
      <c r="D4169" s="334" t="s">
        <v>342</v>
      </c>
      <c r="E4169" s="377"/>
      <c r="F4169" s="378"/>
      <c r="G4169" s="377"/>
      <c r="H4169" s="380"/>
      <c r="I4169" s="385"/>
      <c r="J4169" s="334" t="s">
        <v>342</v>
      </c>
      <c r="K4169" s="377"/>
      <c r="L4169" s="378"/>
      <c r="M4169" s="377"/>
      <c r="N4169" s="380"/>
      <c r="O4169" s="380"/>
      <c r="P4169" s="380"/>
      <c r="Q4169" s="380"/>
    </row>
    <row r="4170" spans="1:17" x14ac:dyDescent="0.2">
      <c r="A4170" s="334" t="s">
        <v>342</v>
      </c>
      <c r="B4170" s="377"/>
      <c r="C4170" s="334" t="s">
        <v>342</v>
      </c>
      <c r="D4170" s="334" t="s">
        <v>342</v>
      </c>
      <c r="E4170" s="377"/>
      <c r="F4170" s="378"/>
      <c r="G4170" s="377"/>
      <c r="H4170" s="377"/>
      <c r="I4170" s="385"/>
      <c r="J4170" s="334" t="s">
        <v>342</v>
      </c>
      <c r="K4170" s="377"/>
      <c r="L4170" s="378"/>
      <c r="M4170" s="377"/>
      <c r="N4170" s="377"/>
      <c r="O4170" s="380"/>
      <c r="P4170" s="380"/>
      <c r="Q4170" s="380"/>
    </row>
    <row r="4171" spans="1:17" x14ac:dyDescent="0.2">
      <c r="A4171" s="334" t="s">
        <v>1955</v>
      </c>
      <c r="B4171" s="380"/>
      <c r="C4171" s="380"/>
      <c r="D4171" s="380"/>
      <c r="E4171" s="377"/>
      <c r="F4171" s="378"/>
      <c r="G4171" s="377"/>
      <c r="H4171" s="380"/>
      <c r="I4171" s="382"/>
      <c r="J4171" s="380"/>
      <c r="K4171" s="377"/>
      <c r="L4171" s="378"/>
      <c r="M4171" s="377"/>
      <c r="N4171" s="380"/>
      <c r="O4171" s="380"/>
      <c r="P4171" s="380"/>
      <c r="Q4171" s="380"/>
    </row>
    <row r="4172" spans="1:17" x14ac:dyDescent="0.2">
      <c r="A4172" s="334" t="s">
        <v>342</v>
      </c>
      <c r="B4172" s="380"/>
      <c r="C4172" s="384" t="s">
        <v>2178</v>
      </c>
      <c r="D4172" s="380"/>
      <c r="E4172" s="377"/>
      <c r="F4172" s="378"/>
      <c r="G4172" s="377"/>
      <c r="H4172" s="380"/>
      <c r="I4172" s="382"/>
      <c r="J4172" s="380"/>
      <c r="K4172" s="377"/>
      <c r="L4172" s="378"/>
      <c r="M4172" s="377"/>
      <c r="N4172" s="380"/>
      <c r="O4172" s="380"/>
      <c r="P4172" s="380"/>
      <c r="Q4172" s="380"/>
    </row>
    <row r="4173" spans="1:17" x14ac:dyDescent="0.2">
      <c r="A4173" s="334" t="s">
        <v>342</v>
      </c>
      <c r="B4173" s="380"/>
      <c r="C4173" s="334" t="s">
        <v>342</v>
      </c>
      <c r="D4173" s="334" t="s">
        <v>342</v>
      </c>
      <c r="E4173" s="377"/>
      <c r="F4173" s="378"/>
      <c r="G4173" s="377"/>
      <c r="H4173" s="380"/>
      <c r="I4173" s="385"/>
      <c r="J4173" s="334" t="s">
        <v>342</v>
      </c>
      <c r="K4173" s="377"/>
      <c r="L4173" s="378"/>
      <c r="M4173" s="377"/>
      <c r="N4173" s="380"/>
      <c r="O4173" s="380"/>
      <c r="P4173" s="380"/>
      <c r="Q4173" s="380"/>
    </row>
    <row r="4174" spans="1:17" x14ac:dyDescent="0.2">
      <c r="A4174" s="334" t="s">
        <v>1723</v>
      </c>
      <c r="B4174" s="380"/>
      <c r="C4174" s="334" t="s">
        <v>1880</v>
      </c>
      <c r="D4174" s="334" t="s">
        <v>181</v>
      </c>
      <c r="E4174" s="377"/>
      <c r="F4174" s="378"/>
      <c r="G4174" s="377"/>
      <c r="H4174" s="380"/>
      <c r="I4174" s="385"/>
      <c r="J4174" s="334" t="s">
        <v>181</v>
      </c>
      <c r="K4174" s="377"/>
      <c r="L4174" s="378"/>
      <c r="M4174" s="377"/>
      <c r="N4174" s="380"/>
      <c r="O4174" s="380"/>
      <c r="P4174" s="380"/>
      <c r="Q4174" s="380"/>
    </row>
    <row r="4175" spans="1:17" x14ac:dyDescent="0.2">
      <c r="A4175" s="334" t="s">
        <v>342</v>
      </c>
      <c r="B4175" s="380"/>
      <c r="C4175" s="334" t="s">
        <v>342</v>
      </c>
      <c r="D4175" s="380"/>
      <c r="E4175" s="380"/>
      <c r="F4175" s="378"/>
      <c r="G4175" s="377"/>
      <c r="H4175" s="380"/>
      <c r="I4175" s="382"/>
      <c r="J4175" s="380"/>
      <c r="K4175" s="380"/>
      <c r="L4175" s="378"/>
      <c r="M4175" s="377"/>
      <c r="N4175" s="380"/>
      <c r="O4175" s="380"/>
      <c r="P4175" s="380"/>
      <c r="Q4175" s="380"/>
    </row>
    <row r="4176" spans="1:17" x14ac:dyDescent="0.2">
      <c r="A4176" s="334" t="s">
        <v>1953</v>
      </c>
      <c r="B4176" s="380"/>
      <c r="C4176" s="334" t="s">
        <v>193</v>
      </c>
      <c r="D4176" s="388">
        <v>40000</v>
      </c>
      <c r="E4176" s="380"/>
      <c r="F4176" s="378"/>
      <c r="G4176" s="380"/>
      <c r="H4176" s="380"/>
      <c r="I4176" s="399"/>
      <c r="J4176" s="388">
        <f>140000+32000-125737.6</f>
        <v>46262.400000000001</v>
      </c>
      <c r="K4176" s="380"/>
      <c r="L4176" s="378"/>
      <c r="M4176" s="380"/>
      <c r="N4176" s="380"/>
      <c r="O4176" s="380"/>
      <c r="P4176" s="380"/>
      <c r="Q4176" s="380"/>
    </row>
    <row r="4177" spans="1:17" x14ac:dyDescent="0.2">
      <c r="A4177" s="334" t="s">
        <v>1733</v>
      </c>
      <c r="B4177" s="380"/>
      <c r="C4177" s="334" t="s">
        <v>27</v>
      </c>
      <c r="D4177" s="377"/>
      <c r="E4177" s="380"/>
      <c r="F4177" s="378"/>
      <c r="G4177" s="380"/>
      <c r="H4177" s="380"/>
      <c r="I4177" s="399"/>
      <c r="J4177" s="377"/>
      <c r="K4177" s="380"/>
      <c r="L4177" s="378"/>
      <c r="M4177" s="380"/>
      <c r="N4177" s="380"/>
      <c r="O4177" s="380"/>
      <c r="P4177" s="380"/>
      <c r="Q4177" s="380"/>
    </row>
    <row r="4178" spans="1:17" x14ac:dyDescent="0.2">
      <c r="A4178" s="334" t="s">
        <v>1724</v>
      </c>
      <c r="B4178" s="380"/>
      <c r="C4178" s="334" t="s">
        <v>1881</v>
      </c>
      <c r="D4178" s="377">
        <v>6000</v>
      </c>
      <c r="E4178" s="380"/>
      <c r="F4178" s="378"/>
      <c r="G4178" s="380"/>
      <c r="H4178" s="380"/>
      <c r="I4178" s="399"/>
      <c r="J4178" s="377">
        <v>7000</v>
      </c>
      <c r="K4178" s="380"/>
      <c r="L4178" s="378"/>
      <c r="M4178" s="380"/>
      <c r="N4178" s="380"/>
      <c r="O4178" s="380"/>
      <c r="P4178" s="380"/>
      <c r="Q4178" s="380"/>
    </row>
    <row r="4179" spans="1:17" x14ac:dyDescent="0.2">
      <c r="A4179" s="334" t="s">
        <v>1725</v>
      </c>
      <c r="B4179" s="380"/>
      <c r="C4179" s="334" t="s">
        <v>1890</v>
      </c>
      <c r="D4179" s="377">
        <v>100</v>
      </c>
      <c r="E4179" s="377"/>
      <c r="F4179" s="378"/>
      <c r="G4179" s="377"/>
      <c r="H4179" s="380"/>
      <c r="I4179" s="399"/>
      <c r="J4179" s="377">
        <v>100</v>
      </c>
      <c r="K4179" s="377"/>
      <c r="L4179" s="378"/>
      <c r="M4179" s="377"/>
      <c r="N4179" s="380"/>
      <c r="O4179" s="380"/>
      <c r="P4179" s="380"/>
      <c r="Q4179" s="380"/>
    </row>
    <row r="4180" spans="1:17" x14ac:dyDescent="0.2">
      <c r="A4180" s="334" t="s">
        <v>1751</v>
      </c>
      <c r="B4180" s="380"/>
      <c r="C4180" s="334" t="s">
        <v>3138</v>
      </c>
      <c r="D4180" s="377">
        <v>500</v>
      </c>
      <c r="E4180" s="380"/>
      <c r="F4180" s="378"/>
      <c r="G4180" s="380"/>
      <c r="H4180" s="380"/>
      <c r="I4180" s="399"/>
      <c r="J4180" s="377">
        <v>500</v>
      </c>
      <c r="K4180" s="380"/>
      <c r="L4180" s="378"/>
      <c r="M4180" s="380"/>
      <c r="N4180" s="380"/>
      <c r="O4180" s="380"/>
      <c r="P4180" s="380"/>
      <c r="Q4180" s="380"/>
    </row>
    <row r="4181" spans="1:17" x14ac:dyDescent="0.2">
      <c r="A4181" s="334" t="s">
        <v>1956</v>
      </c>
      <c r="B4181" s="380"/>
      <c r="C4181" s="334" t="s">
        <v>48</v>
      </c>
      <c r="D4181" s="377">
        <v>26250</v>
      </c>
      <c r="E4181" s="380"/>
      <c r="F4181" s="378"/>
      <c r="G4181" s="380"/>
      <c r="H4181" s="380"/>
      <c r="I4181" s="399"/>
      <c r="J4181" s="377">
        <v>26250</v>
      </c>
      <c r="K4181" s="380"/>
      <c r="L4181" s="378"/>
      <c r="M4181" s="380"/>
      <c r="N4181" s="380"/>
      <c r="O4181" s="380"/>
      <c r="P4181" s="380"/>
      <c r="Q4181" s="380"/>
    </row>
    <row r="4182" spans="1:17" x14ac:dyDescent="0.2">
      <c r="A4182" s="334" t="s">
        <v>1957</v>
      </c>
      <c r="B4182" s="380"/>
      <c r="C4182" s="334" t="s">
        <v>49</v>
      </c>
      <c r="D4182" s="377">
        <v>27000</v>
      </c>
      <c r="E4182" s="380"/>
      <c r="F4182" s="378"/>
      <c r="G4182" s="380"/>
      <c r="H4182" s="380"/>
      <c r="I4182" s="399"/>
      <c r="J4182" s="377">
        <v>28000</v>
      </c>
      <c r="K4182" s="380"/>
      <c r="L4182" s="378"/>
      <c r="M4182" s="380"/>
      <c r="N4182" s="380"/>
      <c r="O4182" s="380"/>
      <c r="P4182" s="380"/>
      <c r="Q4182" s="380"/>
    </row>
    <row r="4183" spans="1:17" x14ac:dyDescent="0.2">
      <c r="A4183" s="334" t="s">
        <v>1579</v>
      </c>
      <c r="B4183" s="380"/>
      <c r="C4183" s="334" t="s">
        <v>1934</v>
      </c>
      <c r="D4183" s="377">
        <v>500</v>
      </c>
      <c r="E4183" s="380"/>
      <c r="F4183" s="378"/>
      <c r="G4183" s="380"/>
      <c r="H4183" s="380"/>
      <c r="I4183" s="399"/>
      <c r="J4183" s="377">
        <v>500</v>
      </c>
      <c r="K4183" s="380"/>
      <c r="L4183" s="378"/>
      <c r="M4183" s="380"/>
      <c r="N4183" s="380"/>
      <c r="O4183" s="380"/>
      <c r="P4183" s="380"/>
      <c r="Q4183" s="380"/>
    </row>
    <row r="4184" spans="1:17" x14ac:dyDescent="0.2">
      <c r="A4184" s="334" t="s">
        <v>1952</v>
      </c>
      <c r="B4184" s="380"/>
      <c r="C4184" s="334" t="s">
        <v>1251</v>
      </c>
      <c r="D4184" s="377">
        <v>24000</v>
      </c>
      <c r="E4184" s="380"/>
      <c r="F4184" s="378"/>
      <c r="G4184" s="380"/>
      <c r="H4184" s="380"/>
      <c r="I4184" s="399"/>
      <c r="J4184" s="377">
        <v>24000</v>
      </c>
      <c r="K4184" s="380"/>
      <c r="L4184" s="378"/>
      <c r="M4184" s="380"/>
      <c r="N4184" s="380"/>
      <c r="O4184" s="380"/>
      <c r="P4184" s="380"/>
      <c r="Q4184" s="380"/>
    </row>
    <row r="4185" spans="1:17" x14ac:dyDescent="0.2">
      <c r="A4185" s="334" t="s">
        <v>1577</v>
      </c>
      <c r="B4185" s="380"/>
      <c r="C4185" s="334" t="s">
        <v>1815</v>
      </c>
      <c r="D4185" s="377">
        <v>2000</v>
      </c>
      <c r="E4185" s="380"/>
      <c r="F4185" s="378"/>
      <c r="G4185" s="380"/>
      <c r="H4185" s="380"/>
      <c r="I4185" s="399"/>
      <c r="J4185" s="377">
        <v>3000</v>
      </c>
      <c r="K4185" s="380"/>
      <c r="L4185" s="378"/>
      <c r="M4185" s="380"/>
      <c r="N4185" s="380"/>
      <c r="O4185" s="380"/>
      <c r="P4185" s="380"/>
      <c r="Q4185" s="380"/>
    </row>
    <row r="4186" spans="1:17" x14ac:dyDescent="0.2">
      <c r="A4186" s="334" t="s">
        <v>1734</v>
      </c>
      <c r="B4186" s="380"/>
      <c r="C4186" s="334" t="s">
        <v>1746</v>
      </c>
      <c r="D4186" s="377">
        <v>1000</v>
      </c>
      <c r="E4186" s="380"/>
      <c r="F4186" s="378"/>
      <c r="G4186" s="380"/>
      <c r="H4186" s="380"/>
      <c r="I4186" s="399"/>
      <c r="J4186" s="377">
        <v>1500</v>
      </c>
      <c r="K4186" s="380"/>
      <c r="L4186" s="378"/>
      <c r="M4186" s="380"/>
      <c r="N4186" s="380"/>
      <c r="O4186" s="380"/>
      <c r="P4186" s="380"/>
      <c r="Q4186" s="380"/>
    </row>
    <row r="4187" spans="1:17" x14ac:dyDescent="0.2">
      <c r="A4187" s="334" t="s">
        <v>1578</v>
      </c>
      <c r="B4187" s="380"/>
      <c r="C4187" s="334" t="s">
        <v>22</v>
      </c>
      <c r="D4187" s="377">
        <v>1000</v>
      </c>
      <c r="E4187" s="380"/>
      <c r="F4187" s="378"/>
      <c r="G4187" s="380"/>
      <c r="H4187" s="380"/>
      <c r="I4187" s="399"/>
      <c r="J4187" s="377">
        <v>500</v>
      </c>
      <c r="K4187" s="380"/>
      <c r="L4187" s="378"/>
      <c r="M4187" s="380"/>
      <c r="N4187" s="380"/>
      <c r="O4187" s="380"/>
      <c r="P4187" s="380"/>
      <c r="Q4187" s="380"/>
    </row>
    <row r="4188" spans="1:17" x14ac:dyDescent="0.2">
      <c r="A4188" s="334" t="s">
        <v>1945</v>
      </c>
      <c r="B4188" s="380"/>
      <c r="C4188" s="334" t="s">
        <v>2941</v>
      </c>
      <c r="D4188" s="377">
        <v>22000</v>
      </c>
      <c r="E4188" s="380"/>
      <c r="F4188" s="378"/>
      <c r="G4188" s="380"/>
      <c r="H4188" s="380"/>
      <c r="I4188" s="399"/>
      <c r="J4188" s="377">
        <v>15000</v>
      </c>
      <c r="K4188" s="380"/>
      <c r="L4188" s="378"/>
      <c r="M4188" s="380"/>
      <c r="N4188" s="380"/>
      <c r="O4188" s="380"/>
      <c r="P4188" s="380"/>
      <c r="Q4188" s="380"/>
    </row>
    <row r="4189" spans="1:17" x14ac:dyDescent="0.2">
      <c r="A4189" s="334" t="s">
        <v>1738</v>
      </c>
      <c r="B4189" s="380"/>
      <c r="C4189" s="334" t="s">
        <v>1591</v>
      </c>
      <c r="D4189" s="377"/>
      <c r="E4189" s="380"/>
      <c r="F4189" s="378"/>
      <c r="G4189" s="380"/>
      <c r="H4189" s="380"/>
      <c r="I4189" s="399"/>
      <c r="J4189" s="377">
        <v>100</v>
      </c>
      <c r="K4189" s="380"/>
      <c r="L4189" s="378"/>
      <c r="M4189" s="380"/>
      <c r="N4189" s="380"/>
      <c r="O4189" s="380"/>
      <c r="P4189" s="380"/>
      <c r="Q4189" s="380"/>
    </row>
    <row r="4190" spans="1:17" x14ac:dyDescent="0.2">
      <c r="A4190" s="334" t="s">
        <v>1727</v>
      </c>
      <c r="B4190" s="380"/>
      <c r="C4190" s="334" t="s">
        <v>307</v>
      </c>
      <c r="D4190" s="377"/>
      <c r="E4190" s="380"/>
      <c r="F4190" s="378"/>
      <c r="G4190" s="380"/>
      <c r="H4190" s="380"/>
      <c r="I4190" s="399"/>
      <c r="J4190" s="377">
        <v>100</v>
      </c>
      <c r="K4190" s="380"/>
      <c r="L4190" s="378"/>
      <c r="M4190" s="380"/>
      <c r="N4190" s="380"/>
      <c r="O4190" s="380"/>
      <c r="P4190" s="380"/>
      <c r="Q4190" s="380"/>
    </row>
    <row r="4191" spans="1:17" x14ac:dyDescent="0.2">
      <c r="A4191" s="334" t="s">
        <v>1728</v>
      </c>
      <c r="B4191" s="380"/>
      <c r="C4191" s="334" t="s">
        <v>310</v>
      </c>
      <c r="D4191" s="377">
        <v>400</v>
      </c>
      <c r="E4191" s="380"/>
      <c r="F4191" s="378"/>
      <c r="G4191" s="380"/>
      <c r="H4191" s="380"/>
      <c r="I4191" s="399"/>
      <c r="J4191" s="377">
        <v>400</v>
      </c>
      <c r="K4191" s="380"/>
      <c r="L4191" s="378"/>
      <c r="M4191" s="380"/>
      <c r="N4191" s="380"/>
      <c r="O4191" s="380"/>
      <c r="P4191" s="380"/>
      <c r="Q4191" s="380"/>
    </row>
    <row r="4192" spans="1:17" x14ac:dyDescent="0.2">
      <c r="A4192" s="334" t="s">
        <v>1729</v>
      </c>
      <c r="B4192" s="380"/>
      <c r="C4192" s="380" t="s">
        <v>1551</v>
      </c>
      <c r="D4192" s="377">
        <v>-23060</v>
      </c>
      <c r="E4192" s="380"/>
      <c r="F4192" s="378"/>
      <c r="G4192" s="380"/>
      <c r="H4192" s="380"/>
      <c r="I4192" s="399"/>
      <c r="J4192" s="377"/>
      <c r="K4192" s="380"/>
      <c r="L4192" s="378"/>
      <c r="M4192" s="380"/>
      <c r="N4192" s="380"/>
      <c r="O4192" s="380"/>
      <c r="P4192" s="380"/>
      <c r="Q4192" s="380"/>
    </row>
    <row r="4193" spans="1:17" x14ac:dyDescent="0.2">
      <c r="A4193" s="334" t="s">
        <v>1735</v>
      </c>
      <c r="B4193" s="380"/>
      <c r="C4193" s="380" t="s">
        <v>194</v>
      </c>
      <c r="D4193" s="377"/>
      <c r="E4193" s="380"/>
      <c r="F4193" s="378"/>
      <c r="G4193" s="380"/>
      <c r="H4193" s="380"/>
      <c r="I4193" s="399"/>
      <c r="J4193" s="377">
        <v>500</v>
      </c>
      <c r="K4193" s="380"/>
      <c r="L4193" s="378"/>
      <c r="M4193" s="380"/>
      <c r="N4193" s="380"/>
      <c r="O4193" s="380"/>
      <c r="P4193" s="380"/>
      <c r="Q4193" s="380"/>
    </row>
    <row r="4194" spans="1:17" x14ac:dyDescent="0.2">
      <c r="A4194" s="384" t="s">
        <v>1741</v>
      </c>
      <c r="B4194" s="380"/>
      <c r="C4194" s="334" t="s">
        <v>1748</v>
      </c>
      <c r="D4194" s="377">
        <v>150</v>
      </c>
      <c r="E4194" s="380"/>
      <c r="F4194" s="378"/>
      <c r="G4194" s="380"/>
      <c r="H4194" s="380"/>
      <c r="I4194" s="399"/>
      <c r="J4194" s="377">
        <v>100</v>
      </c>
      <c r="K4194" s="380"/>
      <c r="L4194" s="378"/>
      <c r="M4194" s="380"/>
      <c r="N4194" s="380"/>
      <c r="O4194" s="380"/>
      <c r="P4194" s="380"/>
      <c r="Q4194" s="380"/>
    </row>
    <row r="4195" spans="1:17" x14ac:dyDescent="0.2">
      <c r="A4195" s="384" t="s">
        <v>1754</v>
      </c>
      <c r="B4195" s="380"/>
      <c r="C4195" s="334" t="s">
        <v>1929</v>
      </c>
      <c r="D4195" s="377">
        <v>100</v>
      </c>
      <c r="E4195" s="380"/>
      <c r="F4195" s="378"/>
      <c r="G4195" s="380"/>
      <c r="H4195" s="380"/>
      <c r="I4195" s="399"/>
      <c r="J4195" s="377">
        <v>500</v>
      </c>
      <c r="K4195" s="380"/>
      <c r="L4195" s="378"/>
      <c r="M4195" s="380"/>
      <c r="N4195" s="380"/>
      <c r="O4195" s="380"/>
      <c r="P4195" s="380"/>
      <c r="Q4195" s="380"/>
    </row>
    <row r="4196" spans="1:17" x14ac:dyDescent="0.2">
      <c r="A4196" s="334" t="s">
        <v>1730</v>
      </c>
      <c r="B4196" s="380"/>
      <c r="C4196" s="334" t="s">
        <v>1985</v>
      </c>
      <c r="D4196" s="377">
        <v>2000</v>
      </c>
      <c r="E4196" s="380"/>
      <c r="F4196" s="378"/>
      <c r="G4196" s="380"/>
      <c r="H4196" s="380"/>
      <c r="I4196" s="399"/>
      <c r="J4196" s="377">
        <v>500</v>
      </c>
      <c r="K4196" s="380"/>
      <c r="L4196" s="378"/>
      <c r="M4196" s="380"/>
      <c r="N4196" s="380"/>
      <c r="O4196" s="380"/>
      <c r="P4196" s="380"/>
      <c r="Q4196" s="380"/>
    </row>
    <row r="4197" spans="1:17" x14ac:dyDescent="0.2">
      <c r="A4197" s="334" t="s">
        <v>1566</v>
      </c>
      <c r="B4197" s="380"/>
      <c r="C4197" s="334" t="s">
        <v>366</v>
      </c>
      <c r="D4197" s="377"/>
      <c r="E4197" s="380"/>
      <c r="F4197" s="378"/>
      <c r="G4197" s="380"/>
      <c r="H4197" s="380"/>
      <c r="I4197" s="399"/>
      <c r="J4197" s="377"/>
      <c r="K4197" s="380"/>
      <c r="L4197" s="378"/>
      <c r="M4197" s="380"/>
      <c r="N4197" s="380"/>
      <c r="O4197" s="380"/>
      <c r="P4197" s="380"/>
      <c r="Q4197" s="380"/>
    </row>
    <row r="4198" spans="1:17" x14ac:dyDescent="0.2">
      <c r="A4198" s="384" t="s">
        <v>1587</v>
      </c>
      <c r="B4198" s="380"/>
      <c r="C4198" s="334" t="s">
        <v>34</v>
      </c>
      <c r="D4198" s="377">
        <v>500</v>
      </c>
      <c r="E4198" s="380"/>
      <c r="F4198" s="378"/>
      <c r="G4198" s="380"/>
      <c r="H4198" s="380"/>
      <c r="I4198" s="399"/>
      <c r="J4198" s="377">
        <v>600</v>
      </c>
      <c r="K4198" s="380"/>
      <c r="L4198" s="378"/>
      <c r="M4198" s="380"/>
      <c r="N4198" s="380"/>
      <c r="O4198" s="380"/>
      <c r="P4198" s="380"/>
      <c r="Q4198" s="380"/>
    </row>
    <row r="4199" spans="1:17" x14ac:dyDescent="0.2">
      <c r="A4199" s="384" t="s">
        <v>1973</v>
      </c>
      <c r="B4199" s="380"/>
      <c r="C4199" s="380" t="s">
        <v>31</v>
      </c>
      <c r="D4199" s="377">
        <v>500</v>
      </c>
      <c r="E4199" s="380"/>
      <c r="F4199" s="378"/>
      <c r="G4199" s="380"/>
      <c r="H4199" s="380"/>
      <c r="I4199" s="399"/>
      <c r="J4199" s="377">
        <v>550</v>
      </c>
      <c r="K4199" s="380"/>
      <c r="L4199" s="378"/>
      <c r="M4199" s="380"/>
      <c r="N4199" s="380"/>
      <c r="O4199" s="380"/>
      <c r="P4199" s="380"/>
      <c r="Q4199" s="380"/>
    </row>
    <row r="4200" spans="1:17" x14ac:dyDescent="0.2">
      <c r="A4200" s="334" t="s">
        <v>1958</v>
      </c>
      <c r="B4200" s="380"/>
      <c r="C4200" s="380" t="s">
        <v>33</v>
      </c>
      <c r="D4200" s="377"/>
      <c r="E4200" s="380"/>
      <c r="F4200" s="378"/>
      <c r="G4200" s="380"/>
      <c r="H4200" s="380"/>
      <c r="I4200" s="399"/>
      <c r="J4200" s="377"/>
      <c r="K4200" s="380"/>
      <c r="L4200" s="378"/>
      <c r="M4200" s="380"/>
      <c r="N4200" s="380"/>
      <c r="O4200" s="380"/>
      <c r="P4200" s="380"/>
      <c r="Q4200" s="380"/>
    </row>
    <row r="4201" spans="1:17" x14ac:dyDescent="0.2">
      <c r="A4201" s="334" t="s">
        <v>1588</v>
      </c>
      <c r="B4201" s="380"/>
      <c r="C4201" s="334" t="s">
        <v>191</v>
      </c>
      <c r="D4201" s="377">
        <v>1200</v>
      </c>
      <c r="E4201" s="380"/>
      <c r="F4201" s="378"/>
      <c r="G4201" s="380"/>
      <c r="H4201" s="380"/>
      <c r="I4201" s="399"/>
      <c r="J4201" s="377">
        <v>1200</v>
      </c>
      <c r="K4201" s="380"/>
      <c r="L4201" s="378"/>
      <c r="M4201" s="380"/>
      <c r="N4201" s="380"/>
      <c r="O4201" s="380"/>
      <c r="P4201" s="380"/>
      <c r="Q4201" s="380"/>
    </row>
    <row r="4202" spans="1:17" x14ac:dyDescent="0.2">
      <c r="A4202" s="334" t="s">
        <v>1946</v>
      </c>
      <c r="B4202" s="380"/>
      <c r="C4202" s="392" t="s">
        <v>931</v>
      </c>
      <c r="D4202" s="377">
        <v>69000</v>
      </c>
      <c r="E4202" s="380"/>
      <c r="F4202" s="378"/>
      <c r="G4202" s="380"/>
      <c r="H4202" s="380"/>
      <c r="I4202" s="399"/>
      <c r="J4202" s="377">
        <v>69000</v>
      </c>
      <c r="K4202" s="380"/>
      <c r="L4202" s="378"/>
      <c r="M4202" s="380"/>
      <c r="N4202" s="380"/>
      <c r="O4202" s="380"/>
      <c r="P4202" s="380"/>
      <c r="Q4202" s="380"/>
    </row>
    <row r="4203" spans="1:17" x14ac:dyDescent="0.2">
      <c r="A4203" s="334" t="s">
        <v>1944</v>
      </c>
      <c r="B4203" s="380"/>
      <c r="C4203" s="334" t="s">
        <v>72</v>
      </c>
      <c r="D4203" s="377">
        <v>4000</v>
      </c>
      <c r="E4203" s="380"/>
      <c r="F4203" s="378"/>
      <c r="G4203" s="380"/>
      <c r="H4203" s="380"/>
      <c r="I4203" s="399"/>
      <c r="J4203" s="377">
        <v>4000</v>
      </c>
      <c r="K4203" s="380"/>
      <c r="L4203" s="378"/>
      <c r="M4203" s="380"/>
      <c r="N4203" s="380"/>
      <c r="O4203" s="380"/>
      <c r="P4203" s="380"/>
      <c r="Q4203" s="380"/>
    </row>
    <row r="4204" spans="1:17" x14ac:dyDescent="0.2">
      <c r="A4204" s="334" t="s">
        <v>1959</v>
      </c>
      <c r="B4204" s="380"/>
      <c r="C4204" s="334" t="s">
        <v>50</v>
      </c>
      <c r="D4204" s="377">
        <v>400</v>
      </c>
      <c r="E4204" s="380"/>
      <c r="F4204" s="378"/>
      <c r="G4204" s="380"/>
      <c r="H4204" s="380"/>
      <c r="I4204" s="399"/>
      <c r="J4204" s="377">
        <v>400</v>
      </c>
      <c r="K4204" s="380"/>
      <c r="L4204" s="378"/>
      <c r="M4204" s="380"/>
      <c r="N4204" s="380"/>
      <c r="O4204" s="380"/>
      <c r="P4204" s="380"/>
      <c r="Q4204" s="380"/>
    </row>
    <row r="4205" spans="1:17" x14ac:dyDescent="0.2">
      <c r="A4205" s="384" t="s">
        <v>1903</v>
      </c>
      <c r="B4205" s="380"/>
      <c r="C4205" s="334" t="s">
        <v>35</v>
      </c>
      <c r="D4205" s="377">
        <v>2000</v>
      </c>
      <c r="E4205" s="380"/>
      <c r="F4205" s="378"/>
      <c r="G4205" s="380"/>
      <c r="H4205" s="380"/>
      <c r="I4205" s="399"/>
      <c r="J4205" s="377">
        <v>2000</v>
      </c>
      <c r="K4205" s="380"/>
      <c r="L4205" s="378"/>
      <c r="M4205" s="380"/>
      <c r="N4205" s="380"/>
      <c r="O4205" s="380"/>
      <c r="P4205" s="380"/>
      <c r="Q4205" s="380"/>
    </row>
    <row r="4206" spans="1:17" x14ac:dyDescent="0.2">
      <c r="A4206" s="384" t="s">
        <v>1261</v>
      </c>
      <c r="B4206" s="380"/>
      <c r="C4206" s="334" t="s">
        <v>3141</v>
      </c>
      <c r="D4206" s="377"/>
      <c r="E4206" s="380"/>
      <c r="F4206" s="378"/>
      <c r="G4206" s="380"/>
      <c r="H4206" s="380"/>
      <c r="I4206" s="399"/>
      <c r="J4206" s="377"/>
      <c r="K4206" s="380"/>
      <c r="L4206" s="378"/>
      <c r="M4206" s="380"/>
      <c r="N4206" s="380"/>
      <c r="O4206" s="380"/>
      <c r="P4206" s="380"/>
      <c r="Q4206" s="380"/>
    </row>
    <row r="4207" spans="1:17" x14ac:dyDescent="0.2">
      <c r="A4207" s="384" t="s">
        <v>1569</v>
      </c>
      <c r="B4207" s="380"/>
      <c r="C4207" s="334" t="s">
        <v>1888</v>
      </c>
      <c r="D4207" s="377"/>
      <c r="E4207" s="380"/>
      <c r="F4207" s="378"/>
      <c r="G4207" s="380"/>
      <c r="H4207" s="380"/>
      <c r="I4207" s="399"/>
      <c r="J4207" s="377">
        <v>2400</v>
      </c>
      <c r="K4207" s="380"/>
      <c r="L4207" s="378"/>
      <c r="M4207" s="380"/>
      <c r="N4207" s="380"/>
      <c r="O4207" s="380"/>
      <c r="P4207" s="380"/>
      <c r="Q4207" s="380"/>
    </row>
    <row r="4208" spans="1:17" x14ac:dyDescent="0.2">
      <c r="A4208" s="384" t="s">
        <v>1966</v>
      </c>
      <c r="B4208" s="380"/>
      <c r="C4208" s="334" t="s">
        <v>28</v>
      </c>
      <c r="D4208" s="377"/>
      <c r="E4208" s="380"/>
      <c r="F4208" s="378"/>
      <c r="G4208" s="380"/>
      <c r="H4208" s="380"/>
      <c r="I4208" s="399"/>
      <c r="J4208" s="377"/>
      <c r="K4208" s="380"/>
      <c r="L4208" s="378"/>
      <c r="M4208" s="380"/>
      <c r="N4208" s="380"/>
      <c r="O4208" s="380"/>
      <c r="P4208" s="380"/>
      <c r="Q4208" s="380"/>
    </row>
    <row r="4209" spans="1:17" x14ac:dyDescent="0.2">
      <c r="A4209" s="334" t="s">
        <v>342</v>
      </c>
      <c r="B4209" s="380"/>
      <c r="C4209" s="334" t="s">
        <v>342</v>
      </c>
      <c r="D4209" s="377"/>
      <c r="E4209" s="380"/>
      <c r="F4209" s="378"/>
      <c r="G4209" s="380"/>
      <c r="H4209" s="380"/>
      <c r="I4209" s="399"/>
      <c r="J4209" s="377"/>
      <c r="K4209" s="380"/>
      <c r="L4209" s="378"/>
      <c r="M4209" s="380"/>
      <c r="N4209" s="380"/>
      <c r="O4209" s="380"/>
      <c r="P4209" s="380"/>
      <c r="Q4209" s="380"/>
    </row>
    <row r="4210" spans="1:17" x14ac:dyDescent="0.2">
      <c r="A4210" s="334" t="s">
        <v>342</v>
      </c>
      <c r="B4210" s="380"/>
      <c r="C4210" s="334" t="s">
        <v>342</v>
      </c>
      <c r="D4210" s="334">
        <f>SUM(D4176:D4208)</f>
        <v>207540</v>
      </c>
      <c r="E4210" s="380"/>
      <c r="F4210" s="378"/>
      <c r="G4210" s="380"/>
      <c r="H4210" s="380"/>
      <c r="I4210" s="385"/>
      <c r="J4210" s="334">
        <f>SUM(J4176:J4208)</f>
        <v>234962.4</v>
      </c>
      <c r="K4210" s="380"/>
      <c r="L4210" s="378"/>
      <c r="M4210" s="380"/>
      <c r="N4210" s="380"/>
      <c r="O4210" s="380"/>
      <c r="P4210" s="380"/>
      <c r="Q4210" s="380"/>
    </row>
    <row r="4211" spans="1:17" ht="15.75" thickTop="1" x14ac:dyDescent="0.2">
      <c r="A4211" s="334" t="s">
        <v>342</v>
      </c>
      <c r="B4211" s="380"/>
      <c r="C4211" s="334" t="s">
        <v>342</v>
      </c>
      <c r="D4211" s="400">
        <f>D4210</f>
        <v>207540</v>
      </c>
      <c r="E4211" s="380"/>
      <c r="F4211" s="378"/>
      <c r="G4211" s="380"/>
      <c r="H4211" s="380"/>
      <c r="I4211" s="385"/>
      <c r="J4211" s="400">
        <f>J4210</f>
        <v>234962.4</v>
      </c>
      <c r="K4211" s="380"/>
      <c r="L4211" s="378"/>
      <c r="M4211" s="380"/>
      <c r="N4211" s="380"/>
      <c r="O4211" s="380"/>
      <c r="P4211" s="380"/>
      <c r="Q4211" s="380"/>
    </row>
    <row r="4212" spans="1:17" x14ac:dyDescent="0.2">
      <c r="A4212" s="334" t="s">
        <v>342</v>
      </c>
      <c r="B4212" s="380"/>
      <c r="C4212" s="334" t="s">
        <v>342</v>
      </c>
      <c r="D4212" s="334" t="s">
        <v>342</v>
      </c>
      <c r="E4212" s="380"/>
      <c r="F4212" s="378"/>
      <c r="G4212" s="380"/>
      <c r="H4212" s="380"/>
      <c r="I4212" s="385"/>
      <c r="J4212" s="334" t="s">
        <v>342</v>
      </c>
      <c r="K4212" s="380"/>
      <c r="L4212" s="378"/>
      <c r="M4212" s="380"/>
      <c r="N4212" s="380"/>
      <c r="O4212" s="380"/>
      <c r="P4212" s="380"/>
      <c r="Q4212" s="380"/>
    </row>
    <row r="4213" spans="1:17" x14ac:dyDescent="0.2">
      <c r="A4213" s="334" t="s">
        <v>342</v>
      </c>
      <c r="B4213" s="377"/>
      <c r="C4213" s="334" t="s">
        <v>342</v>
      </c>
      <c r="D4213" s="334" t="s">
        <v>342</v>
      </c>
      <c r="E4213" s="377"/>
      <c r="F4213" s="378"/>
      <c r="G4213" s="377"/>
      <c r="H4213" s="377"/>
      <c r="I4213" s="385"/>
      <c r="J4213" s="334" t="s">
        <v>342</v>
      </c>
      <c r="K4213" s="377"/>
      <c r="L4213" s="378"/>
      <c r="M4213" s="377"/>
      <c r="N4213" s="377"/>
      <c r="O4213" s="380"/>
      <c r="P4213" s="380"/>
      <c r="Q4213" s="380"/>
    </row>
    <row r="4214" spans="1:17" x14ac:dyDescent="0.2">
      <c r="A4214" s="380"/>
      <c r="B4214" s="380"/>
      <c r="C4214" s="380"/>
      <c r="D4214" s="380"/>
      <c r="E4214" s="380"/>
      <c r="F4214" s="378"/>
      <c r="G4214" s="380"/>
      <c r="H4214" s="377"/>
      <c r="I4214" s="382"/>
      <c r="J4214" s="380"/>
      <c r="K4214" s="380"/>
      <c r="L4214" s="378"/>
      <c r="M4214" s="380"/>
      <c r="N4214" s="377"/>
      <c r="O4214" s="380"/>
      <c r="P4214" s="380"/>
      <c r="Q4214" s="380"/>
    </row>
    <row r="4215" spans="1:17" x14ac:dyDescent="0.2">
      <c r="A4215" s="377"/>
      <c r="B4215" s="377"/>
      <c r="C4215" s="377"/>
      <c r="D4215" s="377"/>
      <c r="E4215" s="377"/>
      <c r="F4215" s="378"/>
      <c r="G4215" s="377"/>
      <c r="H4215" s="377"/>
      <c r="I4215" s="399"/>
      <c r="J4215" s="377"/>
      <c r="K4215" s="377"/>
      <c r="L4215" s="378"/>
      <c r="M4215" s="377"/>
      <c r="N4215" s="377"/>
      <c r="O4215" s="380"/>
      <c r="P4215" s="380"/>
      <c r="Q4215" s="380"/>
    </row>
    <row r="4216" spans="1:17" x14ac:dyDescent="0.2">
      <c r="A4216" s="334" t="s">
        <v>1960</v>
      </c>
      <c r="B4216" s="380"/>
      <c r="C4216" s="380"/>
      <c r="D4216" s="334" t="s">
        <v>362</v>
      </c>
      <c r="E4216" s="334" t="s">
        <v>363</v>
      </c>
      <c r="F4216" s="412" t="s">
        <v>364</v>
      </c>
      <c r="G4216" s="334"/>
      <c r="H4216" s="380"/>
      <c r="I4216" s="385"/>
      <c r="J4216" s="334" t="s">
        <v>362</v>
      </c>
      <c r="K4216" s="334" t="s">
        <v>363</v>
      </c>
      <c r="L4216" s="412" t="s">
        <v>364</v>
      </c>
      <c r="M4216" s="334"/>
      <c r="N4216" s="380"/>
      <c r="O4216" s="380"/>
      <c r="P4216" s="380"/>
      <c r="Q4216" s="380"/>
    </row>
    <row r="4217" spans="1:17" x14ac:dyDescent="0.2">
      <c r="A4217" s="334" t="s">
        <v>342</v>
      </c>
      <c r="B4217" s="380"/>
      <c r="C4217" s="384" t="s">
        <v>2179</v>
      </c>
      <c r="D4217" s="442" t="s">
        <v>20</v>
      </c>
      <c r="E4217" s="334" t="s">
        <v>233</v>
      </c>
      <c r="F4217" s="412" t="s">
        <v>240</v>
      </c>
      <c r="G4217" s="334"/>
      <c r="H4217" s="380"/>
      <c r="I4217" s="443"/>
      <c r="J4217" s="442" t="s">
        <v>20</v>
      </c>
      <c r="K4217" s="334" t="s">
        <v>233</v>
      </c>
      <c r="L4217" s="412" t="s">
        <v>240</v>
      </c>
      <c r="M4217" s="334"/>
      <c r="N4217" s="380"/>
      <c r="O4217" s="380"/>
      <c r="P4217" s="380"/>
      <c r="Q4217" s="380"/>
    </row>
    <row r="4218" spans="1:17" x14ac:dyDescent="0.2">
      <c r="A4218" s="334" t="s">
        <v>342</v>
      </c>
      <c r="B4218" s="380"/>
      <c r="C4218" s="334" t="s">
        <v>342</v>
      </c>
      <c r="D4218" s="334" t="s">
        <v>679</v>
      </c>
      <c r="E4218" s="334" t="s">
        <v>671</v>
      </c>
      <c r="F4218" s="412" t="s">
        <v>669</v>
      </c>
      <c r="G4218" s="334"/>
      <c r="H4218" s="380"/>
      <c r="I4218" s="385"/>
      <c r="J4218" s="334" t="s">
        <v>679</v>
      </c>
      <c r="K4218" s="334" t="s">
        <v>671</v>
      </c>
      <c r="L4218" s="412" t="s">
        <v>669</v>
      </c>
      <c r="M4218" s="334"/>
      <c r="N4218" s="380"/>
      <c r="O4218" s="380"/>
      <c r="P4218" s="380"/>
      <c r="Q4218" s="380"/>
    </row>
    <row r="4219" spans="1:17" x14ac:dyDescent="0.2">
      <c r="A4219" s="334" t="s">
        <v>1723</v>
      </c>
      <c r="B4219" s="380"/>
      <c r="C4219" s="334" t="s">
        <v>1880</v>
      </c>
      <c r="D4219" s="334" t="s">
        <v>181</v>
      </c>
      <c r="E4219" s="334" t="s">
        <v>181</v>
      </c>
      <c r="F4219" s="412" t="s">
        <v>181</v>
      </c>
      <c r="G4219" s="334"/>
      <c r="H4219" s="334" t="s">
        <v>343</v>
      </c>
      <c r="I4219" s="385"/>
      <c r="J4219" s="334" t="s">
        <v>181</v>
      </c>
      <c r="K4219" s="334" t="s">
        <v>181</v>
      </c>
      <c r="L4219" s="412" t="s">
        <v>181</v>
      </c>
      <c r="M4219" s="334"/>
      <c r="N4219" s="334" t="s">
        <v>343</v>
      </c>
      <c r="O4219" s="380"/>
      <c r="P4219" s="380"/>
      <c r="Q4219" s="380"/>
    </row>
    <row r="4220" spans="1:17" x14ac:dyDescent="0.2">
      <c r="A4220" s="380"/>
      <c r="B4220" s="380"/>
      <c r="C4220" s="380"/>
      <c r="D4220" s="380"/>
      <c r="E4220" s="380"/>
      <c r="F4220" s="378"/>
      <c r="G4220" s="380"/>
      <c r="H4220" s="380"/>
      <c r="I4220" s="382"/>
      <c r="J4220" s="380"/>
      <c r="K4220" s="380"/>
      <c r="L4220" s="378"/>
      <c r="M4220" s="380"/>
      <c r="N4220" s="380"/>
      <c r="O4220" s="380"/>
      <c r="P4220" s="380"/>
      <c r="Q4220" s="380"/>
    </row>
    <row r="4221" spans="1:17" x14ac:dyDescent="0.2">
      <c r="A4221" s="391" t="s">
        <v>1743</v>
      </c>
      <c r="B4221" s="380"/>
      <c r="C4221" s="334" t="s">
        <v>1886</v>
      </c>
      <c r="D4221" s="427">
        <v>3915</v>
      </c>
      <c r="E4221" s="427">
        <v>3915</v>
      </c>
      <c r="F4221" s="464">
        <v>3915</v>
      </c>
      <c r="G4221" s="377"/>
      <c r="H4221" s="377">
        <f>SUM(D4221:G4221)</f>
        <v>11745</v>
      </c>
      <c r="I4221" s="399"/>
      <c r="J4221" s="377">
        <v>3915</v>
      </c>
      <c r="K4221" s="377">
        <v>3915</v>
      </c>
      <c r="L4221" s="378">
        <v>3915</v>
      </c>
      <c r="M4221" s="377"/>
      <c r="N4221" s="377"/>
      <c r="O4221" s="380"/>
      <c r="P4221" s="380"/>
      <c r="Q4221" s="380"/>
    </row>
    <row r="4222" spans="1:17" x14ac:dyDescent="0.2">
      <c r="A4222" s="334" t="s">
        <v>1724</v>
      </c>
      <c r="B4222" s="380"/>
      <c r="C4222" s="334" t="s">
        <v>1881</v>
      </c>
      <c r="D4222" s="427">
        <v>2500</v>
      </c>
      <c r="E4222" s="427">
        <v>500</v>
      </c>
      <c r="F4222" s="464">
        <v>500</v>
      </c>
      <c r="G4222" s="377"/>
      <c r="H4222" s="377">
        <f t="shared" ref="H4222:H4249" si="38">SUM(D4222:G4222)</f>
        <v>3500</v>
      </c>
      <c r="I4222" s="399"/>
      <c r="J4222" s="377">
        <v>1500</v>
      </c>
      <c r="K4222" s="377">
        <v>500</v>
      </c>
      <c r="L4222" s="378">
        <v>500</v>
      </c>
      <c r="M4222" s="377"/>
      <c r="N4222" s="377"/>
      <c r="O4222" s="380"/>
      <c r="P4222" s="380"/>
      <c r="Q4222" s="380"/>
    </row>
    <row r="4223" spans="1:17" x14ac:dyDescent="0.2">
      <c r="A4223" s="334" t="s">
        <v>1961</v>
      </c>
      <c r="B4223" s="380"/>
      <c r="C4223" s="334" t="s">
        <v>9</v>
      </c>
      <c r="D4223" s="427">
        <v>40000</v>
      </c>
      <c r="E4223" s="427">
        <v>0</v>
      </c>
      <c r="F4223" s="464">
        <v>0</v>
      </c>
      <c r="G4223" s="377"/>
      <c r="H4223" s="377">
        <f t="shared" si="38"/>
        <v>40000</v>
      </c>
      <c r="I4223" s="399"/>
      <c r="J4223" s="377">
        <v>29000</v>
      </c>
      <c r="K4223" s="377">
        <v>2000</v>
      </c>
      <c r="L4223" s="378">
        <v>2000</v>
      </c>
      <c r="M4223" s="377"/>
      <c r="N4223" s="377"/>
      <c r="O4223" s="380"/>
      <c r="P4223" s="380"/>
      <c r="Q4223" s="380"/>
    </row>
    <row r="4224" spans="1:17" x14ac:dyDescent="0.2">
      <c r="A4224" s="334" t="s">
        <v>1736</v>
      </c>
      <c r="B4224" s="380"/>
      <c r="C4224" s="334" t="s">
        <v>1747</v>
      </c>
      <c r="D4224" s="427">
        <v>15000</v>
      </c>
      <c r="E4224" s="427">
        <v>1000</v>
      </c>
      <c r="F4224" s="464">
        <v>1000</v>
      </c>
      <c r="G4224" s="377"/>
      <c r="H4224" s="377">
        <f t="shared" si="38"/>
        <v>17000</v>
      </c>
      <c r="I4224" s="399"/>
      <c r="J4224" s="377">
        <v>9100</v>
      </c>
      <c r="K4224" s="377">
        <v>1000</v>
      </c>
      <c r="L4224" s="378">
        <v>1000</v>
      </c>
      <c r="M4224" s="377"/>
      <c r="N4224" s="377"/>
      <c r="O4224" s="380"/>
      <c r="P4224" s="380"/>
      <c r="Q4224" s="380"/>
    </row>
    <row r="4225" spans="1:17" x14ac:dyDescent="0.2">
      <c r="A4225" s="334" t="s">
        <v>1744</v>
      </c>
      <c r="B4225" s="380"/>
      <c r="C4225" s="334" t="s">
        <v>1254</v>
      </c>
      <c r="D4225" s="427"/>
      <c r="E4225" s="427"/>
      <c r="F4225" s="464"/>
      <c r="G4225" s="377"/>
      <c r="H4225" s="377">
        <f t="shared" si="38"/>
        <v>0</v>
      </c>
      <c r="I4225" s="399"/>
      <c r="J4225" s="377"/>
      <c r="K4225" s="377"/>
      <c r="L4225" s="378"/>
      <c r="M4225" s="377"/>
      <c r="N4225" s="377"/>
      <c r="O4225" s="380"/>
      <c r="P4225" s="380"/>
      <c r="Q4225" s="380"/>
    </row>
    <row r="4226" spans="1:17" x14ac:dyDescent="0.2">
      <c r="A4226" s="334" t="s">
        <v>1582</v>
      </c>
      <c r="B4226" s="380"/>
      <c r="C4226" s="334" t="s">
        <v>3135</v>
      </c>
      <c r="D4226" s="427">
        <v>3000</v>
      </c>
      <c r="E4226" s="427">
        <v>1000</v>
      </c>
      <c r="F4226" s="464">
        <v>1000</v>
      </c>
      <c r="G4226" s="377"/>
      <c r="H4226" s="377">
        <f t="shared" si="38"/>
        <v>5000</v>
      </c>
      <c r="I4226" s="399"/>
      <c r="J4226" s="377">
        <v>3000</v>
      </c>
      <c r="K4226" s="377">
        <v>1000</v>
      </c>
      <c r="L4226" s="378">
        <v>1000</v>
      </c>
      <c r="M4226" s="377"/>
      <c r="N4226" s="377"/>
      <c r="O4226" s="380"/>
      <c r="P4226" s="380"/>
      <c r="Q4226" s="380"/>
    </row>
    <row r="4227" spans="1:17" x14ac:dyDescent="0.2">
      <c r="A4227" s="489" t="s">
        <v>1575</v>
      </c>
      <c r="B4227" s="380"/>
      <c r="C4227" s="334" t="s">
        <v>1889</v>
      </c>
      <c r="D4227" s="466"/>
      <c r="E4227" s="466"/>
      <c r="F4227" s="464"/>
      <c r="G4227" s="380"/>
      <c r="H4227" s="377">
        <f t="shared" si="38"/>
        <v>0</v>
      </c>
      <c r="I4227" s="399"/>
      <c r="J4227" s="380"/>
      <c r="K4227" s="380"/>
      <c r="L4227" s="378"/>
      <c r="M4227" s="380"/>
      <c r="N4227" s="377"/>
      <c r="O4227" s="380"/>
      <c r="P4227" s="380"/>
      <c r="Q4227" s="380"/>
    </row>
    <row r="4228" spans="1:17" x14ac:dyDescent="0.2">
      <c r="A4228" s="334" t="s">
        <v>1745</v>
      </c>
      <c r="B4228" s="380"/>
      <c r="C4228" s="334" t="s">
        <v>1887</v>
      </c>
      <c r="D4228" s="427">
        <v>22000</v>
      </c>
      <c r="E4228" s="427">
        <v>2500</v>
      </c>
      <c r="F4228" s="464">
        <v>2500</v>
      </c>
      <c r="G4228" s="377"/>
      <c r="H4228" s="377">
        <f t="shared" si="38"/>
        <v>27000</v>
      </c>
      <c r="I4228" s="399"/>
      <c r="J4228" s="377">
        <v>22000</v>
      </c>
      <c r="K4228" s="377">
        <v>2500</v>
      </c>
      <c r="L4228" s="378">
        <v>2500</v>
      </c>
      <c r="M4228" s="377"/>
      <c r="N4228" s="377"/>
      <c r="O4228" s="380"/>
      <c r="P4228" s="380"/>
      <c r="Q4228" s="380"/>
    </row>
    <row r="4229" spans="1:17" x14ac:dyDescent="0.2">
      <c r="A4229" s="334" t="s">
        <v>1906</v>
      </c>
      <c r="B4229" s="380"/>
      <c r="C4229" s="334" t="s">
        <v>39</v>
      </c>
      <c r="D4229" s="427"/>
      <c r="E4229" s="427"/>
      <c r="F4229" s="464"/>
      <c r="G4229" s="377"/>
      <c r="H4229" s="377">
        <f t="shared" si="38"/>
        <v>0</v>
      </c>
      <c r="I4229" s="399"/>
      <c r="J4229" s="377"/>
      <c r="K4229" s="377"/>
      <c r="L4229" s="378"/>
      <c r="M4229" s="377"/>
      <c r="N4229" s="377"/>
      <c r="O4229" s="380"/>
      <c r="P4229" s="380"/>
      <c r="Q4229" s="380"/>
    </row>
    <row r="4230" spans="1:17" x14ac:dyDescent="0.2">
      <c r="A4230" s="334" t="s">
        <v>1576</v>
      </c>
      <c r="B4230" s="380"/>
      <c r="C4230" s="334" t="s">
        <v>1590</v>
      </c>
      <c r="D4230" s="427"/>
      <c r="E4230" s="427"/>
      <c r="F4230" s="464"/>
      <c r="G4230" s="377"/>
      <c r="H4230" s="377">
        <f t="shared" si="38"/>
        <v>0</v>
      </c>
      <c r="I4230" s="399"/>
      <c r="J4230" s="377"/>
      <c r="K4230" s="377"/>
      <c r="L4230" s="378"/>
      <c r="M4230" s="377"/>
      <c r="N4230" s="377"/>
      <c r="O4230" s="380"/>
      <c r="P4230" s="380"/>
      <c r="Q4230" s="380"/>
    </row>
    <row r="4231" spans="1:17" x14ac:dyDescent="0.2">
      <c r="A4231" s="384" t="s">
        <v>1565</v>
      </c>
      <c r="B4231" s="380"/>
      <c r="C4231" s="334" t="s">
        <v>1927</v>
      </c>
      <c r="D4231" s="427"/>
      <c r="E4231" s="427"/>
      <c r="F4231" s="464"/>
      <c r="G4231" s="377"/>
      <c r="H4231" s="377">
        <f t="shared" si="38"/>
        <v>0</v>
      </c>
      <c r="I4231" s="399"/>
      <c r="J4231" s="377"/>
      <c r="K4231" s="377"/>
      <c r="L4231" s="378"/>
      <c r="M4231" s="377"/>
      <c r="N4231" s="377"/>
      <c r="O4231" s="380"/>
      <c r="P4231" s="380"/>
      <c r="Q4231" s="380"/>
    </row>
    <row r="4232" spans="1:17" x14ac:dyDescent="0.2">
      <c r="A4232" s="334" t="s">
        <v>1737</v>
      </c>
      <c r="B4232" s="380"/>
      <c r="C4232" s="334" t="s">
        <v>1984</v>
      </c>
      <c r="D4232" s="427">
        <v>2500</v>
      </c>
      <c r="E4232" s="427"/>
      <c r="F4232" s="464"/>
      <c r="G4232" s="377"/>
      <c r="H4232" s="377">
        <f t="shared" si="38"/>
        <v>2500</v>
      </c>
      <c r="I4232" s="399"/>
      <c r="J4232" s="377">
        <v>1000</v>
      </c>
      <c r="K4232" s="377"/>
      <c r="L4232" s="378"/>
      <c r="M4232" s="377"/>
      <c r="N4232" s="377"/>
      <c r="O4232" s="380"/>
      <c r="P4232" s="380"/>
      <c r="Q4232" s="380"/>
    </row>
    <row r="4233" spans="1:17" x14ac:dyDescent="0.2">
      <c r="A4233" s="334" t="s">
        <v>1752</v>
      </c>
      <c r="B4233" s="380"/>
      <c r="C4233" s="334" t="s">
        <v>367</v>
      </c>
      <c r="D4233" s="427"/>
      <c r="E4233" s="427"/>
      <c r="F4233" s="464"/>
      <c r="G4233" s="377"/>
      <c r="H4233" s="377">
        <f t="shared" si="38"/>
        <v>0</v>
      </c>
      <c r="I4233" s="399"/>
      <c r="J4233" s="377"/>
      <c r="K4233" s="377"/>
      <c r="L4233" s="378"/>
      <c r="M4233" s="377"/>
      <c r="N4233" s="377"/>
      <c r="O4233" s="380"/>
      <c r="P4233" s="380"/>
      <c r="Q4233" s="380"/>
    </row>
    <row r="4234" spans="1:17" x14ac:dyDescent="0.2">
      <c r="A4234" s="334" t="s">
        <v>1734</v>
      </c>
      <c r="B4234" s="380"/>
      <c r="C4234" s="334" t="s">
        <v>1746</v>
      </c>
      <c r="D4234" s="427"/>
      <c r="E4234" s="427"/>
      <c r="F4234" s="464"/>
      <c r="G4234" s="377"/>
      <c r="H4234" s="377">
        <f t="shared" si="38"/>
        <v>0</v>
      </c>
      <c r="I4234" s="399"/>
      <c r="J4234" s="377"/>
      <c r="K4234" s="377"/>
      <c r="L4234" s="378"/>
      <c r="M4234" s="377"/>
      <c r="N4234" s="377"/>
      <c r="O4234" s="380"/>
      <c r="P4234" s="380"/>
      <c r="Q4234" s="380"/>
    </row>
    <row r="4235" spans="1:17" x14ac:dyDescent="0.2">
      <c r="A4235" s="334" t="s">
        <v>1578</v>
      </c>
      <c r="B4235" s="380"/>
      <c r="C4235" s="334" t="s">
        <v>22</v>
      </c>
      <c r="D4235" s="427"/>
      <c r="E4235" s="427"/>
      <c r="F4235" s="464"/>
      <c r="G4235" s="377"/>
      <c r="H4235" s="377">
        <f t="shared" si="38"/>
        <v>0</v>
      </c>
      <c r="I4235" s="399"/>
      <c r="J4235" s="377"/>
      <c r="K4235" s="377"/>
      <c r="L4235" s="378"/>
      <c r="M4235" s="377"/>
      <c r="N4235" s="377"/>
      <c r="O4235" s="380"/>
      <c r="P4235" s="380"/>
      <c r="Q4235" s="380"/>
    </row>
    <row r="4236" spans="1:17" x14ac:dyDescent="0.2">
      <c r="A4236" s="334" t="s">
        <v>1738</v>
      </c>
      <c r="B4236" s="380"/>
      <c r="C4236" s="334" t="s">
        <v>1591</v>
      </c>
      <c r="D4236" s="427">
        <v>500</v>
      </c>
      <c r="E4236" s="427"/>
      <c r="F4236" s="464"/>
      <c r="G4236" s="377"/>
      <c r="H4236" s="377">
        <f t="shared" si="38"/>
        <v>500</v>
      </c>
      <c r="I4236" s="399"/>
      <c r="J4236" s="377">
        <v>500</v>
      </c>
      <c r="K4236" s="377">
        <v>200</v>
      </c>
      <c r="L4236" s="378">
        <v>200</v>
      </c>
      <c r="M4236" s="377"/>
      <c r="N4236" s="377"/>
      <c r="O4236" s="380"/>
      <c r="P4236" s="380"/>
      <c r="Q4236" s="380"/>
    </row>
    <row r="4237" spans="1:17" x14ac:dyDescent="0.2">
      <c r="A4237" s="334" t="s">
        <v>1727</v>
      </c>
      <c r="B4237" s="380"/>
      <c r="C4237" s="334" t="s">
        <v>307</v>
      </c>
      <c r="D4237" s="427">
        <v>500</v>
      </c>
      <c r="E4237" s="427"/>
      <c r="F4237" s="464"/>
      <c r="G4237" s="377"/>
      <c r="H4237" s="377">
        <f t="shared" si="38"/>
        <v>500</v>
      </c>
      <c r="I4237" s="399"/>
      <c r="J4237" s="377">
        <v>500</v>
      </c>
      <c r="K4237" s="377">
        <v>1200</v>
      </c>
      <c r="L4237" s="378">
        <v>1200</v>
      </c>
      <c r="M4237" s="377"/>
      <c r="N4237" s="377"/>
      <c r="O4237" s="380"/>
      <c r="P4237" s="380"/>
      <c r="Q4237" s="380"/>
    </row>
    <row r="4238" spans="1:17" x14ac:dyDescent="0.2">
      <c r="A4238" s="334" t="s">
        <v>1728</v>
      </c>
      <c r="B4238" s="380"/>
      <c r="C4238" s="334" t="s">
        <v>310</v>
      </c>
      <c r="D4238" s="427">
        <v>500</v>
      </c>
      <c r="E4238" s="427"/>
      <c r="F4238" s="464"/>
      <c r="G4238" s="377"/>
      <c r="H4238" s="377">
        <f t="shared" si="38"/>
        <v>500</v>
      </c>
      <c r="I4238" s="399"/>
      <c r="J4238" s="377">
        <v>500</v>
      </c>
      <c r="K4238" s="377">
        <v>100</v>
      </c>
      <c r="L4238" s="378">
        <v>100</v>
      </c>
      <c r="M4238" s="377"/>
      <c r="N4238" s="377"/>
      <c r="O4238" s="380"/>
      <c r="P4238" s="380"/>
      <c r="Q4238" s="380"/>
    </row>
    <row r="4239" spans="1:17" x14ac:dyDescent="0.2">
      <c r="A4239" s="334" t="s">
        <v>1729</v>
      </c>
      <c r="B4239" s="380"/>
      <c r="C4239" s="380" t="s">
        <v>1551</v>
      </c>
      <c r="D4239" s="427">
        <f>-24843-10000</f>
        <v>-34843</v>
      </c>
      <c r="E4239" s="427">
        <v>-2843</v>
      </c>
      <c r="F4239" s="464">
        <v>-2843</v>
      </c>
      <c r="G4239" s="377"/>
      <c r="H4239" s="377">
        <f t="shared" si="38"/>
        <v>-40529</v>
      </c>
      <c r="I4239" s="399"/>
      <c r="J4239" s="377">
        <v>100</v>
      </c>
      <c r="K4239" s="377">
        <v>200</v>
      </c>
      <c r="L4239" s="378">
        <v>200</v>
      </c>
      <c r="M4239" s="377"/>
      <c r="N4239" s="377"/>
      <c r="O4239" s="380"/>
      <c r="P4239" s="380"/>
      <c r="Q4239" s="380"/>
    </row>
    <row r="4240" spans="1:17" x14ac:dyDescent="0.2">
      <c r="A4240" s="334" t="s">
        <v>1735</v>
      </c>
      <c r="B4240" s="380"/>
      <c r="C4240" s="380" t="s">
        <v>194</v>
      </c>
      <c r="D4240" s="427"/>
      <c r="E4240" s="427"/>
      <c r="F4240" s="464"/>
      <c r="G4240" s="377"/>
      <c r="H4240" s="377">
        <f t="shared" si="38"/>
        <v>0</v>
      </c>
      <c r="I4240" s="399"/>
      <c r="J4240" s="377">
        <v>100</v>
      </c>
      <c r="K4240" s="377">
        <v>100</v>
      </c>
      <c r="L4240" s="378">
        <v>100</v>
      </c>
      <c r="M4240" s="377"/>
      <c r="N4240" s="377"/>
      <c r="O4240" s="380"/>
      <c r="P4240" s="380"/>
      <c r="Q4240" s="380"/>
    </row>
    <row r="4241" spans="1:17" x14ac:dyDescent="0.2">
      <c r="A4241" s="334" t="s">
        <v>1741</v>
      </c>
      <c r="B4241" s="380"/>
      <c r="C4241" s="334" t="s">
        <v>1748</v>
      </c>
      <c r="D4241" s="427"/>
      <c r="E4241" s="427"/>
      <c r="F4241" s="464"/>
      <c r="G4241" s="377"/>
      <c r="H4241" s="377">
        <f t="shared" si="38"/>
        <v>0</v>
      </c>
      <c r="I4241" s="399"/>
      <c r="J4241" s="377"/>
      <c r="K4241" s="377"/>
      <c r="L4241" s="378"/>
      <c r="M4241" s="377"/>
      <c r="N4241" s="377"/>
      <c r="O4241" s="380"/>
      <c r="P4241" s="380"/>
      <c r="Q4241" s="380"/>
    </row>
    <row r="4242" spans="1:17" x14ac:dyDescent="0.2">
      <c r="A4242" s="334" t="s">
        <v>1742</v>
      </c>
      <c r="B4242" s="380"/>
      <c r="C4242" s="334" t="s">
        <v>1553</v>
      </c>
      <c r="D4242" s="427"/>
      <c r="E4242" s="427"/>
      <c r="F4242" s="464"/>
      <c r="G4242" s="377"/>
      <c r="H4242" s="377">
        <f t="shared" si="38"/>
        <v>0</v>
      </c>
      <c r="I4242" s="399"/>
      <c r="J4242" s="377"/>
      <c r="K4242" s="377"/>
      <c r="L4242" s="378"/>
      <c r="M4242" s="377"/>
      <c r="N4242" s="377"/>
      <c r="O4242" s="380"/>
      <c r="P4242" s="380"/>
      <c r="Q4242" s="380"/>
    </row>
    <row r="4243" spans="1:17" x14ac:dyDescent="0.2">
      <c r="A4243" s="334" t="s">
        <v>1584</v>
      </c>
      <c r="B4243" s="380"/>
      <c r="C4243" s="334" t="s">
        <v>0</v>
      </c>
      <c r="D4243" s="427"/>
      <c r="E4243" s="427"/>
      <c r="F4243" s="464"/>
      <c r="G4243" s="377"/>
      <c r="H4243" s="377">
        <f t="shared" si="38"/>
        <v>0</v>
      </c>
      <c r="I4243" s="399"/>
      <c r="J4243" s="377"/>
      <c r="K4243" s="377"/>
      <c r="L4243" s="378"/>
      <c r="M4243" s="377"/>
      <c r="N4243" s="377"/>
      <c r="O4243" s="380"/>
      <c r="P4243" s="380"/>
      <c r="Q4243" s="380"/>
    </row>
    <row r="4244" spans="1:17" x14ac:dyDescent="0.2">
      <c r="A4244" s="334" t="s">
        <v>1730</v>
      </c>
      <c r="B4244" s="380"/>
      <c r="C4244" s="334" t="s">
        <v>1985</v>
      </c>
      <c r="D4244" s="427">
        <v>800</v>
      </c>
      <c r="E4244" s="427">
        <v>800</v>
      </c>
      <c r="F4244" s="464">
        <v>800</v>
      </c>
      <c r="G4244" s="377"/>
      <c r="H4244" s="377">
        <f t="shared" si="38"/>
        <v>2400</v>
      </c>
      <c r="I4244" s="399"/>
      <c r="J4244" s="377">
        <v>800</v>
      </c>
      <c r="K4244" s="377">
        <v>400</v>
      </c>
      <c r="L4244" s="378">
        <v>1400</v>
      </c>
      <c r="M4244" s="377"/>
      <c r="N4244" s="377"/>
      <c r="O4244" s="380"/>
      <c r="P4244" s="380"/>
      <c r="Q4244" s="380"/>
    </row>
    <row r="4245" spans="1:17" x14ac:dyDescent="0.2">
      <c r="A4245" s="334" t="s">
        <v>1566</v>
      </c>
      <c r="B4245" s="380"/>
      <c r="C4245" s="334" t="s">
        <v>366</v>
      </c>
      <c r="D4245" s="427">
        <v>3000</v>
      </c>
      <c r="E4245" s="427"/>
      <c r="F4245" s="464"/>
      <c r="G4245" s="377"/>
      <c r="H4245" s="377">
        <f t="shared" si="38"/>
        <v>3000</v>
      </c>
      <c r="I4245" s="399"/>
      <c r="J4245" s="377">
        <v>3000</v>
      </c>
      <c r="K4245" s="377"/>
      <c r="L4245" s="378"/>
      <c r="M4245" s="377"/>
      <c r="N4245" s="377"/>
      <c r="O4245" s="380"/>
      <c r="P4245" s="380"/>
      <c r="Q4245" s="380"/>
    </row>
    <row r="4246" spans="1:17" x14ac:dyDescent="0.2">
      <c r="A4246" s="334" t="s">
        <v>1587</v>
      </c>
      <c r="B4246" s="380"/>
      <c r="C4246" s="334" t="s">
        <v>34</v>
      </c>
      <c r="D4246" s="427">
        <v>1000</v>
      </c>
      <c r="E4246" s="427"/>
      <c r="F4246" s="464"/>
      <c r="G4246" s="377"/>
      <c r="H4246" s="377">
        <f t="shared" si="38"/>
        <v>1000</v>
      </c>
      <c r="I4246" s="399"/>
      <c r="J4246" s="377">
        <v>760</v>
      </c>
      <c r="K4246" s="377">
        <v>500</v>
      </c>
      <c r="L4246" s="378">
        <v>500</v>
      </c>
      <c r="M4246" s="377"/>
      <c r="N4246" s="377"/>
      <c r="O4246" s="380"/>
      <c r="P4246" s="380"/>
      <c r="Q4246" s="380"/>
    </row>
    <row r="4247" spans="1:17" x14ac:dyDescent="0.2">
      <c r="A4247" s="334" t="s">
        <v>1903</v>
      </c>
      <c r="B4247" s="380"/>
      <c r="C4247" s="334" t="s">
        <v>35</v>
      </c>
      <c r="D4247" s="427">
        <v>12000</v>
      </c>
      <c r="E4247" s="427"/>
      <c r="F4247" s="464"/>
      <c r="G4247" s="377"/>
      <c r="H4247" s="377">
        <f t="shared" si="38"/>
        <v>12000</v>
      </c>
      <c r="I4247" s="399"/>
      <c r="J4247" s="377">
        <v>500</v>
      </c>
      <c r="K4247" s="377"/>
      <c r="L4247" s="378"/>
      <c r="M4247" s="377"/>
      <c r="N4247" s="377"/>
      <c r="O4247" s="380"/>
      <c r="P4247" s="380"/>
      <c r="Q4247" s="380"/>
    </row>
    <row r="4248" spans="1:17" x14ac:dyDescent="0.2">
      <c r="A4248" s="334" t="s">
        <v>1962</v>
      </c>
      <c r="B4248" s="380"/>
      <c r="C4248" s="380" t="s">
        <v>572</v>
      </c>
      <c r="D4248" s="427">
        <v>2000</v>
      </c>
      <c r="E4248" s="427">
        <v>2000</v>
      </c>
      <c r="F4248" s="464">
        <v>2000</v>
      </c>
      <c r="G4248" s="377"/>
      <c r="H4248" s="377">
        <f t="shared" si="38"/>
        <v>6000</v>
      </c>
      <c r="I4248" s="399"/>
      <c r="J4248" s="377">
        <v>2000</v>
      </c>
      <c r="K4248" s="377"/>
      <c r="L4248" s="378">
        <v>1900</v>
      </c>
      <c r="M4248" s="377"/>
      <c r="N4248" s="377"/>
      <c r="O4248" s="380"/>
      <c r="P4248" s="380"/>
      <c r="Q4248" s="380"/>
    </row>
    <row r="4249" spans="1:17" x14ac:dyDescent="0.2">
      <c r="A4249" s="334" t="s">
        <v>1567</v>
      </c>
      <c r="B4249" s="380"/>
      <c r="C4249" s="334" t="s">
        <v>3142</v>
      </c>
      <c r="D4249" s="427"/>
      <c r="E4249" s="427"/>
      <c r="F4249" s="464"/>
      <c r="G4249" s="377"/>
      <c r="H4249" s="377">
        <f t="shared" si="38"/>
        <v>0</v>
      </c>
      <c r="I4249" s="399"/>
      <c r="J4249" s="377"/>
      <c r="K4249" s="377"/>
      <c r="L4249" s="378"/>
      <c r="M4249" s="377"/>
      <c r="N4249" s="377"/>
      <c r="O4249" s="380"/>
      <c r="P4249" s="380"/>
      <c r="Q4249" s="380"/>
    </row>
    <row r="4250" spans="1:17" x14ac:dyDescent="0.2">
      <c r="A4250" s="334" t="s">
        <v>1662</v>
      </c>
      <c r="B4250" s="380"/>
      <c r="C4250" s="334" t="s">
        <v>24</v>
      </c>
      <c r="D4250" s="427">
        <v>15000</v>
      </c>
      <c r="E4250" s="427">
        <v>2500</v>
      </c>
      <c r="F4250" s="464">
        <v>2500</v>
      </c>
      <c r="G4250" s="377"/>
      <c r="H4250" s="377">
        <f>SUM(D4250:G4250)</f>
        <v>20000</v>
      </c>
      <c r="I4250" s="399"/>
      <c r="J4250" s="377">
        <v>15000</v>
      </c>
      <c r="K4250" s="377">
        <v>2500</v>
      </c>
      <c r="L4250" s="378">
        <v>2500</v>
      </c>
      <c r="M4250" s="377"/>
      <c r="N4250" s="377"/>
      <c r="O4250" s="380"/>
      <c r="P4250" s="380"/>
      <c r="Q4250" s="380"/>
    </row>
    <row r="4251" spans="1:17" x14ac:dyDescent="0.2">
      <c r="A4251" s="380"/>
      <c r="B4251" s="380"/>
      <c r="C4251" s="380"/>
      <c r="D4251" s="394"/>
      <c r="E4251" s="394"/>
      <c r="F4251" s="413"/>
      <c r="G4251" s="394"/>
      <c r="H4251" s="394"/>
      <c r="I4251" s="399"/>
      <c r="J4251" s="394"/>
      <c r="K4251" s="394"/>
      <c r="L4251" s="413"/>
      <c r="M4251" s="394"/>
      <c r="N4251" s="394"/>
      <c r="O4251" s="380"/>
      <c r="P4251" s="380"/>
      <c r="Q4251" s="380"/>
    </row>
    <row r="4252" spans="1:17" x14ac:dyDescent="0.2">
      <c r="A4252" s="380"/>
      <c r="B4252" s="380"/>
      <c r="C4252" s="380"/>
      <c r="D4252" s="334">
        <f t="shared" ref="D4252:H4252" si="39">SUM(D4221:D4250)</f>
        <v>89372</v>
      </c>
      <c r="E4252" s="334">
        <f t="shared" si="39"/>
        <v>11372</v>
      </c>
      <c r="F4252" s="412">
        <f t="shared" si="39"/>
        <v>11372</v>
      </c>
      <c r="G4252" s="334"/>
      <c r="H4252" s="334">
        <f t="shared" si="39"/>
        <v>112116</v>
      </c>
      <c r="I4252" s="385"/>
      <c r="J4252" s="334">
        <f t="shared" ref="J4252:L4252" si="40">SUM(J4221:J4250)</f>
        <v>93275</v>
      </c>
      <c r="K4252" s="334">
        <f t="shared" si="40"/>
        <v>16115</v>
      </c>
      <c r="L4252" s="412">
        <f t="shared" si="40"/>
        <v>19015</v>
      </c>
      <c r="M4252" s="334"/>
      <c r="N4252" s="334">
        <f t="shared" ref="N4252" si="41">SUM(N4221:N4250)</f>
        <v>0</v>
      </c>
      <c r="O4252" s="380"/>
      <c r="P4252" s="380"/>
      <c r="Q4252" s="380"/>
    </row>
    <row r="4253" spans="1:17" ht="15.75" thickTop="1" x14ac:dyDescent="0.2">
      <c r="A4253" s="380"/>
      <c r="B4253" s="380"/>
      <c r="C4253" s="380"/>
      <c r="D4253" s="395">
        <f>D4252-D4221</f>
        <v>85457</v>
      </c>
      <c r="E4253" s="395">
        <f>E4252</f>
        <v>11372</v>
      </c>
      <c r="F4253" s="401">
        <f>F4252</f>
        <v>11372</v>
      </c>
      <c r="G4253" s="395"/>
      <c r="H4253" s="395">
        <f>H4252</f>
        <v>112116</v>
      </c>
      <c r="I4253" s="399"/>
      <c r="J4253" s="395">
        <f>J4252-J4221</f>
        <v>89360</v>
      </c>
      <c r="K4253" s="395">
        <f>K4252</f>
        <v>16115</v>
      </c>
      <c r="L4253" s="401">
        <f>L4252</f>
        <v>19015</v>
      </c>
      <c r="M4253" s="395"/>
      <c r="N4253" s="395">
        <f>N4252</f>
        <v>0</v>
      </c>
      <c r="O4253" s="380"/>
      <c r="P4253" s="380"/>
      <c r="Q4253" s="380"/>
    </row>
    <row r="4254" spans="1:17" x14ac:dyDescent="0.2">
      <c r="A4254" s="334" t="s">
        <v>342</v>
      </c>
      <c r="B4254" s="380"/>
      <c r="C4254" s="334" t="s">
        <v>342</v>
      </c>
      <c r="D4254" s="380"/>
      <c r="E4254" s="380"/>
      <c r="F4254" s="378"/>
      <c r="G4254" s="380"/>
      <c r="H4254" s="380"/>
      <c r="I4254" s="382"/>
      <c r="J4254" s="380"/>
      <c r="K4254" s="380"/>
      <c r="L4254" s="378"/>
      <c r="M4254" s="380"/>
      <c r="N4254" s="380"/>
      <c r="O4254" s="380"/>
      <c r="P4254" s="380"/>
      <c r="Q4254" s="380"/>
    </row>
    <row r="4255" spans="1:17" x14ac:dyDescent="0.2">
      <c r="A4255" s="377"/>
      <c r="B4255" s="377"/>
      <c r="C4255" s="377"/>
      <c r="D4255" s="377"/>
      <c r="E4255" s="377"/>
      <c r="F4255" s="378"/>
      <c r="G4255" s="377"/>
      <c r="H4255" s="377"/>
      <c r="I4255" s="399"/>
      <c r="J4255" s="377"/>
      <c r="K4255" s="377"/>
      <c r="L4255" s="378"/>
      <c r="M4255" s="377"/>
      <c r="N4255" s="377"/>
      <c r="O4255" s="380"/>
      <c r="P4255" s="380"/>
      <c r="Q4255" s="380"/>
    </row>
    <row r="4256" spans="1:17" x14ac:dyDescent="0.2">
      <c r="A4256" s="334" t="s">
        <v>1963</v>
      </c>
      <c r="B4256" s="380"/>
      <c r="C4256" s="380"/>
      <c r="D4256" s="380"/>
      <c r="E4256" s="380"/>
      <c r="F4256" s="378"/>
      <c r="G4256" s="380"/>
      <c r="H4256" s="380"/>
      <c r="I4256" s="382"/>
      <c r="J4256" s="380"/>
      <c r="K4256" s="380"/>
      <c r="L4256" s="378"/>
      <c r="M4256" s="380"/>
      <c r="N4256" s="380"/>
      <c r="O4256" s="380"/>
      <c r="P4256" s="380"/>
      <c r="Q4256" s="380"/>
    </row>
    <row r="4257" spans="1:17" x14ac:dyDescent="0.2">
      <c r="A4257" s="334" t="s">
        <v>342</v>
      </c>
      <c r="B4257" s="380"/>
      <c r="C4257" s="384" t="s">
        <v>2180</v>
      </c>
      <c r="D4257" s="380"/>
      <c r="E4257" s="380"/>
      <c r="F4257" s="378"/>
      <c r="G4257" s="380"/>
      <c r="H4257" s="380"/>
      <c r="I4257" s="382"/>
      <c r="J4257" s="380"/>
      <c r="K4257" s="380"/>
      <c r="L4257" s="378"/>
      <c r="M4257" s="380"/>
      <c r="N4257" s="380"/>
      <c r="O4257" s="380"/>
      <c r="P4257" s="380"/>
      <c r="Q4257" s="380"/>
    </row>
    <row r="4258" spans="1:17" x14ac:dyDescent="0.2">
      <c r="A4258" s="334" t="s">
        <v>342</v>
      </c>
      <c r="B4258" s="380"/>
      <c r="C4258" s="334" t="s">
        <v>342</v>
      </c>
      <c r="D4258" s="334" t="s">
        <v>342</v>
      </c>
      <c r="E4258" s="380"/>
      <c r="F4258" s="378"/>
      <c r="G4258" s="380"/>
      <c r="H4258" s="380"/>
      <c r="I4258" s="385"/>
      <c r="J4258" s="334" t="s">
        <v>342</v>
      </c>
      <c r="K4258" s="380"/>
      <c r="L4258" s="378"/>
      <c r="M4258" s="380"/>
      <c r="N4258" s="380"/>
      <c r="O4258" s="380"/>
      <c r="P4258" s="380"/>
      <c r="Q4258" s="380"/>
    </row>
    <row r="4259" spans="1:17" x14ac:dyDescent="0.2">
      <c r="A4259" s="334" t="s">
        <v>1723</v>
      </c>
      <c r="B4259" s="380"/>
      <c r="C4259" s="334" t="s">
        <v>1880</v>
      </c>
      <c r="D4259" s="334" t="s">
        <v>181</v>
      </c>
      <c r="E4259" s="380"/>
      <c r="F4259" s="378"/>
      <c r="G4259" s="380"/>
      <c r="H4259" s="380"/>
      <c r="I4259" s="385"/>
      <c r="J4259" s="334" t="s">
        <v>181</v>
      </c>
      <c r="K4259" s="380"/>
      <c r="L4259" s="378"/>
      <c r="M4259" s="380"/>
      <c r="N4259" s="380"/>
      <c r="O4259" s="380"/>
      <c r="P4259" s="380"/>
      <c r="Q4259" s="380"/>
    </row>
    <row r="4260" spans="1:17" x14ac:dyDescent="0.2">
      <c r="A4260" s="334" t="s">
        <v>342</v>
      </c>
      <c r="B4260" s="380"/>
      <c r="C4260" s="334" t="s">
        <v>342</v>
      </c>
      <c r="D4260" s="334" t="s">
        <v>342</v>
      </c>
      <c r="E4260" s="380"/>
      <c r="F4260" s="378"/>
      <c r="G4260" s="380"/>
      <c r="H4260" s="380"/>
      <c r="I4260" s="385"/>
      <c r="J4260" s="334" t="s">
        <v>342</v>
      </c>
      <c r="K4260" s="380"/>
      <c r="L4260" s="378"/>
      <c r="M4260" s="380"/>
      <c r="N4260" s="380"/>
      <c r="O4260" s="380"/>
      <c r="P4260" s="380"/>
      <c r="Q4260" s="380"/>
    </row>
    <row r="4261" spans="1:17" x14ac:dyDescent="0.2">
      <c r="A4261" s="334" t="s">
        <v>1568</v>
      </c>
      <c r="B4261" s="380"/>
      <c r="C4261" s="380" t="s">
        <v>1817</v>
      </c>
      <c r="D4261" s="377"/>
      <c r="E4261" s="380"/>
      <c r="F4261" s="378"/>
      <c r="G4261" s="380"/>
      <c r="H4261" s="380"/>
      <c r="I4261" s="399"/>
      <c r="J4261" s="377"/>
      <c r="K4261" s="380"/>
      <c r="L4261" s="378"/>
      <c r="M4261" s="380"/>
      <c r="N4261" s="380"/>
      <c r="O4261" s="380"/>
      <c r="P4261" s="380"/>
      <c r="Q4261" s="380"/>
    </row>
    <row r="4262" spans="1:17" x14ac:dyDescent="0.2">
      <c r="A4262" s="334" t="s">
        <v>1724</v>
      </c>
      <c r="B4262" s="380"/>
      <c r="C4262" s="334" t="s">
        <v>1881</v>
      </c>
      <c r="D4262" s="377">
        <v>1050</v>
      </c>
      <c r="E4262" s="380"/>
      <c r="F4262" s="378"/>
      <c r="G4262" s="380"/>
      <c r="H4262" s="380"/>
      <c r="I4262" s="399"/>
      <c r="J4262" s="377">
        <v>1500</v>
      </c>
      <c r="K4262" s="380"/>
      <c r="L4262" s="378"/>
      <c r="M4262" s="380"/>
      <c r="N4262" s="380"/>
      <c r="O4262" s="380"/>
      <c r="P4262" s="380"/>
      <c r="Q4262" s="380"/>
    </row>
    <row r="4263" spans="1:17" x14ac:dyDescent="0.2">
      <c r="A4263" s="334" t="s">
        <v>1736</v>
      </c>
      <c r="B4263" s="380"/>
      <c r="C4263" s="334" t="s">
        <v>1747</v>
      </c>
      <c r="D4263" s="377">
        <v>2000</v>
      </c>
      <c r="E4263" s="380"/>
      <c r="F4263" s="378"/>
      <c r="G4263" s="380"/>
      <c r="H4263" s="380"/>
      <c r="I4263" s="399"/>
      <c r="J4263" s="377">
        <v>1700</v>
      </c>
      <c r="K4263" s="380"/>
      <c r="L4263" s="378"/>
      <c r="M4263" s="380"/>
      <c r="N4263" s="380"/>
      <c r="O4263" s="380"/>
      <c r="P4263" s="380"/>
      <c r="Q4263" s="380"/>
    </row>
    <row r="4264" spans="1:17" x14ac:dyDescent="0.2">
      <c r="A4264" s="334" t="s">
        <v>1744</v>
      </c>
      <c r="B4264" s="380"/>
      <c r="C4264" s="334" t="s">
        <v>1254</v>
      </c>
      <c r="D4264" s="377">
        <v>1200</v>
      </c>
      <c r="E4264" s="380"/>
      <c r="F4264" s="378"/>
      <c r="G4264" s="380"/>
      <c r="H4264" s="380"/>
      <c r="I4264" s="399"/>
      <c r="J4264" s="377">
        <v>1200</v>
      </c>
      <c r="K4264" s="380"/>
      <c r="L4264" s="378"/>
      <c r="M4264" s="380"/>
      <c r="N4264" s="380"/>
      <c r="O4264" s="380"/>
      <c r="P4264" s="380"/>
      <c r="Q4264" s="380"/>
    </row>
    <row r="4265" spans="1:17" x14ac:dyDescent="0.2">
      <c r="A4265" s="334" t="s">
        <v>1582</v>
      </c>
      <c r="B4265" s="380"/>
      <c r="C4265" s="334" t="s">
        <v>3135</v>
      </c>
      <c r="D4265" s="377">
        <v>5400</v>
      </c>
      <c r="E4265" s="380"/>
      <c r="F4265" s="378"/>
      <c r="G4265" s="380"/>
      <c r="H4265" s="380"/>
      <c r="I4265" s="399"/>
      <c r="J4265" s="377">
        <v>4100</v>
      </c>
      <c r="K4265" s="380"/>
      <c r="L4265" s="378"/>
      <c r="M4265" s="380"/>
      <c r="N4265" s="380"/>
      <c r="O4265" s="380"/>
      <c r="P4265" s="380"/>
      <c r="Q4265" s="380"/>
    </row>
    <row r="4266" spans="1:17" x14ac:dyDescent="0.2">
      <c r="A4266" s="334" t="s">
        <v>1575</v>
      </c>
      <c r="B4266" s="380"/>
      <c r="C4266" s="334" t="s">
        <v>1889</v>
      </c>
      <c r="D4266" s="377">
        <v>200</v>
      </c>
      <c r="E4266" s="380"/>
      <c r="F4266" s="378"/>
      <c r="G4266" s="380"/>
      <c r="H4266" s="380"/>
      <c r="I4266" s="399"/>
      <c r="J4266" s="377">
        <v>200</v>
      </c>
      <c r="K4266" s="380"/>
      <c r="L4266" s="378"/>
      <c r="M4266" s="380"/>
      <c r="N4266" s="380"/>
      <c r="O4266" s="380"/>
      <c r="P4266" s="380"/>
      <c r="Q4266" s="380"/>
    </row>
    <row r="4267" spans="1:17" x14ac:dyDescent="0.2">
      <c r="A4267" s="384" t="s">
        <v>1565</v>
      </c>
      <c r="B4267" s="380"/>
      <c r="C4267" s="334" t="s">
        <v>1927</v>
      </c>
      <c r="D4267" s="377">
        <v>10</v>
      </c>
      <c r="E4267" s="380"/>
      <c r="F4267" s="378"/>
      <c r="G4267" s="380"/>
      <c r="H4267" s="380"/>
      <c r="I4267" s="399"/>
      <c r="J4267" s="377">
        <v>10</v>
      </c>
      <c r="K4267" s="380"/>
      <c r="L4267" s="378"/>
      <c r="M4267" s="380"/>
      <c r="N4267" s="380"/>
      <c r="O4267" s="380"/>
      <c r="P4267" s="380"/>
      <c r="Q4267" s="380"/>
    </row>
    <row r="4268" spans="1:17" x14ac:dyDescent="0.2">
      <c r="A4268" s="334" t="s">
        <v>1737</v>
      </c>
      <c r="B4268" s="380"/>
      <c r="C4268" s="334" t="s">
        <v>1984</v>
      </c>
      <c r="D4268" s="377">
        <v>50</v>
      </c>
      <c r="E4268" s="380"/>
      <c r="F4268" s="378"/>
      <c r="G4268" s="380"/>
      <c r="H4268" s="380"/>
      <c r="I4268" s="399"/>
      <c r="J4268" s="377"/>
      <c r="K4268" s="380"/>
      <c r="L4268" s="378"/>
      <c r="M4268" s="380"/>
      <c r="N4268" s="380"/>
      <c r="O4268" s="380"/>
      <c r="P4268" s="380"/>
      <c r="Q4268" s="380"/>
    </row>
    <row r="4269" spans="1:17" x14ac:dyDescent="0.2">
      <c r="A4269" s="334" t="s">
        <v>1577</v>
      </c>
      <c r="B4269" s="380"/>
      <c r="C4269" s="334" t="s">
        <v>1815</v>
      </c>
      <c r="D4269" s="377"/>
      <c r="E4269" s="380"/>
      <c r="F4269" s="378"/>
      <c r="G4269" s="380"/>
      <c r="H4269" s="380"/>
      <c r="I4269" s="399"/>
      <c r="J4269" s="377"/>
      <c r="K4269" s="380"/>
      <c r="L4269" s="378"/>
      <c r="M4269" s="380"/>
      <c r="N4269" s="380"/>
      <c r="O4269" s="380"/>
      <c r="P4269" s="380"/>
      <c r="Q4269" s="380"/>
    </row>
    <row r="4270" spans="1:17" x14ac:dyDescent="0.2">
      <c r="A4270" s="334" t="s">
        <v>1734</v>
      </c>
      <c r="B4270" s="380"/>
      <c r="C4270" s="334" t="s">
        <v>1746</v>
      </c>
      <c r="D4270" s="377">
        <v>2700</v>
      </c>
      <c r="E4270" s="380"/>
      <c r="F4270" s="378"/>
      <c r="G4270" s="380"/>
      <c r="H4270" s="380"/>
      <c r="I4270" s="399"/>
      <c r="J4270" s="377">
        <v>2900</v>
      </c>
      <c r="K4270" s="380"/>
      <c r="L4270" s="378"/>
      <c r="M4270" s="380"/>
      <c r="N4270" s="380"/>
      <c r="O4270" s="380"/>
      <c r="P4270" s="380"/>
      <c r="Q4270" s="380"/>
    </row>
    <row r="4271" spans="1:17" x14ac:dyDescent="0.2">
      <c r="A4271" s="334" t="s">
        <v>1738</v>
      </c>
      <c r="B4271" s="380"/>
      <c r="C4271" s="334" t="s">
        <v>1591</v>
      </c>
      <c r="D4271" s="377">
        <v>240</v>
      </c>
      <c r="E4271" s="380"/>
      <c r="F4271" s="378"/>
      <c r="G4271" s="380"/>
      <c r="H4271" s="380"/>
      <c r="I4271" s="399"/>
      <c r="J4271" s="377">
        <v>240</v>
      </c>
      <c r="K4271" s="380"/>
      <c r="L4271" s="378"/>
      <c r="M4271" s="380"/>
      <c r="N4271" s="380"/>
      <c r="O4271" s="380"/>
      <c r="P4271" s="380"/>
      <c r="Q4271" s="380"/>
    </row>
    <row r="4272" spans="1:17" x14ac:dyDescent="0.2">
      <c r="A4272" s="334" t="s">
        <v>1727</v>
      </c>
      <c r="B4272" s="380"/>
      <c r="C4272" s="334" t="s">
        <v>307</v>
      </c>
      <c r="D4272" s="377">
        <v>200</v>
      </c>
      <c r="E4272" s="380"/>
      <c r="F4272" s="378"/>
      <c r="G4272" s="380"/>
      <c r="H4272" s="380"/>
      <c r="I4272" s="399"/>
      <c r="J4272" s="377">
        <v>200</v>
      </c>
      <c r="K4272" s="380"/>
      <c r="L4272" s="378"/>
      <c r="M4272" s="380"/>
      <c r="N4272" s="380"/>
      <c r="O4272" s="380"/>
      <c r="P4272" s="380"/>
      <c r="Q4272" s="380"/>
    </row>
    <row r="4273" spans="1:17" x14ac:dyDescent="0.2">
      <c r="A4273" s="334" t="s">
        <v>1728</v>
      </c>
      <c r="B4273" s="380"/>
      <c r="C4273" s="334" t="s">
        <v>310</v>
      </c>
      <c r="D4273" s="377">
        <v>150</v>
      </c>
      <c r="E4273" s="380"/>
      <c r="F4273" s="378"/>
      <c r="G4273" s="380"/>
      <c r="H4273" s="380"/>
      <c r="I4273" s="399"/>
      <c r="J4273" s="377">
        <v>150</v>
      </c>
      <c r="K4273" s="380"/>
      <c r="L4273" s="378"/>
      <c r="M4273" s="380"/>
      <c r="N4273" s="380"/>
      <c r="O4273" s="380"/>
      <c r="P4273" s="380"/>
      <c r="Q4273" s="380"/>
    </row>
    <row r="4274" spans="1:17" x14ac:dyDescent="0.2">
      <c r="A4274" s="334" t="s">
        <v>1729</v>
      </c>
      <c r="B4274" s="380"/>
      <c r="C4274" s="380" t="s">
        <v>1551</v>
      </c>
      <c r="D4274" s="377">
        <f>-3400-8000</f>
        <v>-11400</v>
      </c>
      <c r="E4274" s="380"/>
      <c r="F4274" s="378"/>
      <c r="G4274" s="380"/>
      <c r="H4274" s="380"/>
      <c r="I4274" s="399"/>
      <c r="J4274" s="377">
        <v>50</v>
      </c>
      <c r="K4274" s="380"/>
      <c r="L4274" s="378"/>
      <c r="M4274" s="380"/>
      <c r="N4274" s="380"/>
      <c r="O4274" s="380"/>
      <c r="P4274" s="380"/>
      <c r="Q4274" s="380"/>
    </row>
    <row r="4275" spans="1:17" x14ac:dyDescent="0.2">
      <c r="A4275" s="334" t="s">
        <v>1735</v>
      </c>
      <c r="B4275" s="380"/>
      <c r="C4275" s="380" t="s">
        <v>194</v>
      </c>
      <c r="D4275" s="377">
        <v>100</v>
      </c>
      <c r="E4275" s="380"/>
      <c r="F4275" s="378"/>
      <c r="G4275" s="380"/>
      <c r="H4275" s="380"/>
      <c r="I4275" s="399"/>
      <c r="J4275" s="377">
        <v>150</v>
      </c>
      <c r="K4275" s="380"/>
      <c r="L4275" s="378"/>
      <c r="M4275" s="380"/>
      <c r="N4275" s="380"/>
      <c r="O4275" s="380"/>
      <c r="P4275" s="380"/>
      <c r="Q4275" s="380"/>
    </row>
    <row r="4276" spans="1:17" x14ac:dyDescent="0.2">
      <c r="A4276" s="334" t="s">
        <v>1730</v>
      </c>
      <c r="B4276" s="380"/>
      <c r="C4276" s="334" t="s">
        <v>1985</v>
      </c>
      <c r="D4276" s="377">
        <v>600</v>
      </c>
      <c r="E4276" s="380"/>
      <c r="F4276" s="378"/>
      <c r="G4276" s="380"/>
      <c r="H4276" s="380"/>
      <c r="I4276" s="399"/>
      <c r="J4276" s="377">
        <v>800</v>
      </c>
      <c r="K4276" s="380"/>
      <c r="L4276" s="378"/>
      <c r="M4276" s="380"/>
      <c r="N4276" s="380"/>
      <c r="O4276" s="380"/>
      <c r="P4276" s="380"/>
      <c r="Q4276" s="380"/>
    </row>
    <row r="4277" spans="1:17" x14ac:dyDescent="0.2">
      <c r="A4277" s="403" t="s">
        <v>1566</v>
      </c>
      <c r="B4277" s="380"/>
      <c r="C4277" s="334" t="s">
        <v>366</v>
      </c>
      <c r="D4277" s="377">
        <v>400</v>
      </c>
      <c r="E4277" s="380"/>
      <c r="F4277" s="378"/>
      <c r="G4277" s="380"/>
      <c r="H4277" s="380"/>
      <c r="I4277" s="399"/>
      <c r="J4277" s="377">
        <v>400</v>
      </c>
      <c r="K4277" s="380"/>
      <c r="L4277" s="378"/>
      <c r="M4277" s="380"/>
      <c r="N4277" s="380"/>
      <c r="O4277" s="380"/>
      <c r="P4277" s="380"/>
      <c r="Q4277" s="380"/>
    </row>
    <row r="4278" spans="1:17" x14ac:dyDescent="0.2">
      <c r="A4278" s="384" t="s">
        <v>1962</v>
      </c>
      <c r="B4278" s="380"/>
      <c r="C4278" s="380" t="s">
        <v>572</v>
      </c>
      <c r="D4278" s="377">
        <v>2700</v>
      </c>
      <c r="E4278" s="380"/>
      <c r="F4278" s="378"/>
      <c r="G4278" s="380"/>
      <c r="H4278" s="380"/>
      <c r="I4278" s="399"/>
      <c r="J4278" s="377">
        <v>2400</v>
      </c>
      <c r="K4278" s="380"/>
      <c r="L4278" s="378"/>
      <c r="M4278" s="380"/>
      <c r="N4278" s="380"/>
      <c r="O4278" s="380"/>
      <c r="P4278" s="380"/>
      <c r="Q4278" s="380"/>
    </row>
    <row r="4279" spans="1:17" x14ac:dyDescent="0.2">
      <c r="A4279" s="334" t="s">
        <v>342</v>
      </c>
      <c r="B4279" s="380"/>
      <c r="C4279" s="334" t="s">
        <v>342</v>
      </c>
      <c r="D4279" s="410" t="s">
        <v>342</v>
      </c>
      <c r="E4279" s="380"/>
      <c r="F4279" s="378"/>
      <c r="G4279" s="380"/>
      <c r="H4279" s="380"/>
      <c r="I4279" s="385"/>
      <c r="J4279" s="410" t="s">
        <v>342</v>
      </c>
      <c r="K4279" s="380"/>
      <c r="L4279" s="378"/>
      <c r="M4279" s="380"/>
      <c r="N4279" s="380"/>
      <c r="O4279" s="380"/>
      <c r="P4279" s="380"/>
      <c r="Q4279" s="380"/>
    </row>
    <row r="4280" spans="1:17" x14ac:dyDescent="0.2">
      <c r="A4280" s="334" t="s">
        <v>342</v>
      </c>
      <c r="B4280" s="380"/>
      <c r="C4280" s="334" t="s">
        <v>342</v>
      </c>
      <c r="D4280" s="334">
        <f>SUM(D4261:D4278)</f>
        <v>5600</v>
      </c>
      <c r="E4280" s="380"/>
      <c r="F4280" s="378"/>
      <c r="G4280" s="380"/>
      <c r="H4280" s="380"/>
      <c r="I4280" s="385"/>
      <c r="J4280" s="334">
        <f>SUM(J4261:J4278)</f>
        <v>16000</v>
      </c>
      <c r="K4280" s="380"/>
      <c r="L4280" s="378"/>
      <c r="M4280" s="380"/>
      <c r="N4280" s="380"/>
      <c r="O4280" s="380"/>
      <c r="P4280" s="380"/>
      <c r="Q4280" s="380"/>
    </row>
    <row r="4281" spans="1:17" ht="15.75" thickTop="1" x14ac:dyDescent="0.2">
      <c r="A4281" s="334" t="s">
        <v>342</v>
      </c>
      <c r="B4281" s="380"/>
      <c r="C4281" s="334" t="s">
        <v>342</v>
      </c>
      <c r="D4281" s="400">
        <f>D4280-D4261</f>
        <v>5600</v>
      </c>
      <c r="E4281" s="380"/>
      <c r="F4281" s="378"/>
      <c r="G4281" s="380"/>
      <c r="H4281" s="380"/>
      <c r="I4281" s="385"/>
      <c r="J4281" s="400">
        <f>J4280-J4261</f>
        <v>16000</v>
      </c>
      <c r="K4281" s="380"/>
      <c r="L4281" s="378"/>
      <c r="M4281" s="380"/>
      <c r="N4281" s="380"/>
      <c r="O4281" s="380"/>
      <c r="P4281" s="380"/>
      <c r="Q4281" s="380"/>
    </row>
    <row r="4282" spans="1:17" x14ac:dyDescent="0.2">
      <c r="A4282" s="334" t="s">
        <v>342</v>
      </c>
      <c r="B4282" s="380"/>
      <c r="C4282" s="334" t="s">
        <v>342</v>
      </c>
      <c r="D4282" s="334" t="s">
        <v>342</v>
      </c>
      <c r="E4282" s="380"/>
      <c r="F4282" s="378"/>
      <c r="G4282" s="380"/>
      <c r="H4282" s="380"/>
      <c r="I4282" s="385"/>
      <c r="J4282" s="334" t="s">
        <v>342</v>
      </c>
      <c r="K4282" s="380"/>
      <c r="L4282" s="378"/>
      <c r="M4282" s="380"/>
      <c r="N4282" s="380"/>
      <c r="O4282" s="380"/>
      <c r="P4282" s="380"/>
      <c r="Q4282" s="380"/>
    </row>
    <row r="4283" spans="1:17" x14ac:dyDescent="0.2">
      <c r="A4283" s="377"/>
      <c r="B4283" s="377"/>
      <c r="C4283" s="377"/>
      <c r="D4283" s="377"/>
      <c r="E4283" s="377"/>
      <c r="F4283" s="378"/>
      <c r="G4283" s="377"/>
      <c r="H4283" s="377"/>
      <c r="I4283" s="399"/>
      <c r="J4283" s="377"/>
      <c r="K4283" s="377"/>
      <c r="L4283" s="378"/>
      <c r="M4283" s="377"/>
      <c r="N4283" s="377"/>
      <c r="O4283" s="380"/>
      <c r="P4283" s="380"/>
      <c r="Q4283" s="380"/>
    </row>
    <row r="4284" spans="1:17" x14ac:dyDescent="0.2">
      <c r="A4284" s="334" t="s">
        <v>1964</v>
      </c>
      <c r="B4284" s="380"/>
      <c r="C4284" s="380"/>
      <c r="D4284" s="380"/>
      <c r="E4284" s="380"/>
      <c r="F4284" s="378"/>
      <c r="G4284" s="380"/>
      <c r="H4284" s="380"/>
      <c r="I4284" s="382"/>
      <c r="J4284" s="380"/>
      <c r="K4284" s="380"/>
      <c r="L4284" s="378"/>
      <c r="M4284" s="380"/>
      <c r="N4284" s="380"/>
      <c r="O4284" s="380"/>
      <c r="P4284" s="380"/>
      <c r="Q4284" s="380"/>
    </row>
    <row r="4285" spans="1:17" x14ac:dyDescent="0.2">
      <c r="A4285" s="334" t="s">
        <v>342</v>
      </c>
      <c r="B4285" s="380"/>
      <c r="C4285" s="384" t="s">
        <v>2066</v>
      </c>
      <c r="D4285" s="380"/>
      <c r="E4285" s="380"/>
      <c r="F4285" s="378"/>
      <c r="G4285" s="380"/>
      <c r="H4285" s="380"/>
      <c r="I4285" s="382"/>
      <c r="J4285" s="380"/>
      <c r="K4285" s="380"/>
      <c r="L4285" s="378"/>
      <c r="M4285" s="380"/>
      <c r="N4285" s="380"/>
      <c r="O4285" s="380"/>
      <c r="P4285" s="380"/>
      <c r="Q4285" s="380"/>
    </row>
    <row r="4286" spans="1:17" x14ac:dyDescent="0.2">
      <c r="A4286" s="334" t="s">
        <v>342</v>
      </c>
      <c r="B4286" s="380"/>
      <c r="C4286" s="334" t="s">
        <v>342</v>
      </c>
      <c r="D4286" s="334" t="s">
        <v>342</v>
      </c>
      <c r="E4286" s="380"/>
      <c r="F4286" s="378"/>
      <c r="G4286" s="380"/>
      <c r="H4286" s="380"/>
      <c r="I4286" s="385"/>
      <c r="J4286" s="334" t="s">
        <v>342</v>
      </c>
      <c r="K4286" s="380"/>
      <c r="L4286" s="378"/>
      <c r="M4286" s="380"/>
      <c r="N4286" s="380"/>
      <c r="O4286" s="380"/>
      <c r="P4286" s="380"/>
      <c r="Q4286" s="380"/>
    </row>
    <row r="4287" spans="1:17" x14ac:dyDescent="0.2">
      <c r="A4287" s="334" t="s">
        <v>1723</v>
      </c>
      <c r="B4287" s="380"/>
      <c r="C4287" s="334" t="s">
        <v>1880</v>
      </c>
      <c r="D4287" s="334" t="s">
        <v>181</v>
      </c>
      <c r="E4287" s="380"/>
      <c r="F4287" s="378"/>
      <c r="G4287" s="380"/>
      <c r="H4287" s="380"/>
      <c r="I4287" s="385"/>
      <c r="J4287" s="334" t="s">
        <v>181</v>
      </c>
      <c r="K4287" s="380"/>
      <c r="L4287" s="378"/>
      <c r="M4287" s="380"/>
      <c r="N4287" s="380"/>
      <c r="O4287" s="380"/>
      <c r="P4287" s="380"/>
      <c r="Q4287" s="380"/>
    </row>
    <row r="4288" spans="1:17" x14ac:dyDescent="0.2">
      <c r="A4288" s="380"/>
      <c r="B4288" s="380"/>
      <c r="C4288" s="380"/>
      <c r="D4288" s="380"/>
      <c r="E4288" s="380"/>
      <c r="F4288" s="378"/>
      <c r="G4288" s="380"/>
      <c r="H4288" s="380"/>
      <c r="I4288" s="382"/>
      <c r="J4288" s="380"/>
      <c r="K4288" s="380"/>
      <c r="L4288" s="378"/>
      <c r="M4288" s="380"/>
      <c r="N4288" s="380"/>
      <c r="O4288" s="380"/>
      <c r="P4288" s="380"/>
      <c r="Q4288" s="380"/>
    </row>
    <row r="4289" spans="1:17" x14ac:dyDescent="0.2">
      <c r="A4289" s="334" t="s">
        <v>1568</v>
      </c>
      <c r="B4289" s="380"/>
      <c r="C4289" s="380" t="s">
        <v>1817</v>
      </c>
      <c r="D4289" s="377"/>
      <c r="E4289" s="380"/>
      <c r="F4289" s="378"/>
      <c r="G4289" s="380"/>
      <c r="H4289" s="380"/>
      <c r="I4289" s="399"/>
      <c r="J4289" s="377"/>
      <c r="K4289" s="380"/>
      <c r="L4289" s="378"/>
      <c r="M4289" s="380"/>
      <c r="N4289" s="380"/>
      <c r="O4289" s="380"/>
      <c r="P4289" s="380"/>
      <c r="Q4289" s="380"/>
    </row>
    <row r="4290" spans="1:17" x14ac:dyDescent="0.2">
      <c r="A4290" s="334" t="s">
        <v>1724</v>
      </c>
      <c r="B4290" s="380"/>
      <c r="C4290" s="334" t="s">
        <v>1881</v>
      </c>
      <c r="D4290" s="377"/>
      <c r="E4290" s="380"/>
      <c r="F4290" s="378"/>
      <c r="G4290" s="380"/>
      <c r="H4290" s="380"/>
      <c r="I4290" s="399"/>
      <c r="J4290" s="377"/>
      <c r="K4290" s="380"/>
      <c r="L4290" s="378"/>
      <c r="M4290" s="380"/>
      <c r="N4290" s="380"/>
      <c r="O4290" s="380"/>
      <c r="P4290" s="380"/>
      <c r="Q4290" s="380"/>
    </row>
    <row r="4291" spans="1:17" x14ac:dyDescent="0.2">
      <c r="A4291" s="334" t="s">
        <v>1736</v>
      </c>
      <c r="B4291" s="380"/>
      <c r="C4291" s="334" t="s">
        <v>1747</v>
      </c>
      <c r="D4291" s="377"/>
      <c r="E4291" s="380"/>
      <c r="F4291" s="378"/>
      <c r="G4291" s="380"/>
      <c r="H4291" s="380"/>
      <c r="I4291" s="399"/>
      <c r="J4291" s="377"/>
      <c r="K4291" s="380"/>
      <c r="L4291" s="378"/>
      <c r="M4291" s="380"/>
      <c r="N4291" s="380"/>
      <c r="O4291" s="380"/>
      <c r="P4291" s="380"/>
      <c r="Q4291" s="380"/>
    </row>
    <row r="4292" spans="1:17" x14ac:dyDescent="0.2">
      <c r="A4292" s="334" t="s">
        <v>1744</v>
      </c>
      <c r="B4292" s="380"/>
      <c r="C4292" s="334" t="s">
        <v>1254</v>
      </c>
      <c r="D4292" s="377"/>
      <c r="E4292" s="380"/>
      <c r="F4292" s="378"/>
      <c r="G4292" s="380"/>
      <c r="H4292" s="380"/>
      <c r="I4292" s="399"/>
      <c r="J4292" s="377"/>
      <c r="K4292" s="380"/>
      <c r="L4292" s="378"/>
      <c r="M4292" s="380"/>
      <c r="N4292" s="380"/>
      <c r="O4292" s="380"/>
      <c r="P4292" s="380"/>
      <c r="Q4292" s="380"/>
    </row>
    <row r="4293" spans="1:17" x14ac:dyDescent="0.2">
      <c r="A4293" s="334" t="s">
        <v>1582</v>
      </c>
      <c r="B4293" s="380"/>
      <c r="C4293" s="334" t="s">
        <v>3135</v>
      </c>
      <c r="D4293" s="377"/>
      <c r="E4293" s="380"/>
      <c r="F4293" s="378"/>
      <c r="G4293" s="380"/>
      <c r="H4293" s="380"/>
      <c r="I4293" s="399"/>
      <c r="J4293" s="377"/>
      <c r="K4293" s="380"/>
      <c r="L4293" s="378"/>
      <c r="M4293" s="380"/>
      <c r="N4293" s="380"/>
      <c r="O4293" s="380"/>
      <c r="P4293" s="380"/>
      <c r="Q4293" s="380"/>
    </row>
    <row r="4294" spans="1:17" x14ac:dyDescent="0.2">
      <c r="A4294" s="334" t="s">
        <v>1575</v>
      </c>
      <c r="B4294" s="380"/>
      <c r="C4294" s="334" t="s">
        <v>1889</v>
      </c>
      <c r="D4294" s="377"/>
      <c r="E4294" s="380"/>
      <c r="F4294" s="378"/>
      <c r="G4294" s="380"/>
      <c r="H4294" s="380"/>
      <c r="I4294" s="399"/>
      <c r="J4294" s="377"/>
      <c r="K4294" s="380"/>
      <c r="L4294" s="378"/>
      <c r="M4294" s="380"/>
      <c r="N4294" s="380"/>
      <c r="O4294" s="380"/>
      <c r="P4294" s="380"/>
      <c r="Q4294" s="380"/>
    </row>
    <row r="4295" spans="1:17" x14ac:dyDescent="0.2">
      <c r="A4295" s="334" t="s">
        <v>1725</v>
      </c>
      <c r="B4295" s="380"/>
      <c r="C4295" s="334" t="s">
        <v>1890</v>
      </c>
      <c r="D4295" s="377"/>
      <c r="E4295" s="380"/>
      <c r="F4295" s="378"/>
      <c r="G4295" s="380"/>
      <c r="H4295" s="380"/>
      <c r="I4295" s="399"/>
      <c r="J4295" s="377"/>
      <c r="K4295" s="380"/>
      <c r="L4295" s="378"/>
      <c r="M4295" s="380"/>
      <c r="N4295" s="380"/>
      <c r="O4295" s="380"/>
      <c r="P4295" s="380"/>
      <c r="Q4295" s="380"/>
    </row>
    <row r="4296" spans="1:17" x14ac:dyDescent="0.2">
      <c r="A4296" s="334" t="s">
        <v>1737</v>
      </c>
      <c r="B4296" s="380"/>
      <c r="C4296" s="334" t="s">
        <v>1984</v>
      </c>
      <c r="D4296" s="377"/>
      <c r="E4296" s="380"/>
      <c r="F4296" s="378"/>
      <c r="G4296" s="380"/>
      <c r="H4296" s="380"/>
      <c r="I4296" s="399"/>
      <c r="J4296" s="377"/>
      <c r="K4296" s="380"/>
      <c r="L4296" s="378"/>
      <c r="M4296" s="380"/>
      <c r="N4296" s="380"/>
      <c r="O4296" s="380"/>
      <c r="P4296" s="380"/>
      <c r="Q4296" s="380"/>
    </row>
    <row r="4297" spans="1:17" x14ac:dyDescent="0.2">
      <c r="A4297" s="334" t="s">
        <v>1577</v>
      </c>
      <c r="B4297" s="380"/>
      <c r="C4297" s="334" t="s">
        <v>1815</v>
      </c>
      <c r="D4297" s="377"/>
      <c r="E4297" s="380"/>
      <c r="F4297" s="378"/>
      <c r="G4297" s="380"/>
      <c r="H4297" s="380"/>
      <c r="I4297" s="399"/>
      <c r="J4297" s="377"/>
      <c r="K4297" s="380"/>
      <c r="L4297" s="378"/>
      <c r="M4297" s="380"/>
      <c r="N4297" s="380"/>
      <c r="O4297" s="380"/>
      <c r="P4297" s="380"/>
      <c r="Q4297" s="380"/>
    </row>
    <row r="4298" spans="1:17" x14ac:dyDescent="0.2">
      <c r="A4298" s="334" t="s">
        <v>1734</v>
      </c>
      <c r="B4298" s="380"/>
      <c r="C4298" s="334" t="s">
        <v>1746</v>
      </c>
      <c r="D4298" s="377"/>
      <c r="E4298" s="380"/>
      <c r="F4298" s="378"/>
      <c r="G4298" s="380"/>
      <c r="H4298" s="380"/>
      <c r="I4298" s="399"/>
      <c r="J4298" s="377"/>
      <c r="K4298" s="380"/>
      <c r="L4298" s="378"/>
      <c r="M4298" s="380"/>
      <c r="N4298" s="380"/>
      <c r="O4298" s="380"/>
      <c r="P4298" s="380"/>
      <c r="Q4298" s="380"/>
    </row>
    <row r="4299" spans="1:17" x14ac:dyDescent="0.2">
      <c r="A4299" s="334" t="s">
        <v>1738</v>
      </c>
      <c r="B4299" s="380"/>
      <c r="C4299" s="334" t="s">
        <v>1591</v>
      </c>
      <c r="D4299" s="377"/>
      <c r="E4299" s="380"/>
      <c r="F4299" s="378"/>
      <c r="G4299" s="380"/>
      <c r="H4299" s="380"/>
      <c r="I4299" s="399"/>
      <c r="J4299" s="377"/>
      <c r="K4299" s="380"/>
      <c r="L4299" s="378"/>
      <c r="M4299" s="380"/>
      <c r="N4299" s="380"/>
      <c r="O4299" s="380"/>
      <c r="P4299" s="380"/>
      <c r="Q4299" s="380"/>
    </row>
    <row r="4300" spans="1:17" x14ac:dyDescent="0.2">
      <c r="A4300" s="334" t="s">
        <v>1727</v>
      </c>
      <c r="B4300" s="380"/>
      <c r="C4300" s="334" t="s">
        <v>307</v>
      </c>
      <c r="D4300" s="377"/>
      <c r="E4300" s="380"/>
      <c r="F4300" s="378"/>
      <c r="G4300" s="380"/>
      <c r="H4300" s="380"/>
      <c r="I4300" s="399"/>
      <c r="J4300" s="377"/>
      <c r="K4300" s="380"/>
      <c r="L4300" s="378"/>
      <c r="M4300" s="380"/>
      <c r="N4300" s="380"/>
      <c r="O4300" s="380"/>
      <c r="P4300" s="380"/>
      <c r="Q4300" s="380"/>
    </row>
    <row r="4301" spans="1:17" x14ac:dyDescent="0.2">
      <c r="A4301" s="334" t="s">
        <v>1728</v>
      </c>
      <c r="B4301" s="380"/>
      <c r="C4301" s="334" t="s">
        <v>310</v>
      </c>
      <c r="D4301" s="377"/>
      <c r="E4301" s="380"/>
      <c r="F4301" s="378"/>
      <c r="G4301" s="380"/>
      <c r="H4301" s="380"/>
      <c r="I4301" s="399"/>
      <c r="J4301" s="377"/>
      <c r="K4301" s="380"/>
      <c r="L4301" s="378"/>
      <c r="M4301" s="380"/>
      <c r="N4301" s="380"/>
      <c r="O4301" s="380"/>
      <c r="P4301" s="380"/>
      <c r="Q4301" s="380"/>
    </row>
    <row r="4302" spans="1:17" x14ac:dyDescent="0.2">
      <c r="A4302" s="334" t="s">
        <v>1729</v>
      </c>
      <c r="B4302" s="380"/>
      <c r="C4302" s="380" t="s">
        <v>1551</v>
      </c>
      <c r="D4302" s="377"/>
      <c r="E4302" s="380"/>
      <c r="F4302" s="378"/>
      <c r="G4302" s="380"/>
      <c r="H4302" s="380"/>
      <c r="I4302" s="399"/>
      <c r="J4302" s="377"/>
      <c r="K4302" s="380"/>
      <c r="L4302" s="378"/>
      <c r="M4302" s="380"/>
      <c r="N4302" s="380"/>
      <c r="O4302" s="380"/>
      <c r="P4302" s="380"/>
      <c r="Q4302" s="380"/>
    </row>
    <row r="4303" spans="1:17" x14ac:dyDescent="0.2">
      <c r="A4303" s="334" t="s">
        <v>1735</v>
      </c>
      <c r="B4303" s="380"/>
      <c r="C4303" s="380" t="s">
        <v>194</v>
      </c>
      <c r="D4303" s="377"/>
      <c r="E4303" s="380"/>
      <c r="F4303" s="378"/>
      <c r="G4303" s="380"/>
      <c r="H4303" s="380"/>
      <c r="I4303" s="399"/>
      <c r="J4303" s="377"/>
      <c r="K4303" s="380"/>
      <c r="L4303" s="378"/>
      <c r="M4303" s="380"/>
      <c r="N4303" s="380"/>
      <c r="O4303" s="380"/>
      <c r="P4303" s="380"/>
      <c r="Q4303" s="380"/>
    </row>
    <row r="4304" spans="1:17" x14ac:dyDescent="0.2">
      <c r="A4304" s="334" t="s">
        <v>1730</v>
      </c>
      <c r="B4304" s="380"/>
      <c r="C4304" s="334" t="s">
        <v>1985</v>
      </c>
      <c r="D4304" s="377"/>
      <c r="E4304" s="380"/>
      <c r="F4304" s="378"/>
      <c r="G4304" s="380"/>
      <c r="H4304" s="380"/>
      <c r="I4304" s="399"/>
      <c r="J4304" s="377"/>
      <c r="K4304" s="380"/>
      <c r="L4304" s="378"/>
      <c r="M4304" s="380"/>
      <c r="N4304" s="380"/>
      <c r="O4304" s="380"/>
      <c r="P4304" s="380"/>
      <c r="Q4304" s="380"/>
    </row>
    <row r="4305" spans="1:17" x14ac:dyDescent="0.2">
      <c r="A4305" s="334" t="s">
        <v>1567</v>
      </c>
      <c r="B4305" s="380"/>
      <c r="C4305" s="334" t="s">
        <v>3142</v>
      </c>
      <c r="D4305" s="334"/>
      <c r="E4305" s="380"/>
      <c r="F4305" s="378"/>
      <c r="G4305" s="380"/>
      <c r="H4305" s="380"/>
      <c r="I4305" s="385"/>
      <c r="J4305" s="334"/>
      <c r="K4305" s="380"/>
      <c r="L4305" s="378"/>
      <c r="M4305" s="380"/>
      <c r="N4305" s="380"/>
      <c r="O4305" s="380"/>
      <c r="P4305" s="380"/>
      <c r="Q4305" s="380"/>
    </row>
    <row r="4306" spans="1:17" x14ac:dyDescent="0.2">
      <c r="A4306" s="334" t="s">
        <v>342</v>
      </c>
      <c r="B4306" s="380"/>
      <c r="C4306" s="334" t="s">
        <v>342</v>
      </c>
      <c r="D4306" s="410" t="s">
        <v>342</v>
      </c>
      <c r="E4306" s="380"/>
      <c r="F4306" s="378"/>
      <c r="G4306" s="380"/>
      <c r="H4306" s="380"/>
      <c r="I4306" s="385"/>
      <c r="J4306" s="410" t="s">
        <v>342</v>
      </c>
      <c r="K4306" s="380"/>
      <c r="L4306" s="378"/>
      <c r="M4306" s="380"/>
      <c r="N4306" s="380"/>
      <c r="O4306" s="380"/>
      <c r="P4306" s="380"/>
      <c r="Q4306" s="380"/>
    </row>
    <row r="4307" spans="1:17" x14ac:dyDescent="0.2">
      <c r="A4307" s="334" t="s">
        <v>342</v>
      </c>
      <c r="B4307" s="380"/>
      <c r="C4307" s="334" t="s">
        <v>342</v>
      </c>
      <c r="D4307" s="334">
        <f>SUM(D4289:D4305)</f>
        <v>0</v>
      </c>
      <c r="E4307" s="380"/>
      <c r="F4307" s="378"/>
      <c r="G4307" s="380"/>
      <c r="H4307" s="380"/>
      <c r="I4307" s="385"/>
      <c r="J4307" s="334">
        <f>SUM(J4289:J4305)</f>
        <v>0</v>
      </c>
      <c r="K4307" s="380"/>
      <c r="L4307" s="378"/>
      <c r="M4307" s="380"/>
      <c r="N4307" s="380"/>
      <c r="O4307" s="380"/>
      <c r="P4307" s="380"/>
      <c r="Q4307" s="380"/>
    </row>
    <row r="4308" spans="1:17" ht="15.75" thickTop="1" x14ac:dyDescent="0.2">
      <c r="A4308" s="380"/>
      <c r="B4308" s="380"/>
      <c r="C4308" s="380"/>
      <c r="D4308" s="395">
        <f>D4307-D4289</f>
        <v>0</v>
      </c>
      <c r="E4308" s="380"/>
      <c r="F4308" s="378"/>
      <c r="G4308" s="380"/>
      <c r="H4308" s="380"/>
      <c r="I4308" s="399"/>
      <c r="J4308" s="395">
        <f>J4307-J4289</f>
        <v>0</v>
      </c>
      <c r="K4308" s="380"/>
      <c r="L4308" s="378"/>
      <c r="M4308" s="380"/>
      <c r="N4308" s="380"/>
      <c r="O4308" s="380"/>
      <c r="P4308" s="380"/>
      <c r="Q4308" s="380"/>
    </row>
    <row r="4309" spans="1:17" x14ac:dyDescent="0.2">
      <c r="A4309" s="380"/>
      <c r="B4309" s="380"/>
      <c r="C4309" s="380"/>
      <c r="D4309" s="380"/>
      <c r="E4309" s="380"/>
      <c r="F4309" s="378"/>
      <c r="G4309" s="380"/>
      <c r="H4309" s="380"/>
      <c r="I4309" s="382"/>
      <c r="J4309" s="380"/>
      <c r="K4309" s="380"/>
      <c r="L4309" s="378"/>
      <c r="M4309" s="380"/>
      <c r="N4309" s="380"/>
      <c r="O4309" s="380"/>
      <c r="P4309" s="380"/>
      <c r="Q4309" s="380"/>
    </row>
    <row r="4310" spans="1:17" x14ac:dyDescent="0.2">
      <c r="A4310" s="377"/>
      <c r="B4310" s="377"/>
      <c r="C4310" s="377"/>
      <c r="D4310" s="377"/>
      <c r="E4310" s="377"/>
      <c r="F4310" s="378"/>
      <c r="G4310" s="377"/>
      <c r="H4310" s="377"/>
      <c r="I4310" s="399"/>
      <c r="J4310" s="377"/>
      <c r="K4310" s="377"/>
      <c r="L4310" s="378"/>
      <c r="M4310" s="377"/>
      <c r="N4310" s="377"/>
      <c r="O4310" s="380"/>
      <c r="P4310" s="380"/>
      <c r="Q4310" s="380"/>
    </row>
    <row r="4311" spans="1:17" x14ac:dyDescent="0.2">
      <c r="A4311" s="334" t="s">
        <v>1965</v>
      </c>
      <c r="B4311" s="380"/>
      <c r="C4311" s="380"/>
      <c r="D4311" s="380"/>
      <c r="E4311" s="380"/>
      <c r="F4311" s="378"/>
      <c r="G4311" s="380"/>
      <c r="H4311" s="380"/>
      <c r="I4311" s="382"/>
      <c r="J4311" s="380"/>
      <c r="K4311" s="380"/>
      <c r="L4311" s="378"/>
      <c r="M4311" s="380"/>
      <c r="N4311" s="380"/>
      <c r="O4311" s="380"/>
      <c r="P4311" s="380"/>
      <c r="Q4311" s="380"/>
    </row>
    <row r="4312" spans="1:17" x14ac:dyDescent="0.2">
      <c r="A4312" s="334" t="s">
        <v>342</v>
      </c>
      <c r="B4312" s="380"/>
      <c r="C4312" s="384"/>
      <c r="D4312" s="380"/>
      <c r="E4312" s="380"/>
      <c r="F4312" s="378"/>
      <c r="G4312" s="380"/>
      <c r="H4312" s="380"/>
      <c r="I4312" s="382"/>
      <c r="J4312" s="380"/>
      <c r="K4312" s="380"/>
      <c r="L4312" s="378"/>
      <c r="M4312" s="380"/>
      <c r="N4312" s="380"/>
      <c r="O4312" s="380"/>
      <c r="P4312" s="380"/>
      <c r="Q4312" s="380"/>
    </row>
    <row r="4313" spans="1:17" x14ac:dyDescent="0.2">
      <c r="A4313" s="334" t="s">
        <v>342</v>
      </c>
      <c r="B4313" s="380"/>
      <c r="C4313" s="334" t="s">
        <v>342</v>
      </c>
      <c r="D4313" s="384" t="s">
        <v>2803</v>
      </c>
      <c r="E4313" s="380"/>
      <c r="F4313" s="378"/>
      <c r="G4313" s="380"/>
      <c r="H4313" s="380"/>
      <c r="I4313" s="385"/>
      <c r="J4313" s="384" t="s">
        <v>2803</v>
      </c>
      <c r="K4313" s="380"/>
      <c r="L4313" s="378"/>
      <c r="M4313" s="380"/>
      <c r="N4313" s="380"/>
      <c r="O4313" s="380"/>
      <c r="P4313" s="380"/>
      <c r="Q4313" s="380"/>
    </row>
    <row r="4314" spans="1:17" x14ac:dyDescent="0.2">
      <c r="A4314" s="334" t="s">
        <v>1723</v>
      </c>
      <c r="B4314" s="380"/>
      <c r="C4314" s="334" t="s">
        <v>1880</v>
      </c>
      <c r="D4314" s="334" t="s">
        <v>181</v>
      </c>
      <c r="E4314" s="380"/>
      <c r="F4314" s="378"/>
      <c r="G4314" s="380"/>
      <c r="H4314" s="380"/>
      <c r="I4314" s="385"/>
      <c r="J4314" s="334" t="s">
        <v>181</v>
      </c>
      <c r="K4314" s="380"/>
      <c r="L4314" s="378"/>
      <c r="M4314" s="380"/>
      <c r="N4314" s="380"/>
      <c r="O4314" s="380"/>
      <c r="P4314" s="380"/>
      <c r="Q4314" s="380"/>
    </row>
    <row r="4315" spans="1:17" x14ac:dyDescent="0.2">
      <c r="A4315" s="380"/>
      <c r="B4315" s="380"/>
      <c r="C4315" s="380"/>
      <c r="D4315" s="380"/>
      <c r="E4315" s="380"/>
      <c r="F4315" s="378"/>
      <c r="G4315" s="380"/>
      <c r="H4315" s="380"/>
      <c r="I4315" s="382"/>
      <c r="J4315" s="380"/>
      <c r="K4315" s="380"/>
      <c r="L4315" s="378"/>
      <c r="M4315" s="380"/>
      <c r="N4315" s="380"/>
      <c r="O4315" s="380"/>
      <c r="P4315" s="380"/>
      <c r="Q4315" s="380"/>
    </row>
    <row r="4316" spans="1:17" x14ac:dyDescent="0.2">
      <c r="A4316" s="334" t="s">
        <v>1758</v>
      </c>
      <c r="B4316" s="380"/>
      <c r="C4316" s="334" t="s">
        <v>1987</v>
      </c>
      <c r="D4316" s="377"/>
      <c r="E4316" s="380"/>
      <c r="F4316" s="378"/>
      <c r="G4316" s="380"/>
      <c r="H4316" s="380"/>
      <c r="I4316" s="399"/>
      <c r="J4316" s="377"/>
      <c r="K4316" s="380"/>
      <c r="L4316" s="378"/>
      <c r="M4316" s="380"/>
      <c r="N4316" s="380"/>
      <c r="O4316" s="380"/>
      <c r="P4316" s="380"/>
      <c r="Q4316" s="380"/>
    </row>
    <row r="4317" spans="1:17" x14ac:dyDescent="0.2">
      <c r="A4317" s="334" t="s">
        <v>1827</v>
      </c>
      <c r="B4317" s="380"/>
      <c r="C4317" s="334" t="s">
        <v>10</v>
      </c>
      <c r="D4317" s="377"/>
      <c r="E4317" s="380"/>
      <c r="F4317" s="378"/>
      <c r="G4317" s="380"/>
      <c r="H4317" s="380"/>
      <c r="I4317" s="399"/>
      <c r="J4317" s="377"/>
      <c r="K4317" s="380"/>
      <c r="L4317" s="378"/>
      <c r="M4317" s="380"/>
      <c r="N4317" s="380"/>
      <c r="O4317" s="380"/>
      <c r="P4317" s="380"/>
      <c r="Q4317" s="380"/>
    </row>
    <row r="4318" spans="1:17" x14ac:dyDescent="0.2">
      <c r="A4318" s="334" t="s">
        <v>1733</v>
      </c>
      <c r="B4318" s="380"/>
      <c r="C4318" s="334" t="s">
        <v>27</v>
      </c>
      <c r="D4318" s="377"/>
      <c r="E4318" s="380"/>
      <c r="F4318" s="378"/>
      <c r="G4318" s="380"/>
      <c r="H4318" s="380"/>
      <c r="I4318" s="399"/>
      <c r="J4318" s="377"/>
      <c r="K4318" s="380"/>
      <c r="L4318" s="378"/>
      <c r="M4318" s="380"/>
      <c r="N4318" s="380"/>
      <c r="O4318" s="380"/>
      <c r="P4318" s="380"/>
      <c r="Q4318" s="380"/>
    </row>
    <row r="4319" spans="1:17" x14ac:dyDescent="0.2">
      <c r="A4319" s="334" t="s">
        <v>1743</v>
      </c>
      <c r="B4319" s="380"/>
      <c r="C4319" s="334" t="s">
        <v>1886</v>
      </c>
      <c r="D4319" s="377"/>
      <c r="E4319" s="380"/>
      <c r="F4319" s="378"/>
      <c r="G4319" s="380"/>
      <c r="H4319" s="380"/>
      <c r="I4319" s="399"/>
      <c r="J4319" s="377"/>
      <c r="K4319" s="380"/>
      <c r="L4319" s="378"/>
      <c r="M4319" s="380"/>
      <c r="N4319" s="380"/>
      <c r="O4319" s="380"/>
      <c r="P4319" s="380"/>
      <c r="Q4319" s="380"/>
    </row>
    <row r="4320" spans="1:17" x14ac:dyDescent="0.2">
      <c r="A4320" s="334" t="s">
        <v>1966</v>
      </c>
      <c r="B4320" s="380"/>
      <c r="C4320" s="334" t="s">
        <v>28</v>
      </c>
      <c r="D4320" s="377"/>
      <c r="E4320" s="380"/>
      <c r="F4320" s="378"/>
      <c r="G4320" s="380"/>
      <c r="H4320" s="380"/>
      <c r="I4320" s="399"/>
      <c r="J4320" s="377"/>
      <c r="K4320" s="380"/>
      <c r="L4320" s="378"/>
      <c r="M4320" s="380"/>
      <c r="N4320" s="380"/>
      <c r="O4320" s="380"/>
      <c r="P4320" s="380"/>
      <c r="Q4320" s="380"/>
    </row>
    <row r="4321" spans="1:17" x14ac:dyDescent="0.2">
      <c r="A4321" s="334" t="s">
        <v>1724</v>
      </c>
      <c r="B4321" s="380"/>
      <c r="C4321" s="334" t="s">
        <v>1881</v>
      </c>
      <c r="D4321" s="379">
        <v>9000</v>
      </c>
      <c r="E4321" s="380"/>
      <c r="F4321" s="378"/>
      <c r="G4321" s="380"/>
      <c r="H4321" s="380"/>
      <c r="I4321" s="399"/>
      <c r="J4321" s="377">
        <v>9000</v>
      </c>
      <c r="K4321" s="380"/>
      <c r="L4321" s="378"/>
      <c r="M4321" s="380"/>
      <c r="N4321" s="380"/>
      <c r="O4321" s="380"/>
      <c r="P4321" s="380"/>
      <c r="Q4321" s="380"/>
    </row>
    <row r="4322" spans="1:17" x14ac:dyDescent="0.2">
      <c r="A4322" s="334" t="s">
        <v>1725</v>
      </c>
      <c r="B4322" s="380"/>
      <c r="C4322" s="334" t="s">
        <v>1890</v>
      </c>
      <c r="D4322" s="377"/>
      <c r="E4322" s="380"/>
      <c r="F4322" s="378"/>
      <c r="G4322" s="380"/>
      <c r="H4322" s="380"/>
      <c r="I4322" s="399"/>
      <c r="J4322" s="377"/>
      <c r="K4322" s="380"/>
      <c r="L4322" s="378"/>
      <c r="M4322" s="380"/>
      <c r="N4322" s="380"/>
      <c r="O4322" s="380"/>
      <c r="P4322" s="380"/>
      <c r="Q4322" s="380"/>
    </row>
    <row r="4323" spans="1:17" x14ac:dyDescent="0.2">
      <c r="A4323" s="334" t="s">
        <v>1738</v>
      </c>
      <c r="B4323" s="380"/>
      <c r="C4323" s="334" t="s">
        <v>1591</v>
      </c>
      <c r="D4323" s="377"/>
      <c r="E4323" s="380"/>
      <c r="F4323" s="378"/>
      <c r="G4323" s="380"/>
      <c r="H4323" s="380"/>
      <c r="I4323" s="399"/>
      <c r="J4323" s="377"/>
      <c r="K4323" s="380"/>
      <c r="L4323" s="378"/>
      <c r="M4323" s="380"/>
      <c r="N4323" s="380"/>
      <c r="O4323" s="380"/>
      <c r="P4323" s="380"/>
      <c r="Q4323" s="380"/>
    </row>
    <row r="4324" spans="1:17" x14ac:dyDescent="0.2">
      <c r="A4324" s="334" t="s">
        <v>1729</v>
      </c>
      <c r="B4324" s="380"/>
      <c r="C4324" s="380" t="s">
        <v>1551</v>
      </c>
      <c r="D4324" s="377">
        <f>-1800-2000</f>
        <v>-3800</v>
      </c>
      <c r="E4324" s="380"/>
      <c r="F4324" s="378"/>
      <c r="G4324" s="380"/>
      <c r="H4324" s="380"/>
      <c r="I4324" s="399"/>
      <c r="J4324" s="377"/>
      <c r="K4324" s="380"/>
      <c r="L4324" s="378"/>
      <c r="M4324" s="380"/>
      <c r="N4324" s="380"/>
      <c r="O4324" s="380"/>
      <c r="P4324" s="380"/>
      <c r="Q4324" s="380"/>
    </row>
    <row r="4325" spans="1:17" x14ac:dyDescent="0.2">
      <c r="A4325" s="334" t="s">
        <v>1735</v>
      </c>
      <c r="B4325" s="380"/>
      <c r="C4325" s="380" t="s">
        <v>194</v>
      </c>
      <c r="D4325" s="377"/>
      <c r="E4325" s="380"/>
      <c r="F4325" s="378"/>
      <c r="G4325" s="380"/>
      <c r="H4325" s="380"/>
      <c r="I4325" s="399"/>
      <c r="J4325" s="377"/>
      <c r="K4325" s="380"/>
      <c r="L4325" s="378"/>
      <c r="M4325" s="380"/>
      <c r="N4325" s="380"/>
      <c r="O4325" s="380"/>
      <c r="P4325" s="380"/>
      <c r="Q4325" s="380"/>
    </row>
    <row r="4326" spans="1:17" x14ac:dyDescent="0.2">
      <c r="A4326" s="334" t="s">
        <v>1730</v>
      </c>
      <c r="B4326" s="380"/>
      <c r="C4326" s="334" t="s">
        <v>1985</v>
      </c>
      <c r="D4326" s="377"/>
      <c r="E4326" s="380"/>
      <c r="F4326" s="378"/>
      <c r="G4326" s="380"/>
      <c r="H4326" s="380"/>
      <c r="I4326" s="399"/>
      <c r="J4326" s="377"/>
      <c r="K4326" s="380"/>
      <c r="L4326" s="378"/>
      <c r="M4326" s="380"/>
      <c r="N4326" s="380"/>
      <c r="O4326" s="380"/>
      <c r="P4326" s="380"/>
      <c r="Q4326" s="380"/>
    </row>
    <row r="4327" spans="1:17" x14ac:dyDescent="0.2">
      <c r="A4327" s="334" t="s">
        <v>1566</v>
      </c>
      <c r="B4327" s="380"/>
      <c r="C4327" s="334" t="s">
        <v>366</v>
      </c>
      <c r="D4327" s="377"/>
      <c r="E4327" s="380"/>
      <c r="F4327" s="378"/>
      <c r="G4327" s="380"/>
      <c r="H4327" s="380"/>
      <c r="I4327" s="399"/>
      <c r="J4327" s="377"/>
      <c r="K4327" s="380"/>
      <c r="L4327" s="378"/>
      <c r="M4327" s="380"/>
      <c r="N4327" s="380"/>
      <c r="O4327" s="380"/>
      <c r="P4327" s="380"/>
      <c r="Q4327" s="380"/>
    </row>
    <row r="4328" spans="1:17" x14ac:dyDescent="0.2">
      <c r="A4328" s="334" t="s">
        <v>1755</v>
      </c>
      <c r="B4328" s="380"/>
      <c r="C4328" s="380" t="s">
        <v>1986</v>
      </c>
      <c r="D4328" s="377"/>
      <c r="E4328" s="380"/>
      <c r="F4328" s="378"/>
      <c r="G4328" s="380"/>
      <c r="H4328" s="380"/>
      <c r="I4328" s="399"/>
      <c r="J4328" s="377"/>
      <c r="K4328" s="380"/>
      <c r="L4328" s="378"/>
      <c r="M4328" s="380"/>
      <c r="N4328" s="380"/>
      <c r="O4328" s="380"/>
      <c r="P4328" s="380"/>
      <c r="Q4328" s="380"/>
    </row>
    <row r="4329" spans="1:17" x14ac:dyDescent="0.2">
      <c r="A4329" s="334" t="s">
        <v>1903</v>
      </c>
      <c r="B4329" s="380"/>
      <c r="C4329" s="334" t="s">
        <v>35</v>
      </c>
      <c r="D4329" s="377"/>
      <c r="E4329" s="380"/>
      <c r="F4329" s="378"/>
      <c r="G4329" s="380"/>
      <c r="H4329" s="380"/>
      <c r="I4329" s="399"/>
      <c r="J4329" s="377"/>
      <c r="K4329" s="380"/>
      <c r="L4329" s="378"/>
      <c r="M4329" s="380"/>
      <c r="N4329" s="380"/>
      <c r="O4329" s="380"/>
      <c r="P4329" s="380"/>
      <c r="Q4329" s="380"/>
    </row>
    <row r="4330" spans="1:17" x14ac:dyDescent="0.2">
      <c r="A4330" s="334" t="s">
        <v>1967</v>
      </c>
      <c r="B4330" s="380"/>
      <c r="C4330" s="334" t="s">
        <v>11</v>
      </c>
      <c r="D4330" s="377"/>
      <c r="E4330" s="380"/>
      <c r="F4330" s="378"/>
      <c r="G4330" s="380"/>
      <c r="H4330" s="380"/>
      <c r="I4330" s="399"/>
      <c r="J4330" s="377"/>
      <c r="K4330" s="380"/>
      <c r="L4330" s="378"/>
      <c r="M4330" s="380"/>
      <c r="N4330" s="380"/>
      <c r="O4330" s="380"/>
      <c r="P4330" s="380"/>
      <c r="Q4330" s="380"/>
    </row>
    <row r="4331" spans="1:17" x14ac:dyDescent="0.2">
      <c r="A4331" s="334" t="s">
        <v>1567</v>
      </c>
      <c r="B4331" s="380"/>
      <c r="C4331" s="334" t="s">
        <v>3142</v>
      </c>
      <c r="D4331" s="377"/>
      <c r="E4331" s="459"/>
      <c r="F4331" s="378"/>
      <c r="G4331" s="380"/>
      <c r="H4331" s="380"/>
      <c r="I4331" s="399"/>
      <c r="J4331" s="377"/>
      <c r="K4331" s="459"/>
      <c r="L4331" s="378"/>
      <c r="M4331" s="380"/>
      <c r="N4331" s="380"/>
      <c r="O4331" s="380"/>
      <c r="P4331" s="380"/>
      <c r="Q4331" s="380"/>
    </row>
    <row r="4332" spans="1:17" x14ac:dyDescent="0.2">
      <c r="A4332" s="380"/>
      <c r="B4332" s="380"/>
      <c r="C4332" s="380"/>
      <c r="D4332" s="410" t="s">
        <v>342</v>
      </c>
      <c r="E4332" s="380"/>
      <c r="F4332" s="378"/>
      <c r="G4332" s="380"/>
      <c r="H4332" s="380"/>
      <c r="I4332" s="385"/>
      <c r="J4332" s="410" t="s">
        <v>342</v>
      </c>
      <c r="K4332" s="380"/>
      <c r="L4332" s="378"/>
      <c r="M4332" s="380"/>
      <c r="N4332" s="380"/>
      <c r="O4332" s="380"/>
      <c r="P4332" s="380"/>
      <c r="Q4332" s="380"/>
    </row>
    <row r="4333" spans="1:17" ht="15.75" thickBot="1" x14ac:dyDescent="0.25">
      <c r="A4333" s="380"/>
      <c r="B4333" s="380"/>
      <c r="C4333" s="380"/>
      <c r="D4333" s="334">
        <f>SUM(D4316:D4331)</f>
        <v>5200</v>
      </c>
      <c r="E4333" s="460"/>
      <c r="F4333" s="378"/>
      <c r="G4333" s="380"/>
      <c r="H4333" s="380"/>
      <c r="I4333" s="385"/>
      <c r="J4333" s="334">
        <f>SUM(J4316:J4331)</f>
        <v>9000</v>
      </c>
      <c r="K4333" s="460"/>
      <c r="L4333" s="378"/>
      <c r="M4333" s="380"/>
      <c r="N4333" s="380"/>
      <c r="O4333" s="380"/>
      <c r="P4333" s="380"/>
      <c r="Q4333" s="380"/>
    </row>
    <row r="4334" spans="1:17" ht="15.75" thickTop="1" x14ac:dyDescent="0.2">
      <c r="A4334" s="380"/>
      <c r="B4334" s="380"/>
      <c r="C4334" s="380"/>
      <c r="D4334" s="395">
        <f>D4333-D4316-D4317-D4318</f>
        <v>5200</v>
      </c>
      <c r="E4334" s="380"/>
      <c r="F4334" s="378"/>
      <c r="G4334" s="380"/>
      <c r="H4334" s="380"/>
      <c r="I4334" s="399"/>
      <c r="J4334" s="395">
        <f>J4333-J4316-J4317-J4318</f>
        <v>9000</v>
      </c>
      <c r="K4334" s="380"/>
      <c r="L4334" s="378"/>
      <c r="M4334" s="380"/>
      <c r="N4334" s="380"/>
      <c r="O4334" s="380"/>
      <c r="P4334" s="380"/>
      <c r="Q4334" s="380"/>
    </row>
    <row r="4335" spans="1:17" x14ac:dyDescent="0.2">
      <c r="A4335" s="380"/>
      <c r="B4335" s="380"/>
      <c r="C4335" s="380"/>
      <c r="D4335" s="380"/>
      <c r="E4335" s="380"/>
      <c r="F4335" s="378"/>
      <c r="G4335" s="380"/>
      <c r="H4335" s="380"/>
      <c r="I4335" s="382"/>
      <c r="J4335" s="380"/>
      <c r="K4335" s="380"/>
      <c r="L4335" s="378"/>
      <c r="M4335" s="380"/>
      <c r="N4335" s="380"/>
      <c r="O4335" s="380"/>
      <c r="P4335" s="380"/>
      <c r="Q4335" s="380"/>
    </row>
    <row r="4336" spans="1:17" x14ac:dyDescent="0.2">
      <c r="A4336" s="377"/>
      <c r="B4336" s="377"/>
      <c r="C4336" s="377"/>
      <c r="D4336" s="377"/>
      <c r="E4336" s="377"/>
      <c r="F4336" s="378"/>
      <c r="G4336" s="377"/>
      <c r="H4336" s="377"/>
      <c r="I4336" s="399"/>
      <c r="J4336" s="377"/>
      <c r="K4336" s="377"/>
      <c r="L4336" s="378"/>
      <c r="M4336" s="377"/>
      <c r="N4336" s="377"/>
      <c r="O4336" s="380"/>
      <c r="P4336" s="380"/>
      <c r="Q4336" s="380"/>
    </row>
    <row r="4337" spans="1:17" x14ac:dyDescent="0.2">
      <c r="A4337" s="334" t="s">
        <v>1645</v>
      </c>
      <c r="B4337" s="380"/>
      <c r="C4337" s="380"/>
      <c r="D4337" s="380"/>
      <c r="E4337" s="380"/>
      <c r="F4337" s="378"/>
      <c r="G4337" s="380"/>
      <c r="H4337" s="380"/>
      <c r="I4337" s="382"/>
      <c r="J4337" s="380"/>
      <c r="K4337" s="380"/>
      <c r="L4337" s="378"/>
      <c r="M4337" s="380"/>
      <c r="N4337" s="380"/>
      <c r="O4337" s="380"/>
      <c r="P4337" s="380"/>
      <c r="Q4337" s="380"/>
    </row>
    <row r="4338" spans="1:17" x14ac:dyDescent="0.2">
      <c r="A4338" s="334" t="s">
        <v>342</v>
      </c>
      <c r="B4338" s="380"/>
      <c r="C4338" s="384" t="s">
        <v>2067</v>
      </c>
      <c r="D4338" s="380"/>
      <c r="E4338" s="380"/>
      <c r="F4338" s="378"/>
      <c r="G4338" s="380"/>
      <c r="H4338" s="380"/>
      <c r="I4338" s="382"/>
      <c r="J4338" s="380"/>
      <c r="K4338" s="380"/>
      <c r="L4338" s="378"/>
      <c r="M4338" s="380"/>
      <c r="N4338" s="380"/>
      <c r="O4338" s="380"/>
      <c r="P4338" s="380"/>
      <c r="Q4338" s="380"/>
    </row>
    <row r="4339" spans="1:17" x14ac:dyDescent="0.2">
      <c r="A4339" s="334" t="s">
        <v>342</v>
      </c>
      <c r="B4339" s="380"/>
      <c r="C4339" s="334" t="s">
        <v>342</v>
      </c>
      <c r="D4339" s="334" t="s">
        <v>342</v>
      </c>
      <c r="E4339" s="380"/>
      <c r="F4339" s="378"/>
      <c r="G4339" s="380"/>
      <c r="H4339" s="380"/>
      <c r="I4339" s="385"/>
      <c r="J4339" s="334" t="s">
        <v>342</v>
      </c>
      <c r="K4339" s="380"/>
      <c r="L4339" s="378"/>
      <c r="M4339" s="380"/>
      <c r="N4339" s="380"/>
      <c r="O4339" s="380"/>
      <c r="P4339" s="380"/>
      <c r="Q4339" s="380"/>
    </row>
    <row r="4340" spans="1:17" x14ac:dyDescent="0.2">
      <c r="A4340" s="334" t="s">
        <v>1723</v>
      </c>
      <c r="B4340" s="380"/>
      <c r="C4340" s="334" t="s">
        <v>1880</v>
      </c>
      <c r="D4340" s="334" t="s">
        <v>181</v>
      </c>
      <c r="E4340" s="380"/>
      <c r="F4340" s="378"/>
      <c r="G4340" s="380"/>
      <c r="H4340" s="380"/>
      <c r="I4340" s="385"/>
      <c r="J4340" s="334" t="s">
        <v>181</v>
      </c>
      <c r="K4340" s="380"/>
      <c r="L4340" s="378"/>
      <c r="M4340" s="380"/>
      <c r="N4340" s="380"/>
      <c r="O4340" s="380"/>
      <c r="P4340" s="380"/>
      <c r="Q4340" s="380"/>
    </row>
    <row r="4341" spans="1:17" x14ac:dyDescent="0.2">
      <c r="A4341" s="380"/>
      <c r="B4341" s="380"/>
      <c r="C4341" s="380"/>
      <c r="D4341" s="380"/>
      <c r="E4341" s="380"/>
      <c r="F4341" s="378"/>
      <c r="G4341" s="380"/>
      <c r="H4341" s="380"/>
      <c r="I4341" s="382"/>
      <c r="J4341" s="380"/>
      <c r="K4341" s="380"/>
      <c r="L4341" s="378"/>
      <c r="M4341" s="380"/>
      <c r="N4341" s="380"/>
      <c r="O4341" s="380"/>
      <c r="P4341" s="380"/>
      <c r="Q4341" s="380"/>
    </row>
    <row r="4342" spans="1:17" x14ac:dyDescent="0.2">
      <c r="A4342" s="334" t="s">
        <v>1568</v>
      </c>
      <c r="B4342" s="380"/>
      <c r="C4342" s="380" t="s">
        <v>1817</v>
      </c>
      <c r="D4342" s="377"/>
      <c r="E4342" s="380"/>
      <c r="F4342" s="378"/>
      <c r="G4342" s="380"/>
      <c r="H4342" s="380"/>
      <c r="I4342" s="399"/>
      <c r="J4342" s="377"/>
      <c r="K4342" s="380"/>
      <c r="L4342" s="378"/>
      <c r="M4342" s="380"/>
      <c r="N4342" s="380"/>
      <c r="O4342" s="380"/>
      <c r="P4342" s="380"/>
      <c r="Q4342" s="380"/>
    </row>
    <row r="4343" spans="1:17" x14ac:dyDescent="0.2">
      <c r="A4343" s="334" t="s">
        <v>1743</v>
      </c>
      <c r="B4343" s="380"/>
      <c r="C4343" s="334" t="s">
        <v>1886</v>
      </c>
      <c r="D4343" s="377"/>
      <c r="E4343" s="380"/>
      <c r="F4343" s="378"/>
      <c r="G4343" s="380"/>
      <c r="H4343" s="380"/>
      <c r="I4343" s="399"/>
      <c r="J4343" s="377"/>
      <c r="K4343" s="380"/>
      <c r="L4343" s="378"/>
      <c r="M4343" s="380"/>
      <c r="N4343" s="380"/>
      <c r="O4343" s="380"/>
      <c r="P4343" s="380"/>
      <c r="Q4343" s="380"/>
    </row>
    <row r="4344" spans="1:17" x14ac:dyDescent="0.2">
      <c r="A4344" s="334" t="s">
        <v>1724</v>
      </c>
      <c r="B4344" s="380"/>
      <c r="C4344" s="334" t="s">
        <v>1881</v>
      </c>
      <c r="D4344" s="377"/>
      <c r="E4344" s="380"/>
      <c r="F4344" s="378"/>
      <c r="G4344" s="380"/>
      <c r="H4344" s="380"/>
      <c r="I4344" s="399"/>
      <c r="J4344" s="377"/>
      <c r="K4344" s="380"/>
      <c r="L4344" s="378"/>
      <c r="M4344" s="380"/>
      <c r="N4344" s="380"/>
      <c r="O4344" s="380"/>
      <c r="P4344" s="380"/>
      <c r="Q4344" s="380"/>
    </row>
    <row r="4345" spans="1:17" x14ac:dyDescent="0.2">
      <c r="A4345" s="334" t="s">
        <v>1736</v>
      </c>
      <c r="B4345" s="380"/>
      <c r="C4345" s="334" t="s">
        <v>1747</v>
      </c>
      <c r="D4345" s="377"/>
      <c r="E4345" s="380"/>
      <c r="F4345" s="378"/>
      <c r="G4345" s="380"/>
      <c r="H4345" s="380"/>
      <c r="I4345" s="399"/>
      <c r="J4345" s="377"/>
      <c r="K4345" s="380"/>
      <c r="L4345" s="378"/>
      <c r="M4345" s="380"/>
      <c r="N4345" s="380"/>
      <c r="O4345" s="380"/>
      <c r="P4345" s="380"/>
      <c r="Q4345" s="380"/>
    </row>
    <row r="4346" spans="1:17" x14ac:dyDescent="0.2">
      <c r="A4346" s="334" t="s">
        <v>1744</v>
      </c>
      <c r="B4346" s="380"/>
      <c r="C4346" s="334" t="s">
        <v>1254</v>
      </c>
      <c r="D4346" s="377"/>
      <c r="E4346" s="380"/>
      <c r="F4346" s="378"/>
      <c r="G4346" s="380"/>
      <c r="H4346" s="380"/>
      <c r="I4346" s="399"/>
      <c r="J4346" s="377"/>
      <c r="K4346" s="380"/>
      <c r="L4346" s="378"/>
      <c r="M4346" s="380"/>
      <c r="N4346" s="380"/>
      <c r="O4346" s="380"/>
      <c r="P4346" s="380"/>
      <c r="Q4346" s="380"/>
    </row>
    <row r="4347" spans="1:17" x14ac:dyDescent="0.2">
      <c r="A4347" s="334" t="s">
        <v>1725</v>
      </c>
      <c r="B4347" s="380"/>
      <c r="C4347" s="334" t="s">
        <v>1890</v>
      </c>
      <c r="D4347" s="377"/>
      <c r="E4347" s="380"/>
      <c r="F4347" s="378"/>
      <c r="G4347" s="380"/>
      <c r="H4347" s="380"/>
      <c r="I4347" s="399"/>
      <c r="J4347" s="377"/>
      <c r="K4347" s="380"/>
      <c r="L4347" s="378"/>
      <c r="M4347" s="380"/>
      <c r="N4347" s="380"/>
      <c r="O4347" s="380"/>
      <c r="P4347" s="380"/>
      <c r="Q4347" s="380"/>
    </row>
    <row r="4348" spans="1:17" x14ac:dyDescent="0.2">
      <c r="A4348" s="334" t="s">
        <v>1576</v>
      </c>
      <c r="B4348" s="380"/>
      <c r="C4348" s="334" t="s">
        <v>1590</v>
      </c>
      <c r="D4348" s="377"/>
      <c r="E4348" s="380"/>
      <c r="F4348" s="378"/>
      <c r="G4348" s="380"/>
      <c r="H4348" s="380"/>
      <c r="I4348" s="399"/>
      <c r="J4348" s="377"/>
      <c r="K4348" s="380"/>
      <c r="L4348" s="378"/>
      <c r="M4348" s="380"/>
      <c r="N4348" s="380"/>
      <c r="O4348" s="380"/>
      <c r="P4348" s="380"/>
      <c r="Q4348" s="380"/>
    </row>
    <row r="4349" spans="1:17" x14ac:dyDescent="0.2">
      <c r="A4349" s="334" t="s">
        <v>1738</v>
      </c>
      <c r="B4349" s="380"/>
      <c r="C4349" s="334" t="s">
        <v>1591</v>
      </c>
      <c r="D4349" s="377"/>
      <c r="E4349" s="380"/>
      <c r="F4349" s="378"/>
      <c r="G4349" s="380"/>
      <c r="H4349" s="380"/>
      <c r="I4349" s="399"/>
      <c r="J4349" s="377"/>
      <c r="K4349" s="380"/>
      <c r="L4349" s="378"/>
      <c r="M4349" s="380"/>
      <c r="N4349" s="380"/>
      <c r="O4349" s="380"/>
      <c r="P4349" s="380"/>
      <c r="Q4349" s="380"/>
    </row>
    <row r="4350" spans="1:17" x14ac:dyDescent="0.2">
      <c r="A4350" s="334" t="s">
        <v>1727</v>
      </c>
      <c r="B4350" s="380"/>
      <c r="C4350" s="334" t="s">
        <v>307</v>
      </c>
      <c r="D4350" s="377"/>
      <c r="E4350" s="380"/>
      <c r="F4350" s="378"/>
      <c r="G4350" s="380"/>
      <c r="H4350" s="380"/>
      <c r="I4350" s="399"/>
      <c r="J4350" s="377"/>
      <c r="K4350" s="380"/>
      <c r="L4350" s="378"/>
      <c r="M4350" s="380"/>
      <c r="N4350" s="380"/>
      <c r="O4350" s="380"/>
      <c r="P4350" s="380"/>
      <c r="Q4350" s="380"/>
    </row>
    <row r="4351" spans="1:17" x14ac:dyDescent="0.2">
      <c r="A4351" s="334" t="s">
        <v>1728</v>
      </c>
      <c r="B4351" s="380"/>
      <c r="C4351" s="334" t="s">
        <v>310</v>
      </c>
      <c r="D4351" s="377"/>
      <c r="E4351" s="380"/>
      <c r="F4351" s="378"/>
      <c r="G4351" s="380"/>
      <c r="H4351" s="380"/>
      <c r="I4351" s="399"/>
      <c r="J4351" s="377"/>
      <c r="K4351" s="380"/>
      <c r="L4351" s="378"/>
      <c r="M4351" s="380"/>
      <c r="N4351" s="380"/>
      <c r="O4351" s="380"/>
      <c r="P4351" s="380"/>
      <c r="Q4351" s="380"/>
    </row>
    <row r="4352" spans="1:17" x14ac:dyDescent="0.2">
      <c r="A4352" s="334" t="s">
        <v>1729</v>
      </c>
      <c r="B4352" s="380"/>
      <c r="C4352" s="380" t="s">
        <v>1551</v>
      </c>
      <c r="D4352" s="377"/>
      <c r="E4352" s="380"/>
      <c r="F4352" s="378"/>
      <c r="G4352" s="380"/>
      <c r="H4352" s="380"/>
      <c r="I4352" s="399"/>
      <c r="J4352" s="377"/>
      <c r="K4352" s="380"/>
      <c r="L4352" s="378"/>
      <c r="M4352" s="380"/>
      <c r="N4352" s="380"/>
      <c r="O4352" s="380"/>
      <c r="P4352" s="380"/>
      <c r="Q4352" s="380"/>
    </row>
    <row r="4353" spans="1:17" x14ac:dyDescent="0.2">
      <c r="A4353" s="334" t="s">
        <v>1735</v>
      </c>
      <c r="B4353" s="380"/>
      <c r="C4353" s="380" t="s">
        <v>194</v>
      </c>
      <c r="D4353" s="377"/>
      <c r="E4353" s="380"/>
      <c r="F4353" s="378"/>
      <c r="G4353" s="380"/>
      <c r="H4353" s="380"/>
      <c r="I4353" s="399"/>
      <c r="J4353" s="377"/>
      <c r="K4353" s="380"/>
      <c r="L4353" s="378"/>
      <c r="M4353" s="380"/>
      <c r="N4353" s="380"/>
      <c r="O4353" s="380"/>
      <c r="P4353" s="380"/>
      <c r="Q4353" s="380"/>
    </row>
    <row r="4354" spans="1:17" x14ac:dyDescent="0.2">
      <c r="A4354" s="334" t="s">
        <v>1754</v>
      </c>
      <c r="B4354" s="380"/>
      <c r="C4354" s="334" t="s">
        <v>1929</v>
      </c>
      <c r="D4354" s="377"/>
      <c r="E4354" s="380"/>
      <c r="F4354" s="378"/>
      <c r="G4354" s="380"/>
      <c r="H4354" s="380"/>
      <c r="I4354" s="399"/>
      <c r="J4354" s="377"/>
      <c r="K4354" s="380"/>
      <c r="L4354" s="378"/>
      <c r="M4354" s="380"/>
      <c r="N4354" s="380"/>
      <c r="O4354" s="380"/>
      <c r="P4354" s="380"/>
      <c r="Q4354" s="380"/>
    </row>
    <row r="4355" spans="1:17" x14ac:dyDescent="0.2">
      <c r="A4355" s="334" t="s">
        <v>1572</v>
      </c>
      <c r="B4355" s="380"/>
      <c r="C4355" s="334" t="s">
        <v>3134</v>
      </c>
      <c r="D4355" s="377"/>
      <c r="E4355" s="380"/>
      <c r="F4355" s="378"/>
      <c r="G4355" s="380"/>
      <c r="H4355" s="380"/>
      <c r="I4355" s="399"/>
      <c r="J4355" s="377"/>
      <c r="K4355" s="380"/>
      <c r="L4355" s="378"/>
      <c r="M4355" s="380"/>
      <c r="N4355" s="380"/>
      <c r="O4355" s="380"/>
      <c r="P4355" s="380"/>
      <c r="Q4355" s="380"/>
    </row>
    <row r="4356" spans="1:17" x14ac:dyDescent="0.2">
      <c r="A4356" s="334" t="s">
        <v>1566</v>
      </c>
      <c r="B4356" s="380"/>
      <c r="C4356" s="334" t="s">
        <v>366</v>
      </c>
      <c r="D4356" s="377"/>
      <c r="E4356" s="380"/>
      <c r="F4356" s="378"/>
      <c r="G4356" s="380"/>
      <c r="H4356" s="380"/>
      <c r="I4356" s="399"/>
      <c r="J4356" s="377"/>
      <c r="K4356" s="380"/>
      <c r="L4356" s="378"/>
      <c r="M4356" s="380"/>
      <c r="N4356" s="380"/>
      <c r="O4356" s="380"/>
      <c r="P4356" s="380"/>
      <c r="Q4356" s="380"/>
    </row>
    <row r="4357" spans="1:17" x14ac:dyDescent="0.2">
      <c r="A4357" s="334" t="s">
        <v>1567</v>
      </c>
      <c r="B4357" s="380"/>
      <c r="C4357" s="334" t="s">
        <v>3142</v>
      </c>
      <c r="D4357" s="334"/>
      <c r="E4357" s="380"/>
      <c r="F4357" s="378"/>
      <c r="G4357" s="380"/>
      <c r="H4357" s="380"/>
      <c r="I4357" s="385"/>
      <c r="J4357" s="334"/>
      <c r="K4357" s="380"/>
      <c r="L4357" s="378"/>
      <c r="M4357" s="380"/>
      <c r="N4357" s="380"/>
      <c r="O4357" s="380"/>
      <c r="P4357" s="380"/>
      <c r="Q4357" s="380"/>
    </row>
    <row r="4358" spans="1:17" x14ac:dyDescent="0.2">
      <c r="A4358" s="380"/>
      <c r="B4358" s="380"/>
      <c r="C4358" s="380"/>
      <c r="D4358" s="410" t="s">
        <v>342</v>
      </c>
      <c r="E4358" s="380"/>
      <c r="F4358" s="378"/>
      <c r="G4358" s="380"/>
      <c r="H4358" s="380"/>
      <c r="I4358" s="385"/>
      <c r="J4358" s="410" t="s">
        <v>342</v>
      </c>
      <c r="K4358" s="380"/>
      <c r="L4358" s="378"/>
      <c r="M4358" s="380"/>
      <c r="N4358" s="380"/>
      <c r="O4358" s="380"/>
      <c r="P4358" s="380"/>
      <c r="Q4358" s="380"/>
    </row>
    <row r="4359" spans="1:17" x14ac:dyDescent="0.2">
      <c r="A4359" s="380"/>
      <c r="B4359" s="380"/>
      <c r="C4359" s="380"/>
      <c r="D4359" s="334">
        <f>SUM(D4342:D4357)</f>
        <v>0</v>
      </c>
      <c r="E4359" s="380"/>
      <c r="F4359" s="378"/>
      <c r="G4359" s="380"/>
      <c r="H4359" s="380"/>
      <c r="I4359" s="385"/>
      <c r="J4359" s="334">
        <f>SUM(J4342:J4357)</f>
        <v>0</v>
      </c>
      <c r="K4359" s="380"/>
      <c r="L4359" s="378"/>
      <c r="M4359" s="380"/>
      <c r="N4359" s="380"/>
      <c r="O4359" s="380"/>
      <c r="P4359" s="380"/>
      <c r="Q4359" s="380"/>
    </row>
    <row r="4360" spans="1:17" ht="15.75" thickTop="1" x14ac:dyDescent="0.2">
      <c r="A4360" s="380"/>
      <c r="B4360" s="380"/>
      <c r="C4360" s="380"/>
      <c r="D4360" s="395">
        <f>D4359-D4342</f>
        <v>0</v>
      </c>
      <c r="E4360" s="380"/>
      <c r="F4360" s="378"/>
      <c r="G4360" s="380"/>
      <c r="H4360" s="380"/>
      <c r="I4360" s="399"/>
      <c r="J4360" s="395">
        <f>J4359-J4342</f>
        <v>0</v>
      </c>
      <c r="K4360" s="380"/>
      <c r="L4360" s="378"/>
      <c r="M4360" s="380"/>
      <c r="N4360" s="380"/>
      <c r="O4360" s="380"/>
      <c r="P4360" s="380"/>
      <c r="Q4360" s="380"/>
    </row>
    <row r="4361" spans="1:17" x14ac:dyDescent="0.2">
      <c r="A4361" s="380"/>
      <c r="B4361" s="380"/>
      <c r="C4361" s="380"/>
      <c r="D4361" s="380"/>
      <c r="E4361" s="380"/>
      <c r="F4361" s="378"/>
      <c r="G4361" s="380"/>
      <c r="H4361" s="380"/>
      <c r="I4361" s="382"/>
      <c r="J4361" s="380"/>
      <c r="K4361" s="380"/>
      <c r="L4361" s="378"/>
      <c r="M4361" s="380"/>
      <c r="N4361" s="380"/>
      <c r="O4361" s="380"/>
      <c r="P4361" s="380"/>
      <c r="Q4361" s="380"/>
    </row>
    <row r="4362" spans="1:17" x14ac:dyDescent="0.2">
      <c r="A4362" s="377"/>
      <c r="B4362" s="377"/>
      <c r="C4362" s="377"/>
      <c r="D4362" s="377"/>
      <c r="E4362" s="377"/>
      <c r="F4362" s="378"/>
      <c r="G4362" s="377"/>
      <c r="H4362" s="377"/>
      <c r="I4362" s="399"/>
      <c r="J4362" s="377"/>
      <c r="K4362" s="377"/>
      <c r="L4362" s="378"/>
      <c r="M4362" s="377"/>
      <c r="N4362" s="377"/>
      <c r="O4362" s="380"/>
      <c r="P4362" s="380"/>
      <c r="Q4362" s="380"/>
    </row>
    <row r="4363" spans="1:17" x14ac:dyDescent="0.2">
      <c r="A4363" s="334" t="s">
        <v>1646</v>
      </c>
      <c r="B4363" s="380"/>
      <c r="C4363" s="380"/>
      <c r="D4363" s="380"/>
      <c r="E4363" s="380"/>
      <c r="F4363" s="378"/>
      <c r="G4363" s="380"/>
      <c r="H4363" s="380"/>
      <c r="I4363" s="382"/>
      <c r="J4363" s="380"/>
      <c r="K4363" s="380"/>
      <c r="L4363" s="378"/>
      <c r="M4363" s="380"/>
      <c r="N4363" s="380"/>
      <c r="O4363" s="380"/>
      <c r="P4363" s="380"/>
      <c r="Q4363" s="380"/>
    </row>
    <row r="4364" spans="1:17" x14ac:dyDescent="0.2">
      <c r="A4364" s="334" t="s">
        <v>342</v>
      </c>
      <c r="B4364" s="380"/>
      <c r="C4364" s="384" t="s">
        <v>2068</v>
      </c>
      <c r="D4364" s="380"/>
      <c r="E4364" s="380"/>
      <c r="F4364" s="378"/>
      <c r="G4364" s="380"/>
      <c r="H4364" s="380"/>
      <c r="I4364" s="382"/>
      <c r="J4364" s="380"/>
      <c r="K4364" s="380"/>
      <c r="L4364" s="378"/>
      <c r="M4364" s="380"/>
      <c r="N4364" s="380"/>
      <c r="O4364" s="380"/>
      <c r="P4364" s="380"/>
      <c r="Q4364" s="380"/>
    </row>
    <row r="4365" spans="1:17" x14ac:dyDescent="0.2">
      <c r="A4365" s="334" t="s">
        <v>342</v>
      </c>
      <c r="B4365" s="380"/>
      <c r="C4365" s="334" t="s">
        <v>342</v>
      </c>
      <c r="D4365" s="334" t="s">
        <v>342</v>
      </c>
      <c r="E4365" s="380"/>
      <c r="F4365" s="378"/>
      <c r="G4365" s="380"/>
      <c r="H4365" s="380"/>
      <c r="I4365" s="385"/>
      <c r="J4365" s="334" t="s">
        <v>342</v>
      </c>
      <c r="K4365" s="380"/>
      <c r="L4365" s="378"/>
      <c r="M4365" s="380"/>
      <c r="N4365" s="380"/>
      <c r="O4365" s="380"/>
      <c r="P4365" s="380"/>
      <c r="Q4365" s="380"/>
    </row>
    <row r="4366" spans="1:17" x14ac:dyDescent="0.2">
      <c r="A4366" s="334" t="s">
        <v>1723</v>
      </c>
      <c r="B4366" s="380"/>
      <c r="C4366" s="334" t="s">
        <v>1880</v>
      </c>
      <c r="D4366" s="334" t="s">
        <v>181</v>
      </c>
      <c r="E4366" s="380"/>
      <c r="F4366" s="378"/>
      <c r="G4366" s="380"/>
      <c r="H4366" s="380"/>
      <c r="I4366" s="385"/>
      <c r="J4366" s="334" t="s">
        <v>181</v>
      </c>
      <c r="K4366" s="380"/>
      <c r="L4366" s="378"/>
      <c r="M4366" s="380"/>
      <c r="N4366" s="380"/>
      <c r="O4366" s="380"/>
      <c r="P4366" s="380"/>
      <c r="Q4366" s="380"/>
    </row>
    <row r="4367" spans="1:17" x14ac:dyDescent="0.2">
      <c r="A4367" s="380"/>
      <c r="B4367" s="380"/>
      <c r="C4367" s="380"/>
      <c r="D4367" s="380"/>
      <c r="E4367" s="380"/>
      <c r="F4367" s="378"/>
      <c r="G4367" s="380"/>
      <c r="H4367" s="380"/>
      <c r="I4367" s="382"/>
      <c r="J4367" s="380"/>
      <c r="K4367" s="380"/>
      <c r="L4367" s="378"/>
      <c r="M4367" s="380"/>
      <c r="N4367" s="380"/>
      <c r="O4367" s="380"/>
      <c r="P4367" s="380"/>
      <c r="Q4367" s="380"/>
    </row>
    <row r="4368" spans="1:17" x14ac:dyDescent="0.2">
      <c r="A4368" s="334" t="s">
        <v>1568</v>
      </c>
      <c r="B4368" s="380"/>
      <c r="C4368" s="380" t="s">
        <v>1817</v>
      </c>
      <c r="D4368" s="377"/>
      <c r="E4368" s="380"/>
      <c r="F4368" s="378"/>
      <c r="G4368" s="380"/>
      <c r="H4368" s="380"/>
      <c r="I4368" s="399"/>
      <c r="J4368" s="377"/>
      <c r="K4368" s="380"/>
      <c r="L4368" s="378"/>
      <c r="M4368" s="380"/>
      <c r="N4368" s="380"/>
      <c r="O4368" s="380"/>
      <c r="P4368" s="380"/>
      <c r="Q4368" s="380"/>
    </row>
    <row r="4369" spans="1:17" x14ac:dyDescent="0.2">
      <c r="A4369" s="334" t="s">
        <v>1743</v>
      </c>
      <c r="B4369" s="380"/>
      <c r="C4369" s="334" t="s">
        <v>1886</v>
      </c>
      <c r="D4369" s="377"/>
      <c r="E4369" s="380"/>
      <c r="F4369" s="378"/>
      <c r="G4369" s="380"/>
      <c r="H4369" s="380"/>
      <c r="I4369" s="399"/>
      <c r="J4369" s="377"/>
      <c r="K4369" s="380"/>
      <c r="L4369" s="378"/>
      <c r="M4369" s="380"/>
      <c r="N4369" s="380"/>
      <c r="O4369" s="380"/>
      <c r="P4369" s="380"/>
      <c r="Q4369" s="380"/>
    </row>
    <row r="4370" spans="1:17" x14ac:dyDescent="0.2">
      <c r="A4370" s="334" t="s">
        <v>1724</v>
      </c>
      <c r="B4370" s="380"/>
      <c r="C4370" s="334" t="s">
        <v>1881</v>
      </c>
      <c r="D4370" s="377"/>
      <c r="E4370" s="380"/>
      <c r="F4370" s="378"/>
      <c r="G4370" s="380"/>
      <c r="H4370" s="380"/>
      <c r="I4370" s="399"/>
      <c r="J4370" s="377"/>
      <c r="K4370" s="380"/>
      <c r="L4370" s="378"/>
      <c r="M4370" s="380"/>
      <c r="N4370" s="380"/>
      <c r="O4370" s="380"/>
      <c r="P4370" s="380"/>
      <c r="Q4370" s="380"/>
    </row>
    <row r="4371" spans="1:17" x14ac:dyDescent="0.2">
      <c r="A4371" s="334" t="s">
        <v>1736</v>
      </c>
      <c r="B4371" s="380"/>
      <c r="C4371" s="334" t="s">
        <v>1747</v>
      </c>
      <c r="D4371" s="377"/>
      <c r="E4371" s="380"/>
      <c r="F4371" s="378"/>
      <c r="G4371" s="380"/>
      <c r="H4371" s="380"/>
      <c r="I4371" s="399"/>
      <c r="J4371" s="377"/>
      <c r="K4371" s="380"/>
      <c r="L4371" s="378"/>
      <c r="M4371" s="380"/>
      <c r="N4371" s="380"/>
      <c r="O4371" s="380"/>
      <c r="P4371" s="380"/>
      <c r="Q4371" s="380"/>
    </row>
    <row r="4372" spans="1:17" x14ac:dyDescent="0.2">
      <c r="A4372" s="334" t="s">
        <v>1744</v>
      </c>
      <c r="B4372" s="380"/>
      <c r="C4372" s="334" t="s">
        <v>1254</v>
      </c>
      <c r="D4372" s="377"/>
      <c r="E4372" s="380"/>
      <c r="F4372" s="378"/>
      <c r="G4372" s="380"/>
      <c r="H4372" s="380"/>
      <c r="I4372" s="399"/>
      <c r="J4372" s="377"/>
      <c r="K4372" s="380"/>
      <c r="L4372" s="378"/>
      <c r="M4372" s="380"/>
      <c r="N4372" s="380"/>
      <c r="O4372" s="380"/>
      <c r="P4372" s="380"/>
      <c r="Q4372" s="380"/>
    </row>
    <row r="4373" spans="1:17" x14ac:dyDescent="0.2">
      <c r="A4373" s="334" t="s">
        <v>1725</v>
      </c>
      <c r="B4373" s="380"/>
      <c r="C4373" s="334" t="s">
        <v>1890</v>
      </c>
      <c r="D4373" s="377"/>
      <c r="E4373" s="380"/>
      <c r="F4373" s="378"/>
      <c r="G4373" s="380"/>
      <c r="H4373" s="380"/>
      <c r="I4373" s="399"/>
      <c r="J4373" s="377"/>
      <c r="K4373" s="380"/>
      <c r="L4373" s="378"/>
      <c r="M4373" s="380"/>
      <c r="N4373" s="380"/>
      <c r="O4373" s="380"/>
      <c r="P4373" s="380"/>
      <c r="Q4373" s="380"/>
    </row>
    <row r="4374" spans="1:17" x14ac:dyDescent="0.2">
      <c r="A4374" s="334" t="s">
        <v>1576</v>
      </c>
      <c r="B4374" s="380"/>
      <c r="C4374" s="334" t="s">
        <v>1590</v>
      </c>
      <c r="D4374" s="377"/>
      <c r="E4374" s="380"/>
      <c r="F4374" s="378"/>
      <c r="G4374" s="380"/>
      <c r="H4374" s="380"/>
      <c r="I4374" s="399"/>
      <c r="J4374" s="377"/>
      <c r="K4374" s="380"/>
      <c r="L4374" s="378"/>
      <c r="M4374" s="380"/>
      <c r="N4374" s="380"/>
      <c r="O4374" s="380"/>
      <c r="P4374" s="380"/>
      <c r="Q4374" s="380"/>
    </row>
    <row r="4375" spans="1:17" x14ac:dyDescent="0.2">
      <c r="A4375" s="334" t="s">
        <v>1738</v>
      </c>
      <c r="B4375" s="380"/>
      <c r="C4375" s="334" t="s">
        <v>1591</v>
      </c>
      <c r="D4375" s="377"/>
      <c r="E4375" s="380"/>
      <c r="F4375" s="378"/>
      <c r="G4375" s="380"/>
      <c r="H4375" s="380"/>
      <c r="I4375" s="399"/>
      <c r="J4375" s="377"/>
      <c r="K4375" s="380"/>
      <c r="L4375" s="378"/>
      <c r="M4375" s="380"/>
      <c r="N4375" s="380"/>
      <c r="O4375" s="380"/>
      <c r="P4375" s="380"/>
      <c r="Q4375" s="380"/>
    </row>
    <row r="4376" spans="1:17" x14ac:dyDescent="0.2">
      <c r="A4376" s="334" t="s">
        <v>1727</v>
      </c>
      <c r="B4376" s="380"/>
      <c r="C4376" s="334" t="s">
        <v>307</v>
      </c>
      <c r="D4376" s="377"/>
      <c r="E4376" s="380"/>
      <c r="F4376" s="378"/>
      <c r="G4376" s="380"/>
      <c r="H4376" s="380"/>
      <c r="I4376" s="399"/>
      <c r="J4376" s="377"/>
      <c r="K4376" s="380"/>
      <c r="L4376" s="378"/>
      <c r="M4376" s="380"/>
      <c r="N4376" s="380"/>
      <c r="O4376" s="380"/>
      <c r="P4376" s="380"/>
      <c r="Q4376" s="380"/>
    </row>
    <row r="4377" spans="1:17" x14ac:dyDescent="0.2">
      <c r="A4377" s="334" t="s">
        <v>1728</v>
      </c>
      <c r="B4377" s="380"/>
      <c r="C4377" s="334" t="s">
        <v>310</v>
      </c>
      <c r="D4377" s="377"/>
      <c r="E4377" s="380"/>
      <c r="F4377" s="378"/>
      <c r="G4377" s="380"/>
      <c r="H4377" s="380"/>
      <c r="I4377" s="399"/>
      <c r="J4377" s="377"/>
      <c r="K4377" s="380"/>
      <c r="L4377" s="378"/>
      <c r="M4377" s="380"/>
      <c r="N4377" s="380"/>
      <c r="O4377" s="380"/>
      <c r="P4377" s="380"/>
      <c r="Q4377" s="380"/>
    </row>
    <row r="4378" spans="1:17" x14ac:dyDescent="0.2">
      <c r="A4378" s="334" t="s">
        <v>1729</v>
      </c>
      <c r="B4378" s="380"/>
      <c r="C4378" s="380" t="s">
        <v>1551</v>
      </c>
      <c r="D4378" s="377"/>
      <c r="E4378" s="380"/>
      <c r="F4378" s="378"/>
      <c r="G4378" s="380"/>
      <c r="H4378" s="380"/>
      <c r="I4378" s="399"/>
      <c r="J4378" s="377"/>
      <c r="K4378" s="380"/>
      <c r="L4378" s="378"/>
      <c r="M4378" s="380"/>
      <c r="N4378" s="380"/>
      <c r="O4378" s="380"/>
      <c r="P4378" s="380"/>
      <c r="Q4378" s="380"/>
    </row>
    <row r="4379" spans="1:17" x14ac:dyDescent="0.2">
      <c r="A4379" s="334" t="s">
        <v>1735</v>
      </c>
      <c r="B4379" s="380"/>
      <c r="C4379" s="380" t="s">
        <v>194</v>
      </c>
      <c r="D4379" s="377"/>
      <c r="E4379" s="380"/>
      <c r="F4379" s="378"/>
      <c r="G4379" s="380"/>
      <c r="H4379" s="380"/>
      <c r="I4379" s="399"/>
      <c r="J4379" s="377"/>
      <c r="K4379" s="380"/>
      <c r="L4379" s="378"/>
      <c r="M4379" s="380"/>
      <c r="N4379" s="380"/>
      <c r="O4379" s="380"/>
      <c r="P4379" s="380"/>
      <c r="Q4379" s="380"/>
    </row>
    <row r="4380" spans="1:17" x14ac:dyDescent="0.2">
      <c r="A4380" s="334" t="s">
        <v>1754</v>
      </c>
      <c r="B4380" s="380"/>
      <c r="C4380" s="334" t="s">
        <v>1929</v>
      </c>
      <c r="D4380" s="377"/>
      <c r="E4380" s="380"/>
      <c r="F4380" s="378"/>
      <c r="G4380" s="380"/>
      <c r="H4380" s="380"/>
      <c r="I4380" s="399"/>
      <c r="J4380" s="377"/>
      <c r="K4380" s="380"/>
      <c r="L4380" s="378"/>
      <c r="M4380" s="380"/>
      <c r="N4380" s="380"/>
      <c r="O4380" s="380"/>
      <c r="P4380" s="380"/>
      <c r="Q4380" s="380"/>
    </row>
    <row r="4381" spans="1:17" x14ac:dyDescent="0.2">
      <c r="A4381" s="334" t="s">
        <v>1572</v>
      </c>
      <c r="B4381" s="380"/>
      <c r="C4381" s="334" t="s">
        <v>3134</v>
      </c>
      <c r="D4381" s="377"/>
      <c r="E4381" s="380"/>
      <c r="F4381" s="378"/>
      <c r="G4381" s="380"/>
      <c r="H4381" s="380"/>
      <c r="I4381" s="399"/>
      <c r="J4381" s="377"/>
      <c r="K4381" s="380"/>
      <c r="L4381" s="378"/>
      <c r="M4381" s="380"/>
      <c r="N4381" s="380"/>
      <c r="O4381" s="380"/>
      <c r="P4381" s="380"/>
      <c r="Q4381" s="380"/>
    </row>
    <row r="4382" spans="1:17" x14ac:dyDescent="0.2">
      <c r="A4382" s="334" t="s">
        <v>1566</v>
      </c>
      <c r="B4382" s="380"/>
      <c r="C4382" s="334" t="s">
        <v>366</v>
      </c>
      <c r="D4382" s="377"/>
      <c r="E4382" s="380"/>
      <c r="F4382" s="378"/>
      <c r="G4382" s="380"/>
      <c r="H4382" s="380"/>
      <c r="I4382" s="399"/>
      <c r="J4382" s="377"/>
      <c r="K4382" s="380"/>
      <c r="L4382" s="378"/>
      <c r="M4382" s="380"/>
      <c r="N4382" s="380"/>
      <c r="O4382" s="380"/>
      <c r="P4382" s="380"/>
      <c r="Q4382" s="380"/>
    </row>
    <row r="4383" spans="1:17" x14ac:dyDescent="0.2">
      <c r="A4383" s="334" t="s">
        <v>1567</v>
      </c>
      <c r="B4383" s="380"/>
      <c r="C4383" s="334" t="s">
        <v>3142</v>
      </c>
      <c r="D4383" s="334"/>
      <c r="E4383" s="380"/>
      <c r="F4383" s="378"/>
      <c r="G4383" s="380"/>
      <c r="H4383" s="380"/>
      <c r="I4383" s="385"/>
      <c r="J4383" s="334"/>
      <c r="K4383" s="380"/>
      <c r="L4383" s="378"/>
      <c r="M4383" s="380"/>
      <c r="N4383" s="380"/>
      <c r="O4383" s="380"/>
      <c r="P4383" s="380"/>
      <c r="Q4383" s="380"/>
    </row>
    <row r="4384" spans="1:17" x14ac:dyDescent="0.2">
      <c r="A4384" s="380"/>
      <c r="B4384" s="380"/>
      <c r="C4384" s="380"/>
      <c r="D4384" s="410" t="s">
        <v>342</v>
      </c>
      <c r="E4384" s="380"/>
      <c r="F4384" s="378"/>
      <c r="G4384" s="380"/>
      <c r="H4384" s="380"/>
      <c r="I4384" s="385"/>
      <c r="J4384" s="410" t="s">
        <v>342</v>
      </c>
      <c r="K4384" s="380"/>
      <c r="L4384" s="378"/>
      <c r="M4384" s="380"/>
      <c r="N4384" s="380"/>
      <c r="O4384" s="380"/>
      <c r="P4384" s="380"/>
      <c r="Q4384" s="380"/>
    </row>
    <row r="4385" spans="1:17" x14ac:dyDescent="0.2">
      <c r="A4385" s="380"/>
      <c r="B4385" s="380"/>
      <c r="C4385" s="380"/>
      <c r="D4385" s="334">
        <f>SUM(D4368:D4383)</f>
        <v>0</v>
      </c>
      <c r="E4385" s="380"/>
      <c r="F4385" s="378"/>
      <c r="G4385" s="380"/>
      <c r="H4385" s="380"/>
      <c r="I4385" s="385"/>
      <c r="J4385" s="334">
        <f>SUM(J4368:J4383)</f>
        <v>0</v>
      </c>
      <c r="K4385" s="380"/>
      <c r="L4385" s="378"/>
      <c r="M4385" s="380"/>
      <c r="N4385" s="380"/>
      <c r="O4385" s="380"/>
      <c r="P4385" s="380"/>
      <c r="Q4385" s="380"/>
    </row>
    <row r="4386" spans="1:17" ht="15.75" thickTop="1" x14ac:dyDescent="0.2">
      <c r="A4386" s="380"/>
      <c r="B4386" s="380"/>
      <c r="C4386" s="380"/>
      <c r="D4386" s="395">
        <f>D4385-D4368</f>
        <v>0</v>
      </c>
      <c r="E4386" s="380"/>
      <c r="F4386" s="378"/>
      <c r="G4386" s="380"/>
      <c r="H4386" s="380"/>
      <c r="I4386" s="399"/>
      <c r="J4386" s="395">
        <f>J4385-J4368</f>
        <v>0</v>
      </c>
      <c r="K4386" s="380"/>
      <c r="L4386" s="378"/>
      <c r="M4386" s="380"/>
      <c r="N4386" s="380"/>
      <c r="O4386" s="380"/>
      <c r="P4386" s="380"/>
      <c r="Q4386" s="380"/>
    </row>
    <row r="4387" spans="1:17" x14ac:dyDescent="0.2">
      <c r="A4387" s="380"/>
      <c r="B4387" s="380"/>
      <c r="C4387" s="380"/>
      <c r="D4387" s="380"/>
      <c r="E4387" s="380"/>
      <c r="F4387" s="378"/>
      <c r="G4387" s="380"/>
      <c r="H4387" s="380"/>
      <c r="I4387" s="382"/>
      <c r="J4387" s="380"/>
      <c r="K4387" s="380"/>
      <c r="L4387" s="378"/>
      <c r="M4387" s="380"/>
      <c r="N4387" s="380"/>
      <c r="O4387" s="380"/>
      <c r="P4387" s="380"/>
      <c r="Q4387" s="380"/>
    </row>
    <row r="4388" spans="1:17" x14ac:dyDescent="0.2">
      <c r="A4388" s="377"/>
      <c r="B4388" s="377"/>
      <c r="C4388" s="377"/>
      <c r="D4388" s="377"/>
      <c r="E4388" s="377"/>
      <c r="F4388" s="378"/>
      <c r="G4388" s="377"/>
      <c r="H4388" s="377"/>
      <c r="I4388" s="399"/>
      <c r="J4388" s="377"/>
      <c r="K4388" s="377"/>
      <c r="L4388" s="378"/>
      <c r="M4388" s="377"/>
      <c r="N4388" s="377"/>
      <c r="O4388" s="380"/>
      <c r="P4388" s="380"/>
      <c r="Q4388" s="380"/>
    </row>
    <row r="4389" spans="1:17" x14ac:dyDescent="0.2">
      <c r="A4389" s="334" t="s">
        <v>1647</v>
      </c>
      <c r="B4389" s="380"/>
      <c r="C4389" s="380"/>
      <c r="D4389" s="380"/>
      <c r="E4389" s="380"/>
      <c r="F4389" s="378"/>
      <c r="G4389" s="380"/>
      <c r="H4389" s="380"/>
      <c r="I4389" s="382"/>
      <c r="J4389" s="380"/>
      <c r="K4389" s="380"/>
      <c r="L4389" s="378"/>
      <c r="M4389" s="380"/>
      <c r="N4389" s="380"/>
      <c r="O4389" s="380"/>
      <c r="P4389" s="380"/>
      <c r="Q4389" s="380"/>
    </row>
    <row r="4390" spans="1:17" x14ac:dyDescent="0.2">
      <c r="A4390" s="334" t="s">
        <v>342</v>
      </c>
      <c r="B4390" s="380"/>
      <c r="C4390" s="384" t="s">
        <v>2069</v>
      </c>
      <c r="D4390" s="380"/>
      <c r="E4390" s="380"/>
      <c r="F4390" s="378"/>
      <c r="G4390" s="380"/>
      <c r="H4390" s="380"/>
      <c r="I4390" s="382"/>
      <c r="J4390" s="380"/>
      <c r="K4390" s="380"/>
      <c r="L4390" s="378"/>
      <c r="M4390" s="380"/>
      <c r="N4390" s="380"/>
      <c r="O4390" s="380"/>
      <c r="P4390" s="380"/>
      <c r="Q4390" s="380"/>
    </row>
    <row r="4391" spans="1:17" x14ac:dyDescent="0.2">
      <c r="A4391" s="334" t="s">
        <v>342</v>
      </c>
      <c r="B4391" s="380"/>
      <c r="C4391" s="334" t="s">
        <v>342</v>
      </c>
      <c r="D4391" s="334" t="s">
        <v>342</v>
      </c>
      <c r="E4391" s="380"/>
      <c r="F4391" s="378"/>
      <c r="G4391" s="380"/>
      <c r="H4391" s="380"/>
      <c r="I4391" s="385"/>
      <c r="J4391" s="334" t="s">
        <v>342</v>
      </c>
      <c r="K4391" s="380"/>
      <c r="L4391" s="378"/>
      <c r="M4391" s="380"/>
      <c r="N4391" s="380"/>
      <c r="O4391" s="380"/>
      <c r="P4391" s="380"/>
      <c r="Q4391" s="380"/>
    </row>
    <row r="4392" spans="1:17" x14ac:dyDescent="0.2">
      <c r="A4392" s="334" t="s">
        <v>1723</v>
      </c>
      <c r="B4392" s="380"/>
      <c r="C4392" s="334" t="s">
        <v>1880</v>
      </c>
      <c r="D4392" s="334" t="s">
        <v>181</v>
      </c>
      <c r="E4392" s="380"/>
      <c r="F4392" s="378"/>
      <c r="G4392" s="380"/>
      <c r="H4392" s="380"/>
      <c r="I4392" s="385"/>
      <c r="J4392" s="334" t="s">
        <v>181</v>
      </c>
      <c r="K4392" s="380"/>
      <c r="L4392" s="378"/>
      <c r="M4392" s="380"/>
      <c r="N4392" s="380"/>
      <c r="O4392" s="380"/>
      <c r="P4392" s="380"/>
      <c r="Q4392" s="380"/>
    </row>
    <row r="4393" spans="1:17" x14ac:dyDescent="0.2">
      <c r="A4393" s="380"/>
      <c r="B4393" s="380"/>
      <c r="C4393" s="380"/>
      <c r="D4393" s="380"/>
      <c r="E4393" s="380"/>
      <c r="F4393" s="378"/>
      <c r="G4393" s="380"/>
      <c r="H4393" s="380"/>
      <c r="I4393" s="382"/>
      <c r="J4393" s="380"/>
      <c r="K4393" s="380"/>
      <c r="L4393" s="378"/>
      <c r="M4393" s="380"/>
      <c r="N4393" s="380"/>
      <c r="O4393" s="380"/>
      <c r="P4393" s="380"/>
      <c r="Q4393" s="380"/>
    </row>
    <row r="4394" spans="1:17" x14ac:dyDescent="0.2">
      <c r="A4394" s="334" t="s">
        <v>1568</v>
      </c>
      <c r="B4394" s="380"/>
      <c r="C4394" s="380" t="s">
        <v>1817</v>
      </c>
      <c r="D4394" s="377"/>
      <c r="E4394" s="380"/>
      <c r="F4394" s="378"/>
      <c r="G4394" s="380"/>
      <c r="H4394" s="380"/>
      <c r="I4394" s="399"/>
      <c r="J4394" s="377"/>
      <c r="K4394" s="380"/>
      <c r="L4394" s="378"/>
      <c r="M4394" s="380"/>
      <c r="N4394" s="380"/>
      <c r="O4394" s="380"/>
      <c r="P4394" s="380"/>
      <c r="Q4394" s="380"/>
    </row>
    <row r="4395" spans="1:17" x14ac:dyDescent="0.2">
      <c r="A4395" s="334" t="s">
        <v>1743</v>
      </c>
      <c r="B4395" s="380"/>
      <c r="C4395" s="334" t="s">
        <v>1886</v>
      </c>
      <c r="D4395" s="377"/>
      <c r="E4395" s="380"/>
      <c r="F4395" s="378"/>
      <c r="G4395" s="380"/>
      <c r="H4395" s="380"/>
      <c r="I4395" s="399"/>
      <c r="J4395" s="377"/>
      <c r="K4395" s="380"/>
      <c r="L4395" s="378"/>
      <c r="M4395" s="380"/>
      <c r="N4395" s="380"/>
      <c r="O4395" s="380"/>
      <c r="P4395" s="380"/>
      <c r="Q4395" s="380"/>
    </row>
    <row r="4396" spans="1:17" x14ac:dyDescent="0.2">
      <c r="A4396" s="334" t="s">
        <v>1724</v>
      </c>
      <c r="B4396" s="380"/>
      <c r="C4396" s="334" t="s">
        <v>1881</v>
      </c>
      <c r="D4396" s="377"/>
      <c r="E4396" s="380"/>
      <c r="F4396" s="378"/>
      <c r="G4396" s="380"/>
      <c r="H4396" s="380"/>
      <c r="I4396" s="399"/>
      <c r="J4396" s="377"/>
      <c r="K4396" s="380"/>
      <c r="L4396" s="378"/>
      <c r="M4396" s="380"/>
      <c r="N4396" s="380"/>
      <c r="O4396" s="380"/>
      <c r="P4396" s="380"/>
      <c r="Q4396" s="380"/>
    </row>
    <row r="4397" spans="1:17" x14ac:dyDescent="0.2">
      <c r="A4397" s="334" t="s">
        <v>1736</v>
      </c>
      <c r="B4397" s="380"/>
      <c r="C4397" s="334" t="s">
        <v>1747</v>
      </c>
      <c r="D4397" s="377"/>
      <c r="E4397" s="380"/>
      <c r="F4397" s="378"/>
      <c r="G4397" s="380"/>
      <c r="H4397" s="380"/>
      <c r="I4397" s="399"/>
      <c r="J4397" s="377"/>
      <c r="K4397" s="380"/>
      <c r="L4397" s="378"/>
      <c r="M4397" s="380"/>
      <c r="N4397" s="380"/>
      <c r="O4397" s="380"/>
      <c r="P4397" s="380"/>
      <c r="Q4397" s="380"/>
    </row>
    <row r="4398" spans="1:17" x14ac:dyDescent="0.2">
      <c r="A4398" s="334" t="s">
        <v>1744</v>
      </c>
      <c r="B4398" s="380"/>
      <c r="C4398" s="334" t="s">
        <v>1254</v>
      </c>
      <c r="D4398" s="377"/>
      <c r="E4398" s="380"/>
      <c r="F4398" s="378"/>
      <c r="G4398" s="380"/>
      <c r="H4398" s="380"/>
      <c r="I4398" s="399"/>
      <c r="J4398" s="377"/>
      <c r="K4398" s="380"/>
      <c r="L4398" s="378"/>
      <c r="M4398" s="380"/>
      <c r="N4398" s="380"/>
      <c r="O4398" s="380"/>
      <c r="P4398" s="380"/>
      <c r="Q4398" s="380"/>
    </row>
    <row r="4399" spans="1:17" x14ac:dyDescent="0.2">
      <c r="A4399" s="334" t="s">
        <v>1725</v>
      </c>
      <c r="B4399" s="380"/>
      <c r="C4399" s="334" t="s">
        <v>1890</v>
      </c>
      <c r="D4399" s="377"/>
      <c r="E4399" s="380"/>
      <c r="F4399" s="378"/>
      <c r="G4399" s="380"/>
      <c r="H4399" s="380"/>
      <c r="I4399" s="399"/>
      <c r="J4399" s="377"/>
      <c r="K4399" s="380"/>
      <c r="L4399" s="378"/>
      <c r="M4399" s="380"/>
      <c r="N4399" s="380"/>
      <c r="O4399" s="380"/>
      <c r="P4399" s="380"/>
      <c r="Q4399" s="380"/>
    </row>
    <row r="4400" spans="1:17" x14ac:dyDescent="0.2">
      <c r="A4400" s="334" t="s">
        <v>1576</v>
      </c>
      <c r="B4400" s="380"/>
      <c r="C4400" s="334" t="s">
        <v>1590</v>
      </c>
      <c r="D4400" s="377"/>
      <c r="E4400" s="380"/>
      <c r="F4400" s="378"/>
      <c r="G4400" s="380"/>
      <c r="H4400" s="380"/>
      <c r="I4400" s="399"/>
      <c r="J4400" s="377"/>
      <c r="K4400" s="380"/>
      <c r="L4400" s="378"/>
      <c r="M4400" s="380"/>
      <c r="N4400" s="380"/>
      <c r="O4400" s="380"/>
      <c r="P4400" s="380"/>
      <c r="Q4400" s="380"/>
    </row>
    <row r="4401" spans="1:17" x14ac:dyDescent="0.2">
      <c r="A4401" s="334" t="s">
        <v>1738</v>
      </c>
      <c r="B4401" s="380"/>
      <c r="C4401" s="334" t="s">
        <v>1591</v>
      </c>
      <c r="D4401" s="377"/>
      <c r="E4401" s="380"/>
      <c r="F4401" s="378"/>
      <c r="G4401" s="380"/>
      <c r="H4401" s="380"/>
      <c r="I4401" s="399"/>
      <c r="J4401" s="377"/>
      <c r="K4401" s="380"/>
      <c r="L4401" s="378"/>
      <c r="M4401" s="380"/>
      <c r="N4401" s="380"/>
      <c r="O4401" s="380"/>
      <c r="P4401" s="380"/>
      <c r="Q4401" s="380"/>
    </row>
    <row r="4402" spans="1:17" x14ac:dyDescent="0.2">
      <c r="A4402" s="334" t="s">
        <v>1727</v>
      </c>
      <c r="B4402" s="380"/>
      <c r="C4402" s="334" t="s">
        <v>307</v>
      </c>
      <c r="D4402" s="377"/>
      <c r="E4402" s="380"/>
      <c r="F4402" s="378"/>
      <c r="G4402" s="380"/>
      <c r="H4402" s="380"/>
      <c r="I4402" s="399"/>
      <c r="J4402" s="377"/>
      <c r="K4402" s="380"/>
      <c r="L4402" s="378"/>
      <c r="M4402" s="380"/>
      <c r="N4402" s="380"/>
      <c r="O4402" s="380"/>
      <c r="P4402" s="380"/>
      <c r="Q4402" s="380"/>
    </row>
    <row r="4403" spans="1:17" x14ac:dyDescent="0.2">
      <c r="A4403" s="334" t="s">
        <v>1728</v>
      </c>
      <c r="B4403" s="380"/>
      <c r="C4403" s="334" t="s">
        <v>310</v>
      </c>
      <c r="D4403" s="377"/>
      <c r="E4403" s="380"/>
      <c r="F4403" s="378"/>
      <c r="G4403" s="380"/>
      <c r="H4403" s="380"/>
      <c r="I4403" s="399"/>
      <c r="J4403" s="377"/>
      <c r="K4403" s="380"/>
      <c r="L4403" s="378"/>
      <c r="M4403" s="380"/>
      <c r="N4403" s="380"/>
      <c r="O4403" s="380"/>
      <c r="P4403" s="380"/>
      <c r="Q4403" s="380"/>
    </row>
    <row r="4404" spans="1:17" x14ac:dyDescent="0.2">
      <c r="A4404" s="334" t="s">
        <v>1729</v>
      </c>
      <c r="B4404" s="380"/>
      <c r="C4404" s="380" t="s">
        <v>1551</v>
      </c>
      <c r="D4404" s="377"/>
      <c r="E4404" s="380"/>
      <c r="F4404" s="378"/>
      <c r="G4404" s="380"/>
      <c r="H4404" s="380"/>
      <c r="I4404" s="399"/>
      <c r="J4404" s="377"/>
      <c r="K4404" s="380"/>
      <c r="L4404" s="378"/>
      <c r="M4404" s="380"/>
      <c r="N4404" s="380"/>
      <c r="O4404" s="380"/>
      <c r="P4404" s="380"/>
      <c r="Q4404" s="380"/>
    </row>
    <row r="4405" spans="1:17" x14ac:dyDescent="0.2">
      <c r="A4405" s="334" t="s">
        <v>1735</v>
      </c>
      <c r="B4405" s="380"/>
      <c r="C4405" s="380" t="s">
        <v>194</v>
      </c>
      <c r="D4405" s="377"/>
      <c r="E4405" s="380"/>
      <c r="F4405" s="378"/>
      <c r="G4405" s="380"/>
      <c r="H4405" s="380"/>
      <c r="I4405" s="399"/>
      <c r="J4405" s="377"/>
      <c r="K4405" s="380"/>
      <c r="L4405" s="378"/>
      <c r="M4405" s="380"/>
      <c r="N4405" s="380"/>
      <c r="O4405" s="380"/>
      <c r="P4405" s="380"/>
      <c r="Q4405" s="380"/>
    </row>
    <row r="4406" spans="1:17" x14ac:dyDescent="0.2">
      <c r="A4406" s="334" t="s">
        <v>1754</v>
      </c>
      <c r="B4406" s="380"/>
      <c r="C4406" s="334" t="s">
        <v>1929</v>
      </c>
      <c r="D4406" s="377"/>
      <c r="E4406" s="380"/>
      <c r="F4406" s="378"/>
      <c r="G4406" s="380"/>
      <c r="H4406" s="380"/>
      <c r="I4406" s="399"/>
      <c r="J4406" s="377"/>
      <c r="K4406" s="380"/>
      <c r="L4406" s="378"/>
      <c r="M4406" s="380"/>
      <c r="N4406" s="380"/>
      <c r="O4406" s="380"/>
      <c r="P4406" s="380"/>
      <c r="Q4406" s="380"/>
    </row>
    <row r="4407" spans="1:17" x14ac:dyDescent="0.2">
      <c r="A4407" s="334" t="s">
        <v>1572</v>
      </c>
      <c r="B4407" s="380"/>
      <c r="C4407" s="334" t="s">
        <v>3134</v>
      </c>
      <c r="D4407" s="377"/>
      <c r="E4407" s="380"/>
      <c r="F4407" s="378"/>
      <c r="G4407" s="380"/>
      <c r="H4407" s="380"/>
      <c r="I4407" s="399"/>
      <c r="J4407" s="377"/>
      <c r="K4407" s="380"/>
      <c r="L4407" s="378"/>
      <c r="M4407" s="380"/>
      <c r="N4407" s="380"/>
      <c r="O4407" s="380"/>
      <c r="P4407" s="380"/>
      <c r="Q4407" s="380"/>
    </row>
    <row r="4408" spans="1:17" x14ac:dyDescent="0.2">
      <c r="A4408" s="334" t="s">
        <v>1566</v>
      </c>
      <c r="B4408" s="380"/>
      <c r="C4408" s="334" t="s">
        <v>366</v>
      </c>
      <c r="D4408" s="377"/>
      <c r="E4408" s="380"/>
      <c r="F4408" s="378"/>
      <c r="G4408" s="380"/>
      <c r="H4408" s="380"/>
      <c r="I4408" s="399"/>
      <c r="J4408" s="377"/>
      <c r="K4408" s="380"/>
      <c r="L4408" s="378"/>
      <c r="M4408" s="380"/>
      <c r="N4408" s="380"/>
      <c r="O4408" s="380"/>
      <c r="P4408" s="380"/>
      <c r="Q4408" s="380"/>
    </row>
    <row r="4409" spans="1:17" x14ac:dyDescent="0.2">
      <c r="A4409" s="334" t="s">
        <v>1567</v>
      </c>
      <c r="B4409" s="380"/>
      <c r="C4409" s="334" t="s">
        <v>3142</v>
      </c>
      <c r="D4409" s="334"/>
      <c r="E4409" s="380"/>
      <c r="F4409" s="378"/>
      <c r="G4409" s="380"/>
      <c r="H4409" s="380"/>
      <c r="I4409" s="385"/>
      <c r="J4409" s="334"/>
      <c r="K4409" s="380"/>
      <c r="L4409" s="378"/>
      <c r="M4409" s="380"/>
      <c r="N4409" s="380"/>
      <c r="O4409" s="380"/>
      <c r="P4409" s="380"/>
      <c r="Q4409" s="380"/>
    </row>
    <row r="4410" spans="1:17" x14ac:dyDescent="0.2">
      <c r="A4410" s="380"/>
      <c r="B4410" s="380"/>
      <c r="C4410" s="380"/>
      <c r="D4410" s="410" t="s">
        <v>342</v>
      </c>
      <c r="E4410" s="380"/>
      <c r="F4410" s="378"/>
      <c r="G4410" s="380"/>
      <c r="H4410" s="380"/>
      <c r="I4410" s="385"/>
      <c r="J4410" s="410" t="s">
        <v>342</v>
      </c>
      <c r="K4410" s="380"/>
      <c r="L4410" s="378"/>
      <c r="M4410" s="380"/>
      <c r="N4410" s="380"/>
      <c r="O4410" s="380"/>
      <c r="P4410" s="380"/>
      <c r="Q4410" s="380"/>
    </row>
    <row r="4411" spans="1:17" x14ac:dyDescent="0.2">
      <c r="A4411" s="380"/>
      <c r="B4411" s="380"/>
      <c r="C4411" s="380"/>
      <c r="D4411" s="334">
        <f>SUM(D4394:D4409)</f>
        <v>0</v>
      </c>
      <c r="E4411" s="380"/>
      <c r="F4411" s="378"/>
      <c r="G4411" s="380"/>
      <c r="H4411" s="380"/>
      <c r="I4411" s="385"/>
      <c r="J4411" s="334">
        <f>SUM(J4394:J4409)</f>
        <v>0</v>
      </c>
      <c r="K4411" s="380"/>
      <c r="L4411" s="378"/>
      <c r="M4411" s="380"/>
      <c r="N4411" s="380"/>
      <c r="O4411" s="380"/>
      <c r="P4411" s="380"/>
      <c r="Q4411" s="380"/>
    </row>
    <row r="4412" spans="1:17" ht="15.75" thickTop="1" x14ac:dyDescent="0.2">
      <c r="A4412" s="380"/>
      <c r="B4412" s="380"/>
      <c r="C4412" s="380"/>
      <c r="D4412" s="395">
        <f>D4411-D4394</f>
        <v>0</v>
      </c>
      <c r="E4412" s="380"/>
      <c r="F4412" s="378"/>
      <c r="G4412" s="380"/>
      <c r="H4412" s="380"/>
      <c r="I4412" s="399"/>
      <c r="J4412" s="395">
        <f>J4411-J4394</f>
        <v>0</v>
      </c>
      <c r="K4412" s="380"/>
      <c r="L4412" s="378"/>
      <c r="M4412" s="380"/>
      <c r="N4412" s="380"/>
      <c r="O4412" s="380"/>
      <c r="P4412" s="380"/>
      <c r="Q4412" s="380"/>
    </row>
    <row r="4413" spans="1:17" x14ac:dyDescent="0.2">
      <c r="A4413" s="380"/>
      <c r="B4413" s="380"/>
      <c r="C4413" s="380"/>
      <c r="D4413" s="380"/>
      <c r="E4413" s="380"/>
      <c r="F4413" s="378"/>
      <c r="G4413" s="380"/>
      <c r="H4413" s="380"/>
      <c r="I4413" s="382"/>
      <c r="J4413" s="380"/>
      <c r="K4413" s="380"/>
      <c r="L4413" s="378"/>
      <c r="M4413" s="380"/>
      <c r="N4413" s="380"/>
      <c r="O4413" s="380"/>
      <c r="P4413" s="380"/>
      <c r="Q4413" s="380"/>
    </row>
    <row r="4414" spans="1:17" x14ac:dyDescent="0.2">
      <c r="A4414" s="377"/>
      <c r="B4414" s="377"/>
      <c r="C4414" s="377"/>
      <c r="D4414" s="377"/>
      <c r="E4414" s="377"/>
      <c r="F4414" s="378"/>
      <c r="G4414" s="377"/>
      <c r="H4414" s="377"/>
      <c r="I4414" s="399"/>
      <c r="J4414" s="377"/>
      <c r="K4414" s="377"/>
      <c r="L4414" s="378"/>
      <c r="M4414" s="377"/>
      <c r="N4414" s="377"/>
      <c r="O4414" s="380"/>
      <c r="P4414" s="380"/>
      <c r="Q4414" s="380"/>
    </row>
    <row r="4415" spans="1:17" x14ac:dyDescent="0.2">
      <c r="A4415" s="334" t="s">
        <v>1648</v>
      </c>
      <c r="B4415" s="380"/>
      <c r="C4415" s="380"/>
      <c r="D4415" s="380"/>
      <c r="E4415" s="380"/>
      <c r="F4415" s="378"/>
      <c r="G4415" s="380"/>
      <c r="H4415" s="380"/>
      <c r="I4415" s="382"/>
      <c r="J4415" s="380"/>
      <c r="K4415" s="380"/>
      <c r="L4415" s="378"/>
      <c r="M4415" s="380"/>
      <c r="N4415" s="380"/>
      <c r="O4415" s="380"/>
      <c r="P4415" s="380"/>
      <c r="Q4415" s="380"/>
    </row>
    <row r="4416" spans="1:17" x14ac:dyDescent="0.2">
      <c r="A4416" s="334" t="s">
        <v>342</v>
      </c>
      <c r="B4416" s="380"/>
      <c r="C4416" s="384" t="s">
        <v>2070</v>
      </c>
      <c r="D4416" s="380"/>
      <c r="E4416" s="380"/>
      <c r="F4416" s="378"/>
      <c r="G4416" s="380"/>
      <c r="H4416" s="380"/>
      <c r="I4416" s="382"/>
      <c r="J4416" s="380"/>
      <c r="K4416" s="380"/>
      <c r="L4416" s="378"/>
      <c r="M4416" s="380"/>
      <c r="N4416" s="380"/>
      <c r="O4416" s="380"/>
      <c r="P4416" s="380"/>
      <c r="Q4416" s="380"/>
    </row>
    <row r="4417" spans="1:17" x14ac:dyDescent="0.2">
      <c r="A4417" s="334" t="s">
        <v>342</v>
      </c>
      <c r="B4417" s="380"/>
      <c r="C4417" s="334" t="s">
        <v>342</v>
      </c>
      <c r="D4417" s="334" t="s">
        <v>342</v>
      </c>
      <c r="E4417" s="380"/>
      <c r="F4417" s="378"/>
      <c r="G4417" s="380"/>
      <c r="H4417" s="380"/>
      <c r="I4417" s="385"/>
      <c r="J4417" s="334" t="s">
        <v>342</v>
      </c>
      <c r="K4417" s="380"/>
      <c r="L4417" s="378"/>
      <c r="M4417" s="380"/>
      <c r="N4417" s="380"/>
      <c r="O4417" s="380"/>
      <c r="P4417" s="380"/>
      <c r="Q4417" s="380"/>
    </row>
    <row r="4418" spans="1:17" x14ac:dyDescent="0.2">
      <c r="A4418" s="334" t="s">
        <v>1723</v>
      </c>
      <c r="B4418" s="380"/>
      <c r="C4418" s="334" t="s">
        <v>1880</v>
      </c>
      <c r="D4418" s="334" t="s">
        <v>181</v>
      </c>
      <c r="E4418" s="380"/>
      <c r="F4418" s="378"/>
      <c r="G4418" s="380"/>
      <c r="H4418" s="380"/>
      <c r="I4418" s="385"/>
      <c r="J4418" s="334" t="s">
        <v>181</v>
      </c>
      <c r="K4418" s="380"/>
      <c r="L4418" s="378"/>
      <c r="M4418" s="380"/>
      <c r="N4418" s="380"/>
      <c r="O4418" s="380"/>
      <c r="P4418" s="380"/>
      <c r="Q4418" s="380"/>
    </row>
    <row r="4419" spans="1:17" x14ac:dyDescent="0.2">
      <c r="A4419" s="380"/>
      <c r="B4419" s="380"/>
      <c r="C4419" s="380"/>
      <c r="D4419" s="380"/>
      <c r="E4419" s="380"/>
      <c r="F4419" s="378"/>
      <c r="G4419" s="380"/>
      <c r="H4419" s="380"/>
      <c r="I4419" s="382"/>
      <c r="J4419" s="380"/>
      <c r="K4419" s="380"/>
      <c r="L4419" s="378"/>
      <c r="M4419" s="380"/>
      <c r="N4419" s="380"/>
      <c r="O4419" s="380"/>
      <c r="P4419" s="380"/>
      <c r="Q4419" s="380"/>
    </row>
    <row r="4420" spans="1:17" x14ac:dyDescent="0.2">
      <c r="A4420" s="334" t="s">
        <v>1568</v>
      </c>
      <c r="B4420" s="380"/>
      <c r="C4420" s="380" t="s">
        <v>1817</v>
      </c>
      <c r="D4420" s="377"/>
      <c r="E4420" s="380"/>
      <c r="F4420" s="378"/>
      <c r="G4420" s="380"/>
      <c r="H4420" s="380"/>
      <c r="I4420" s="399"/>
      <c r="J4420" s="377"/>
      <c r="K4420" s="380"/>
      <c r="L4420" s="378"/>
      <c r="M4420" s="380"/>
      <c r="N4420" s="380"/>
      <c r="O4420" s="380"/>
      <c r="P4420" s="380"/>
      <c r="Q4420" s="380"/>
    </row>
    <row r="4421" spans="1:17" x14ac:dyDescent="0.2">
      <c r="A4421" s="334" t="s">
        <v>1743</v>
      </c>
      <c r="B4421" s="380"/>
      <c r="C4421" s="334" t="s">
        <v>1886</v>
      </c>
      <c r="D4421" s="377"/>
      <c r="E4421" s="380"/>
      <c r="F4421" s="378"/>
      <c r="G4421" s="380"/>
      <c r="H4421" s="380"/>
      <c r="I4421" s="399"/>
      <c r="J4421" s="377"/>
      <c r="K4421" s="380"/>
      <c r="L4421" s="378"/>
      <c r="M4421" s="380"/>
      <c r="N4421" s="380"/>
      <c r="O4421" s="380"/>
      <c r="P4421" s="380"/>
      <c r="Q4421" s="380"/>
    </row>
    <row r="4422" spans="1:17" x14ac:dyDescent="0.2">
      <c r="A4422" s="334" t="s">
        <v>1724</v>
      </c>
      <c r="B4422" s="380"/>
      <c r="C4422" s="334" t="s">
        <v>1881</v>
      </c>
      <c r="D4422" s="377"/>
      <c r="E4422" s="380"/>
      <c r="F4422" s="378"/>
      <c r="G4422" s="380"/>
      <c r="H4422" s="380"/>
      <c r="I4422" s="399"/>
      <c r="J4422" s="377"/>
      <c r="K4422" s="380"/>
      <c r="L4422" s="378"/>
      <c r="M4422" s="380"/>
      <c r="N4422" s="380"/>
      <c r="O4422" s="380"/>
      <c r="P4422" s="380"/>
      <c r="Q4422" s="380"/>
    </row>
    <row r="4423" spans="1:17" x14ac:dyDescent="0.2">
      <c r="A4423" s="334" t="s">
        <v>1736</v>
      </c>
      <c r="B4423" s="380"/>
      <c r="C4423" s="334" t="s">
        <v>1747</v>
      </c>
      <c r="D4423" s="377"/>
      <c r="E4423" s="380"/>
      <c r="F4423" s="378"/>
      <c r="G4423" s="380"/>
      <c r="H4423" s="380"/>
      <c r="I4423" s="399"/>
      <c r="J4423" s="377"/>
      <c r="K4423" s="380"/>
      <c r="L4423" s="378"/>
      <c r="M4423" s="380"/>
      <c r="N4423" s="380"/>
      <c r="O4423" s="380"/>
      <c r="P4423" s="380"/>
      <c r="Q4423" s="380"/>
    </row>
    <row r="4424" spans="1:17" x14ac:dyDescent="0.2">
      <c r="A4424" s="334" t="s">
        <v>1744</v>
      </c>
      <c r="B4424" s="380"/>
      <c r="C4424" s="334" t="s">
        <v>1254</v>
      </c>
      <c r="D4424" s="377"/>
      <c r="E4424" s="380"/>
      <c r="F4424" s="378"/>
      <c r="G4424" s="380"/>
      <c r="H4424" s="380"/>
      <c r="I4424" s="399"/>
      <c r="J4424" s="377"/>
      <c r="K4424" s="380"/>
      <c r="L4424" s="378"/>
      <c r="M4424" s="380"/>
      <c r="N4424" s="380"/>
      <c r="O4424" s="380"/>
      <c r="P4424" s="380"/>
      <c r="Q4424" s="380"/>
    </row>
    <row r="4425" spans="1:17" x14ac:dyDescent="0.2">
      <c r="A4425" s="334" t="s">
        <v>1725</v>
      </c>
      <c r="B4425" s="380"/>
      <c r="C4425" s="334" t="s">
        <v>1890</v>
      </c>
      <c r="D4425" s="377"/>
      <c r="E4425" s="380"/>
      <c r="F4425" s="378"/>
      <c r="G4425" s="380"/>
      <c r="H4425" s="380"/>
      <c r="I4425" s="399"/>
      <c r="J4425" s="377"/>
      <c r="K4425" s="380"/>
      <c r="L4425" s="378"/>
      <c r="M4425" s="380"/>
      <c r="N4425" s="380"/>
      <c r="O4425" s="380"/>
      <c r="P4425" s="380"/>
      <c r="Q4425" s="380"/>
    </row>
    <row r="4426" spans="1:17" x14ac:dyDescent="0.2">
      <c r="A4426" s="334" t="s">
        <v>1576</v>
      </c>
      <c r="B4426" s="380"/>
      <c r="C4426" s="334" t="s">
        <v>1590</v>
      </c>
      <c r="D4426" s="377"/>
      <c r="E4426" s="380"/>
      <c r="F4426" s="378"/>
      <c r="G4426" s="380"/>
      <c r="H4426" s="380"/>
      <c r="I4426" s="399"/>
      <c r="J4426" s="377"/>
      <c r="K4426" s="380"/>
      <c r="L4426" s="378"/>
      <c r="M4426" s="380"/>
      <c r="N4426" s="380"/>
      <c r="O4426" s="380"/>
      <c r="P4426" s="380"/>
      <c r="Q4426" s="380"/>
    </row>
    <row r="4427" spans="1:17" x14ac:dyDescent="0.2">
      <c r="A4427" s="334" t="s">
        <v>1738</v>
      </c>
      <c r="B4427" s="380"/>
      <c r="C4427" s="334" t="s">
        <v>1591</v>
      </c>
      <c r="D4427" s="377"/>
      <c r="E4427" s="380"/>
      <c r="F4427" s="378"/>
      <c r="G4427" s="380"/>
      <c r="H4427" s="380"/>
      <c r="I4427" s="399"/>
      <c r="J4427" s="377"/>
      <c r="K4427" s="380"/>
      <c r="L4427" s="378"/>
      <c r="M4427" s="380"/>
      <c r="N4427" s="380"/>
      <c r="O4427" s="380"/>
      <c r="P4427" s="380"/>
      <c r="Q4427" s="380"/>
    </row>
    <row r="4428" spans="1:17" x14ac:dyDescent="0.2">
      <c r="A4428" s="334" t="s">
        <v>1727</v>
      </c>
      <c r="B4428" s="380"/>
      <c r="C4428" s="334" t="s">
        <v>307</v>
      </c>
      <c r="D4428" s="377"/>
      <c r="E4428" s="380"/>
      <c r="F4428" s="378"/>
      <c r="G4428" s="380"/>
      <c r="H4428" s="380"/>
      <c r="I4428" s="399"/>
      <c r="J4428" s="377"/>
      <c r="K4428" s="380"/>
      <c r="L4428" s="378"/>
      <c r="M4428" s="380"/>
      <c r="N4428" s="380"/>
      <c r="O4428" s="380"/>
      <c r="P4428" s="380"/>
      <c r="Q4428" s="380"/>
    </row>
    <row r="4429" spans="1:17" x14ac:dyDescent="0.2">
      <c r="A4429" s="334" t="s">
        <v>1728</v>
      </c>
      <c r="B4429" s="380"/>
      <c r="C4429" s="334" t="s">
        <v>310</v>
      </c>
      <c r="D4429" s="377"/>
      <c r="E4429" s="380"/>
      <c r="F4429" s="378"/>
      <c r="G4429" s="380"/>
      <c r="H4429" s="380"/>
      <c r="I4429" s="399"/>
      <c r="J4429" s="377"/>
      <c r="K4429" s="380"/>
      <c r="L4429" s="378"/>
      <c r="M4429" s="380"/>
      <c r="N4429" s="380"/>
      <c r="O4429" s="380"/>
      <c r="P4429" s="380"/>
      <c r="Q4429" s="380"/>
    </row>
    <row r="4430" spans="1:17" x14ac:dyDescent="0.2">
      <c r="A4430" s="334" t="s">
        <v>1729</v>
      </c>
      <c r="B4430" s="380"/>
      <c r="C4430" s="380" t="s">
        <v>1551</v>
      </c>
      <c r="D4430" s="377"/>
      <c r="E4430" s="380"/>
      <c r="F4430" s="378"/>
      <c r="G4430" s="380"/>
      <c r="H4430" s="380"/>
      <c r="I4430" s="399"/>
      <c r="J4430" s="377"/>
      <c r="K4430" s="380"/>
      <c r="L4430" s="378"/>
      <c r="M4430" s="380"/>
      <c r="N4430" s="380"/>
      <c r="O4430" s="380"/>
      <c r="P4430" s="380"/>
      <c r="Q4430" s="380"/>
    </row>
    <row r="4431" spans="1:17" x14ac:dyDescent="0.2">
      <c r="A4431" s="334" t="s">
        <v>1735</v>
      </c>
      <c r="B4431" s="380"/>
      <c r="C4431" s="380" t="s">
        <v>194</v>
      </c>
      <c r="D4431" s="377"/>
      <c r="E4431" s="380"/>
      <c r="F4431" s="378"/>
      <c r="G4431" s="380"/>
      <c r="H4431" s="380"/>
      <c r="I4431" s="399"/>
      <c r="J4431" s="377"/>
      <c r="K4431" s="380"/>
      <c r="L4431" s="378"/>
      <c r="M4431" s="380"/>
      <c r="N4431" s="380"/>
      <c r="O4431" s="380"/>
      <c r="P4431" s="380"/>
      <c r="Q4431" s="380"/>
    </row>
    <row r="4432" spans="1:17" x14ac:dyDescent="0.2">
      <c r="A4432" s="334" t="s">
        <v>1754</v>
      </c>
      <c r="B4432" s="380"/>
      <c r="C4432" s="334" t="s">
        <v>1929</v>
      </c>
      <c r="D4432" s="377"/>
      <c r="E4432" s="380"/>
      <c r="F4432" s="378"/>
      <c r="G4432" s="380"/>
      <c r="H4432" s="380"/>
      <c r="I4432" s="399"/>
      <c r="J4432" s="377"/>
      <c r="K4432" s="380"/>
      <c r="L4432" s="378"/>
      <c r="M4432" s="380"/>
      <c r="N4432" s="380"/>
      <c r="O4432" s="380"/>
      <c r="P4432" s="380"/>
      <c r="Q4432" s="380"/>
    </row>
    <row r="4433" spans="1:17" x14ac:dyDescent="0.2">
      <c r="A4433" s="334" t="s">
        <v>1572</v>
      </c>
      <c r="B4433" s="380"/>
      <c r="C4433" s="334" t="s">
        <v>3134</v>
      </c>
      <c r="D4433" s="377"/>
      <c r="E4433" s="380"/>
      <c r="F4433" s="378"/>
      <c r="G4433" s="380"/>
      <c r="H4433" s="380"/>
      <c r="I4433" s="399"/>
      <c r="J4433" s="377"/>
      <c r="K4433" s="380"/>
      <c r="L4433" s="378"/>
      <c r="M4433" s="380"/>
      <c r="N4433" s="380"/>
      <c r="O4433" s="380"/>
      <c r="P4433" s="380"/>
      <c r="Q4433" s="380"/>
    </row>
    <row r="4434" spans="1:17" x14ac:dyDescent="0.2">
      <c r="A4434" s="334" t="s">
        <v>1566</v>
      </c>
      <c r="B4434" s="380"/>
      <c r="C4434" s="334" t="s">
        <v>366</v>
      </c>
      <c r="D4434" s="377"/>
      <c r="E4434" s="380"/>
      <c r="F4434" s="378"/>
      <c r="G4434" s="380"/>
      <c r="H4434" s="380"/>
      <c r="I4434" s="399"/>
      <c r="J4434" s="377"/>
      <c r="K4434" s="380"/>
      <c r="L4434" s="378"/>
      <c r="M4434" s="380"/>
      <c r="N4434" s="380"/>
      <c r="O4434" s="380"/>
      <c r="P4434" s="380"/>
      <c r="Q4434" s="380"/>
    </row>
    <row r="4435" spans="1:17" x14ac:dyDescent="0.2">
      <c r="A4435" s="334" t="s">
        <v>1567</v>
      </c>
      <c r="B4435" s="380"/>
      <c r="C4435" s="334" t="s">
        <v>3142</v>
      </c>
      <c r="D4435" s="334"/>
      <c r="E4435" s="380"/>
      <c r="F4435" s="378"/>
      <c r="G4435" s="380"/>
      <c r="H4435" s="380"/>
      <c r="I4435" s="385"/>
      <c r="J4435" s="334"/>
      <c r="K4435" s="380"/>
      <c r="L4435" s="378"/>
      <c r="M4435" s="380"/>
      <c r="N4435" s="380"/>
      <c r="O4435" s="380"/>
      <c r="P4435" s="380"/>
      <c r="Q4435" s="380"/>
    </row>
    <row r="4436" spans="1:17" x14ac:dyDescent="0.2">
      <c r="A4436" s="380"/>
      <c r="B4436" s="380"/>
      <c r="C4436" s="380"/>
      <c r="D4436" s="410" t="s">
        <v>342</v>
      </c>
      <c r="E4436" s="380"/>
      <c r="F4436" s="378"/>
      <c r="G4436" s="380"/>
      <c r="H4436" s="380"/>
      <c r="I4436" s="385"/>
      <c r="J4436" s="410" t="s">
        <v>342</v>
      </c>
      <c r="K4436" s="380"/>
      <c r="L4436" s="378"/>
      <c r="M4436" s="380"/>
      <c r="N4436" s="380"/>
      <c r="O4436" s="380"/>
      <c r="P4436" s="380"/>
      <c r="Q4436" s="380"/>
    </row>
    <row r="4437" spans="1:17" x14ac:dyDescent="0.2">
      <c r="A4437" s="380"/>
      <c r="B4437" s="380"/>
      <c r="C4437" s="380"/>
      <c r="D4437" s="334">
        <f>SUM(D4420:D4435)</f>
        <v>0</v>
      </c>
      <c r="E4437" s="380"/>
      <c r="F4437" s="378"/>
      <c r="G4437" s="380"/>
      <c r="H4437" s="380"/>
      <c r="I4437" s="385"/>
      <c r="J4437" s="334">
        <f>SUM(J4420:J4435)</f>
        <v>0</v>
      </c>
      <c r="K4437" s="380"/>
      <c r="L4437" s="378"/>
      <c r="M4437" s="380"/>
      <c r="N4437" s="380"/>
      <c r="O4437" s="380"/>
      <c r="P4437" s="380"/>
      <c r="Q4437" s="380"/>
    </row>
    <row r="4438" spans="1:17" ht="15.75" thickTop="1" x14ac:dyDescent="0.2">
      <c r="A4438" s="380"/>
      <c r="B4438" s="380"/>
      <c r="C4438" s="380"/>
      <c r="D4438" s="395">
        <f>D4437-D4420</f>
        <v>0</v>
      </c>
      <c r="E4438" s="380"/>
      <c r="F4438" s="378"/>
      <c r="G4438" s="380"/>
      <c r="H4438" s="380"/>
      <c r="I4438" s="399"/>
      <c r="J4438" s="395">
        <f>J4437-J4420</f>
        <v>0</v>
      </c>
      <c r="K4438" s="380"/>
      <c r="L4438" s="378"/>
      <c r="M4438" s="380"/>
      <c r="N4438" s="380"/>
      <c r="O4438" s="380"/>
      <c r="P4438" s="380"/>
      <c r="Q4438" s="380"/>
    </row>
    <row r="4439" spans="1:17" x14ac:dyDescent="0.2">
      <c r="A4439" s="380"/>
      <c r="B4439" s="380"/>
      <c r="C4439" s="380"/>
      <c r="D4439" s="380"/>
      <c r="E4439" s="380"/>
      <c r="F4439" s="378"/>
      <c r="G4439" s="380"/>
      <c r="H4439" s="380"/>
      <c r="I4439" s="382"/>
      <c r="J4439" s="380"/>
      <c r="K4439" s="380"/>
      <c r="L4439" s="378"/>
      <c r="M4439" s="380"/>
      <c r="N4439" s="380"/>
      <c r="O4439" s="380"/>
      <c r="P4439" s="380"/>
      <c r="Q4439" s="380"/>
    </row>
    <row r="4440" spans="1:17" x14ac:dyDescent="0.2">
      <c r="A4440" s="377"/>
      <c r="B4440" s="377"/>
      <c r="C4440" s="377"/>
      <c r="D4440" s="377"/>
      <c r="E4440" s="377"/>
      <c r="F4440" s="378"/>
      <c r="G4440" s="377"/>
      <c r="H4440" s="377"/>
      <c r="I4440" s="399"/>
      <c r="J4440" s="377"/>
      <c r="K4440" s="377"/>
      <c r="L4440" s="378"/>
      <c r="M4440" s="377"/>
      <c r="N4440" s="377"/>
      <c r="O4440" s="380"/>
      <c r="P4440" s="380"/>
      <c r="Q4440" s="380"/>
    </row>
    <row r="4441" spans="1:17" x14ac:dyDescent="0.2">
      <c r="A4441" s="334" t="s">
        <v>1814</v>
      </c>
      <c r="B4441" s="380"/>
      <c r="C4441" s="380"/>
      <c r="D4441" s="380"/>
      <c r="E4441" s="380"/>
      <c r="F4441" s="378"/>
      <c r="G4441" s="380"/>
      <c r="H4441" s="380"/>
      <c r="I4441" s="382"/>
      <c r="J4441" s="380"/>
      <c r="K4441" s="380"/>
      <c r="L4441" s="378"/>
      <c r="M4441" s="380"/>
      <c r="N4441" s="380"/>
      <c r="O4441" s="380"/>
      <c r="P4441" s="380"/>
      <c r="Q4441" s="380"/>
    </row>
    <row r="4442" spans="1:17" x14ac:dyDescent="0.2">
      <c r="A4442" s="334" t="s">
        <v>342</v>
      </c>
      <c r="B4442" s="380"/>
      <c r="C4442" s="384" t="s">
        <v>2071</v>
      </c>
      <c r="D4442" s="380"/>
      <c r="E4442" s="380"/>
      <c r="F4442" s="378"/>
      <c r="G4442" s="380"/>
      <c r="H4442" s="380"/>
      <c r="I4442" s="382"/>
      <c r="J4442" s="380"/>
      <c r="K4442" s="380"/>
      <c r="L4442" s="378"/>
      <c r="M4442" s="380"/>
      <c r="N4442" s="380"/>
      <c r="O4442" s="380"/>
      <c r="P4442" s="380"/>
      <c r="Q4442" s="380"/>
    </row>
    <row r="4443" spans="1:17" x14ac:dyDescent="0.2">
      <c r="A4443" s="334" t="s">
        <v>342</v>
      </c>
      <c r="B4443" s="380"/>
      <c r="C4443" s="334" t="s">
        <v>342</v>
      </c>
      <c r="D4443" s="334" t="s">
        <v>342</v>
      </c>
      <c r="E4443" s="380"/>
      <c r="F4443" s="378"/>
      <c r="G4443" s="380"/>
      <c r="H4443" s="380"/>
      <c r="I4443" s="385"/>
      <c r="J4443" s="334" t="s">
        <v>342</v>
      </c>
      <c r="K4443" s="380"/>
      <c r="L4443" s="378"/>
      <c r="M4443" s="380"/>
      <c r="N4443" s="380"/>
      <c r="O4443" s="380"/>
      <c r="P4443" s="380"/>
      <c r="Q4443" s="380"/>
    </row>
    <row r="4444" spans="1:17" x14ac:dyDescent="0.2">
      <c r="A4444" s="334" t="s">
        <v>1723</v>
      </c>
      <c r="B4444" s="380"/>
      <c r="C4444" s="334" t="s">
        <v>1880</v>
      </c>
      <c r="D4444" s="334" t="s">
        <v>181</v>
      </c>
      <c r="E4444" s="380"/>
      <c r="F4444" s="378"/>
      <c r="G4444" s="380"/>
      <c r="H4444" s="380"/>
      <c r="I4444" s="385"/>
      <c r="J4444" s="334" t="s">
        <v>181</v>
      </c>
      <c r="K4444" s="380"/>
      <c r="L4444" s="378"/>
      <c r="M4444" s="380"/>
      <c r="N4444" s="380"/>
      <c r="O4444" s="380"/>
      <c r="P4444" s="380"/>
      <c r="Q4444" s="380"/>
    </row>
    <row r="4445" spans="1:17" x14ac:dyDescent="0.2">
      <c r="A4445" s="380"/>
      <c r="B4445" s="380"/>
      <c r="C4445" s="380"/>
      <c r="D4445" s="380"/>
      <c r="E4445" s="380"/>
      <c r="F4445" s="378"/>
      <c r="G4445" s="380"/>
      <c r="H4445" s="380"/>
      <c r="I4445" s="382"/>
      <c r="J4445" s="380"/>
      <c r="K4445" s="380"/>
      <c r="L4445" s="378"/>
      <c r="M4445" s="380"/>
      <c r="N4445" s="380"/>
      <c r="O4445" s="380"/>
      <c r="P4445" s="380"/>
      <c r="Q4445" s="380"/>
    </row>
    <row r="4446" spans="1:17" x14ac:dyDescent="0.2">
      <c r="A4446" s="403" t="s">
        <v>3721</v>
      </c>
      <c r="B4446" s="380"/>
      <c r="C4446" s="380" t="s">
        <v>1931</v>
      </c>
      <c r="D4446" s="380">
        <v>368920</v>
      </c>
      <c r="E4446" s="380"/>
      <c r="F4446" s="378"/>
      <c r="G4446" s="380"/>
      <c r="H4446" s="380"/>
      <c r="I4446" s="382"/>
      <c r="J4446" s="380">
        <v>365416</v>
      </c>
      <c r="K4446" s="380"/>
      <c r="L4446" s="378"/>
      <c r="M4446" s="380"/>
      <c r="N4446" s="380"/>
      <c r="O4446" s="380"/>
      <c r="P4446" s="380"/>
      <c r="Q4446" s="380"/>
    </row>
    <row r="4447" spans="1:17" x14ac:dyDescent="0.2">
      <c r="A4447" s="403" t="s">
        <v>3721</v>
      </c>
      <c r="B4447" s="380"/>
      <c r="C4447" s="380" t="s">
        <v>1932</v>
      </c>
      <c r="D4447" s="380">
        <v>238650</v>
      </c>
      <c r="E4447" s="380"/>
      <c r="F4447" s="378"/>
      <c r="G4447" s="380"/>
      <c r="H4447" s="380"/>
      <c r="I4447" s="382"/>
      <c r="J4447" s="380">
        <v>238150</v>
      </c>
      <c r="K4447" s="380"/>
      <c r="L4447" s="378"/>
      <c r="M4447" s="380"/>
      <c r="N4447" s="380"/>
      <c r="O4447" s="380"/>
      <c r="P4447" s="380"/>
      <c r="Q4447" s="380"/>
    </row>
    <row r="4448" spans="1:17" x14ac:dyDescent="0.2">
      <c r="A4448" s="403" t="s">
        <v>3721</v>
      </c>
      <c r="B4448" s="380"/>
      <c r="C4448" s="380" t="s">
        <v>1813</v>
      </c>
      <c r="D4448" s="380">
        <v>83395</v>
      </c>
      <c r="E4448" s="380"/>
      <c r="F4448" s="378"/>
      <c r="G4448" s="380"/>
      <c r="H4448" s="380"/>
      <c r="I4448" s="382"/>
      <c r="J4448" s="380">
        <v>75000</v>
      </c>
      <c r="K4448" s="380"/>
      <c r="L4448" s="378"/>
      <c r="M4448" s="380"/>
      <c r="N4448" s="380"/>
      <c r="O4448" s="380"/>
      <c r="P4448" s="380"/>
      <c r="Q4448" s="380"/>
    </row>
    <row r="4449" spans="1:17" x14ac:dyDescent="0.2">
      <c r="A4449" s="403" t="s">
        <v>3721</v>
      </c>
      <c r="B4449" s="380"/>
      <c r="C4449" s="334" t="s">
        <v>2846</v>
      </c>
      <c r="D4449" s="380">
        <v>257520</v>
      </c>
      <c r="E4449" s="380"/>
      <c r="F4449" s="378"/>
      <c r="G4449" s="334"/>
      <c r="H4449" s="380"/>
      <c r="I4449" s="382"/>
      <c r="J4449" s="380">
        <v>60579.86</v>
      </c>
      <c r="K4449" s="380"/>
      <c r="L4449" s="378"/>
      <c r="M4449" s="334"/>
      <c r="N4449" s="380"/>
      <c r="O4449" s="380"/>
      <c r="P4449" s="380"/>
      <c r="Q4449" s="380"/>
    </row>
    <row r="4450" spans="1:17" x14ac:dyDescent="0.2">
      <c r="A4450" s="403" t="s">
        <v>3721</v>
      </c>
      <c r="B4450" s="380"/>
      <c r="C4450" s="334" t="s">
        <v>2910</v>
      </c>
      <c r="D4450" s="380">
        <v>337655</v>
      </c>
      <c r="E4450" s="334"/>
      <c r="F4450" s="412"/>
      <c r="G4450" s="380"/>
      <c r="H4450" s="380"/>
      <c r="I4450" s="385"/>
      <c r="J4450" s="380">
        <v>108327.08</v>
      </c>
      <c r="K4450" s="334"/>
      <c r="L4450" s="412"/>
      <c r="M4450" s="380"/>
      <c r="N4450" s="380"/>
      <c r="O4450" s="380"/>
      <c r="P4450" s="380"/>
      <c r="Q4450" s="380"/>
    </row>
    <row r="4451" spans="1:17" x14ac:dyDescent="0.2">
      <c r="A4451" s="490" t="s">
        <v>2879</v>
      </c>
      <c r="B4451" s="467"/>
      <c r="C4451" s="468" t="s">
        <v>3199</v>
      </c>
      <c r="D4451" s="467">
        <f>226420.82+224318.45-45540-0.02+8976.46-71682.14+0.02</f>
        <v>342493.59</v>
      </c>
      <c r="E4451" s="334"/>
      <c r="F4451" s="412"/>
      <c r="G4451" s="380"/>
      <c r="H4451" s="380"/>
      <c r="I4451" s="385"/>
      <c r="J4451" s="380"/>
      <c r="K4451" s="334"/>
      <c r="L4451" s="412"/>
      <c r="M4451" s="380"/>
      <c r="N4451" s="380"/>
      <c r="O4451" s="380"/>
      <c r="P4451" s="380"/>
      <c r="Q4451" s="380"/>
    </row>
    <row r="4452" spans="1:17" x14ac:dyDescent="0.2">
      <c r="A4452" s="403" t="s">
        <v>3721</v>
      </c>
      <c r="B4452" s="380"/>
      <c r="C4452" s="392" t="s">
        <v>762</v>
      </c>
      <c r="D4452" s="334">
        <v>26095</v>
      </c>
      <c r="E4452" s="380"/>
      <c r="F4452" s="378"/>
      <c r="G4452" s="380"/>
      <c r="H4452" s="380"/>
      <c r="I4452" s="385"/>
      <c r="J4452" s="334">
        <v>35162.519999999997</v>
      </c>
      <c r="K4452" s="380"/>
      <c r="L4452" s="378"/>
      <c r="M4452" s="380"/>
      <c r="N4452" s="380"/>
      <c r="O4452" s="380"/>
      <c r="P4452" s="380"/>
      <c r="Q4452" s="380"/>
    </row>
    <row r="4453" spans="1:17" x14ac:dyDescent="0.2">
      <c r="A4453" s="380"/>
      <c r="B4453" s="380"/>
      <c r="C4453" s="380"/>
      <c r="D4453" s="410" t="s">
        <v>342</v>
      </c>
      <c r="E4453" s="380"/>
      <c r="F4453" s="378"/>
      <c r="G4453" s="380"/>
      <c r="H4453" s="380"/>
      <c r="I4453" s="385"/>
      <c r="J4453" s="410" t="s">
        <v>342</v>
      </c>
      <c r="K4453" s="380"/>
      <c r="L4453" s="378"/>
      <c r="M4453" s="380"/>
      <c r="N4453" s="380"/>
      <c r="O4453" s="380"/>
      <c r="P4453" s="380"/>
      <c r="Q4453" s="380"/>
    </row>
    <row r="4454" spans="1:17" x14ac:dyDescent="0.2">
      <c r="A4454" s="380"/>
      <c r="B4454" s="380"/>
      <c r="C4454" s="380"/>
      <c r="D4454" s="334">
        <f>SUM(D4446:D4453)</f>
        <v>1654728.59</v>
      </c>
      <c r="E4454" s="380"/>
      <c r="F4454" s="378"/>
      <c r="G4454" s="380"/>
      <c r="H4454" s="380"/>
      <c r="I4454" s="399"/>
      <c r="J4454" s="334">
        <f>SUM(J4446:J4453)</f>
        <v>882635.46</v>
      </c>
      <c r="K4454" s="380"/>
      <c r="L4454" s="378"/>
      <c r="M4454" s="380"/>
      <c r="N4454" s="380"/>
      <c r="O4454" s="380"/>
      <c r="P4454" s="380"/>
      <c r="Q4454" s="380"/>
    </row>
    <row r="4455" spans="1:17" ht="15.75" thickTop="1" x14ac:dyDescent="0.2">
      <c r="A4455" s="380"/>
      <c r="B4455" s="380"/>
      <c r="C4455" s="380"/>
      <c r="D4455" s="395"/>
      <c r="E4455" s="380"/>
      <c r="F4455" s="378"/>
      <c r="G4455" s="380"/>
      <c r="H4455" s="380"/>
      <c r="I4455" s="382"/>
      <c r="J4455" s="395"/>
      <c r="K4455" s="380"/>
      <c r="L4455" s="378"/>
      <c r="M4455" s="380"/>
      <c r="N4455" s="380"/>
      <c r="O4455" s="380"/>
      <c r="P4455" s="380"/>
      <c r="Q4455" s="380"/>
    </row>
    <row r="4456" spans="1:17" x14ac:dyDescent="0.2">
      <c r="A4456" s="380"/>
      <c r="B4456" s="380"/>
      <c r="C4456" s="380"/>
      <c r="D4456" s="380"/>
      <c r="E4456" s="377"/>
      <c r="F4456" s="378"/>
      <c r="G4456" s="377"/>
      <c r="H4456" s="377"/>
      <c r="I4456" s="399"/>
      <c r="J4456" s="380"/>
      <c r="K4456" s="377"/>
      <c r="L4456" s="378"/>
      <c r="M4456" s="377"/>
      <c r="N4456" s="377"/>
      <c r="O4456" s="380"/>
      <c r="P4456" s="380"/>
      <c r="Q4456" s="380"/>
    </row>
    <row r="4457" spans="1:17" x14ac:dyDescent="0.2">
      <c r="A4457" s="377"/>
      <c r="B4457" s="377"/>
      <c r="C4457" s="377"/>
      <c r="D4457" s="377"/>
      <c r="E4457" s="380"/>
      <c r="F4457" s="378"/>
      <c r="G4457" s="380"/>
      <c r="H4457" s="380"/>
      <c r="I4457" s="382"/>
      <c r="J4457" s="377"/>
      <c r="K4457" s="380"/>
      <c r="L4457" s="378"/>
      <c r="M4457" s="380"/>
      <c r="N4457" s="380"/>
      <c r="O4457" s="380"/>
      <c r="P4457" s="380"/>
      <c r="Q4457" s="380"/>
    </row>
    <row r="4458" spans="1:17" x14ac:dyDescent="0.2">
      <c r="A4458" s="334" t="s">
        <v>1078</v>
      </c>
      <c r="B4458" s="380"/>
      <c r="C4458" s="380"/>
      <c r="D4458" s="380"/>
      <c r="E4458" s="380"/>
      <c r="F4458" s="378"/>
      <c r="G4458" s="380"/>
      <c r="H4458" s="380"/>
      <c r="I4458" s="382"/>
      <c r="J4458" s="380"/>
      <c r="K4458" s="380"/>
      <c r="L4458" s="378"/>
      <c r="M4458" s="380"/>
      <c r="N4458" s="380"/>
      <c r="O4458" s="380"/>
      <c r="P4458" s="380"/>
      <c r="Q4458" s="380"/>
    </row>
    <row r="4459" spans="1:17" x14ac:dyDescent="0.2">
      <c r="A4459" s="334" t="s">
        <v>342</v>
      </c>
      <c r="B4459" s="380"/>
      <c r="C4459" s="384" t="s">
        <v>2072</v>
      </c>
      <c r="D4459" s="380"/>
      <c r="E4459" s="380"/>
      <c r="F4459" s="378"/>
      <c r="G4459" s="380"/>
      <c r="H4459" s="380"/>
      <c r="I4459" s="385"/>
      <c r="J4459" s="380"/>
      <c r="K4459" s="380"/>
      <c r="L4459" s="378"/>
      <c r="M4459" s="380"/>
      <c r="N4459" s="380"/>
      <c r="O4459" s="380"/>
      <c r="P4459" s="380"/>
      <c r="Q4459" s="380"/>
    </row>
    <row r="4460" spans="1:17" x14ac:dyDescent="0.2">
      <c r="A4460" s="334" t="s">
        <v>342</v>
      </c>
      <c r="B4460" s="380"/>
      <c r="C4460" s="334" t="s">
        <v>342</v>
      </c>
      <c r="D4460" s="334" t="s">
        <v>342</v>
      </c>
      <c r="E4460" s="380"/>
      <c r="F4460" s="378"/>
      <c r="G4460" s="380"/>
      <c r="H4460" s="380"/>
      <c r="I4460" s="385"/>
      <c r="J4460" s="334" t="s">
        <v>342</v>
      </c>
      <c r="K4460" s="380"/>
      <c r="L4460" s="378"/>
      <c r="M4460" s="380"/>
      <c r="N4460" s="380"/>
      <c r="O4460" s="380"/>
      <c r="P4460" s="380"/>
      <c r="Q4460" s="380"/>
    </row>
    <row r="4461" spans="1:17" x14ac:dyDescent="0.2">
      <c r="A4461" s="334" t="s">
        <v>1723</v>
      </c>
      <c r="B4461" s="380"/>
      <c r="C4461" s="334" t="s">
        <v>1880</v>
      </c>
      <c r="D4461" s="334" t="s">
        <v>181</v>
      </c>
      <c r="E4461" s="380"/>
      <c r="F4461" s="378"/>
      <c r="G4461" s="380"/>
      <c r="H4461" s="380"/>
      <c r="I4461" s="382"/>
      <c r="J4461" s="334" t="s">
        <v>181</v>
      </c>
      <c r="K4461" s="380"/>
      <c r="L4461" s="378"/>
      <c r="M4461" s="380"/>
      <c r="N4461" s="380"/>
      <c r="O4461" s="380"/>
      <c r="P4461" s="380"/>
      <c r="Q4461" s="380"/>
    </row>
    <row r="4462" spans="1:17" x14ac:dyDescent="0.2">
      <c r="A4462" s="334" t="s">
        <v>1729</v>
      </c>
      <c r="B4462" s="380"/>
      <c r="C4462" s="380" t="s">
        <v>1551</v>
      </c>
      <c r="D4462" s="380">
        <v>-30000</v>
      </c>
      <c r="E4462" s="380"/>
      <c r="F4462" s="378"/>
      <c r="G4462" s="380"/>
      <c r="H4462" s="380"/>
      <c r="I4462" s="399"/>
      <c r="J4462" s="380"/>
      <c r="K4462" s="380"/>
      <c r="L4462" s="378"/>
      <c r="M4462" s="380"/>
      <c r="N4462" s="380"/>
      <c r="O4462" s="380"/>
      <c r="P4462" s="380"/>
      <c r="Q4462" s="380"/>
    </row>
    <row r="4463" spans="1:17" x14ac:dyDescent="0.2">
      <c r="A4463" s="384" t="s">
        <v>1079</v>
      </c>
      <c r="B4463" s="380"/>
      <c r="C4463" s="334" t="s">
        <v>1080</v>
      </c>
      <c r="D4463" s="377">
        <f>125000</f>
        <v>125000</v>
      </c>
      <c r="E4463" s="380"/>
      <c r="F4463" s="378"/>
      <c r="G4463" s="380"/>
      <c r="H4463" s="380"/>
      <c r="I4463" s="385"/>
      <c r="J4463" s="377">
        <v>100000</v>
      </c>
      <c r="K4463" s="380"/>
      <c r="L4463" s="378"/>
      <c r="M4463" s="380"/>
      <c r="N4463" s="380"/>
      <c r="O4463" s="380"/>
      <c r="P4463" s="380"/>
      <c r="Q4463" s="380"/>
    </row>
    <row r="4464" spans="1:17" x14ac:dyDescent="0.2">
      <c r="A4464" s="380"/>
      <c r="B4464" s="380"/>
      <c r="C4464" s="380"/>
      <c r="D4464" s="410" t="s">
        <v>342</v>
      </c>
      <c r="E4464" s="380"/>
      <c r="F4464" s="378"/>
      <c r="G4464" s="380"/>
      <c r="H4464" s="380"/>
      <c r="I4464" s="385"/>
      <c r="J4464" s="410" t="s">
        <v>342</v>
      </c>
      <c r="K4464" s="380"/>
      <c r="L4464" s="378"/>
      <c r="M4464" s="380"/>
      <c r="N4464" s="380"/>
      <c r="O4464" s="380"/>
      <c r="P4464" s="380"/>
      <c r="Q4464" s="380"/>
    </row>
    <row r="4465" spans="1:17" x14ac:dyDescent="0.2">
      <c r="A4465" s="380"/>
      <c r="B4465" s="380"/>
      <c r="C4465" s="380"/>
      <c r="D4465" s="334">
        <f>SUM(D4462:D4464)</f>
        <v>95000</v>
      </c>
      <c r="E4465" s="380"/>
      <c r="F4465" s="378"/>
      <c r="G4465" s="380"/>
      <c r="H4465" s="380"/>
      <c r="I4465" s="399"/>
      <c r="J4465" s="334">
        <f>SUM(J4463:J4463)</f>
        <v>100000</v>
      </c>
      <c r="K4465" s="380"/>
      <c r="L4465" s="378"/>
      <c r="M4465" s="380"/>
      <c r="N4465" s="380"/>
      <c r="O4465" s="380"/>
      <c r="P4465" s="380"/>
      <c r="Q4465" s="380"/>
    </row>
    <row r="4466" spans="1:17" ht="15.75" thickTop="1" x14ac:dyDescent="0.2">
      <c r="A4466" s="380"/>
      <c r="B4466" s="380"/>
      <c r="C4466" s="380"/>
      <c r="D4466" s="395"/>
      <c r="E4466" s="380"/>
      <c r="F4466" s="378"/>
      <c r="G4466" s="380"/>
      <c r="H4466" s="380"/>
      <c r="I4466" s="382"/>
      <c r="J4466" s="395"/>
      <c r="K4466" s="380"/>
      <c r="L4466" s="378"/>
      <c r="M4466" s="380"/>
      <c r="N4466" s="380"/>
      <c r="O4466" s="380"/>
      <c r="P4466" s="380"/>
      <c r="Q4466" s="380"/>
    </row>
    <row r="4467" spans="1:17" x14ac:dyDescent="0.2">
      <c r="A4467" s="380"/>
      <c r="B4467" s="380"/>
      <c r="C4467" s="380"/>
      <c r="D4467" s="380"/>
      <c r="E4467" s="377"/>
      <c r="F4467" s="378"/>
      <c r="G4467" s="377"/>
      <c r="H4467" s="377"/>
      <c r="I4467" s="399"/>
      <c r="J4467" s="380"/>
      <c r="K4467" s="377"/>
      <c r="L4467" s="378"/>
      <c r="M4467" s="377"/>
      <c r="N4467" s="377"/>
      <c r="O4467" s="380"/>
      <c r="P4467" s="380"/>
      <c r="Q4467" s="380"/>
    </row>
    <row r="4468" spans="1:17" x14ac:dyDescent="0.2">
      <c r="A4468" s="377"/>
      <c r="B4468" s="377"/>
      <c r="C4468" s="377"/>
      <c r="D4468" s="377"/>
      <c r="E4468" s="380"/>
      <c r="F4468" s="378"/>
      <c r="G4468" s="380"/>
      <c r="H4468" s="380"/>
      <c r="I4468" s="382"/>
      <c r="J4468" s="377"/>
      <c r="K4468" s="380"/>
      <c r="L4468" s="378"/>
      <c r="M4468" s="380"/>
      <c r="N4468" s="380"/>
      <c r="O4468" s="380"/>
      <c r="P4468" s="380"/>
      <c r="Q4468" s="380"/>
    </row>
    <row r="4469" spans="1:17" x14ac:dyDescent="0.2">
      <c r="A4469" s="334" t="s">
        <v>3188</v>
      </c>
      <c r="B4469" s="380"/>
      <c r="C4469" s="380"/>
      <c r="D4469" s="380"/>
      <c r="E4469" s="380"/>
      <c r="F4469" s="378"/>
      <c r="G4469" s="380"/>
      <c r="H4469" s="380"/>
      <c r="I4469" s="382"/>
      <c r="J4469" s="380"/>
      <c r="K4469" s="380"/>
      <c r="L4469" s="378"/>
      <c r="M4469" s="380"/>
      <c r="N4469" s="380"/>
      <c r="O4469" s="380"/>
      <c r="P4469" s="380"/>
      <c r="Q4469" s="380"/>
    </row>
    <row r="4470" spans="1:17" x14ac:dyDescent="0.2">
      <c r="A4470" s="334" t="s">
        <v>342</v>
      </c>
      <c r="B4470" s="380"/>
      <c r="C4470" s="384" t="s">
        <v>2073</v>
      </c>
      <c r="D4470" s="380"/>
      <c r="E4470" s="380"/>
      <c r="F4470" s="378"/>
      <c r="G4470" s="380"/>
      <c r="H4470" s="380"/>
      <c r="I4470" s="385"/>
      <c r="J4470" s="380"/>
      <c r="K4470" s="380"/>
      <c r="L4470" s="378"/>
      <c r="M4470" s="380"/>
      <c r="N4470" s="380"/>
      <c r="O4470" s="380"/>
      <c r="P4470" s="380"/>
      <c r="Q4470" s="380"/>
    </row>
    <row r="4471" spans="1:17" x14ac:dyDescent="0.2">
      <c r="A4471" s="334" t="s">
        <v>342</v>
      </c>
      <c r="B4471" s="380"/>
      <c r="C4471" s="334" t="s">
        <v>342</v>
      </c>
      <c r="D4471" s="334" t="s">
        <v>342</v>
      </c>
      <c r="E4471" s="380"/>
      <c r="F4471" s="378"/>
      <c r="G4471" s="380"/>
      <c r="H4471" s="380"/>
      <c r="I4471" s="385"/>
      <c r="J4471" s="334" t="s">
        <v>342</v>
      </c>
      <c r="K4471" s="380"/>
      <c r="L4471" s="378"/>
      <c r="M4471" s="380"/>
      <c r="N4471" s="380"/>
      <c r="O4471" s="380"/>
      <c r="P4471" s="380"/>
      <c r="Q4471" s="380"/>
    </row>
    <row r="4472" spans="1:17" x14ac:dyDescent="0.2">
      <c r="A4472" s="334" t="s">
        <v>1723</v>
      </c>
      <c r="B4472" s="380"/>
      <c r="C4472" s="334" t="s">
        <v>1880</v>
      </c>
      <c r="D4472" s="334" t="s">
        <v>181</v>
      </c>
      <c r="E4472" s="380"/>
      <c r="F4472" s="378"/>
      <c r="G4472" s="380"/>
      <c r="H4472" s="380"/>
      <c r="I4472" s="382"/>
      <c r="J4472" s="334" t="s">
        <v>181</v>
      </c>
      <c r="K4472" s="380"/>
      <c r="L4472" s="378"/>
      <c r="M4472" s="380"/>
      <c r="N4472" s="380"/>
      <c r="O4472" s="380"/>
      <c r="P4472" s="380"/>
      <c r="Q4472" s="380"/>
    </row>
    <row r="4473" spans="1:17" x14ac:dyDescent="0.2">
      <c r="A4473" s="380"/>
      <c r="B4473" s="380"/>
      <c r="C4473" s="380"/>
      <c r="D4473" s="380"/>
      <c r="E4473" s="380"/>
      <c r="F4473" s="378"/>
      <c r="G4473" s="380"/>
      <c r="H4473" s="380"/>
      <c r="I4473" s="399"/>
      <c r="J4473" s="380"/>
      <c r="K4473" s="380"/>
      <c r="L4473" s="378"/>
      <c r="M4473" s="380"/>
      <c r="N4473" s="380"/>
      <c r="O4473" s="380"/>
      <c r="P4473" s="380"/>
      <c r="Q4473" s="380"/>
    </row>
    <row r="4474" spans="1:17" x14ac:dyDescent="0.2">
      <c r="A4474" s="334" t="s">
        <v>1568</v>
      </c>
      <c r="B4474" s="380"/>
      <c r="C4474" s="380" t="s">
        <v>1817</v>
      </c>
      <c r="D4474" s="377"/>
      <c r="E4474" s="380"/>
      <c r="F4474" s="378"/>
      <c r="G4474" s="380"/>
      <c r="H4474" s="380"/>
      <c r="I4474" s="399"/>
      <c r="J4474" s="377"/>
      <c r="K4474" s="380"/>
      <c r="L4474" s="378"/>
      <c r="M4474" s="380"/>
      <c r="N4474" s="380"/>
      <c r="O4474" s="380"/>
      <c r="P4474" s="380"/>
      <c r="Q4474" s="380"/>
    </row>
    <row r="4475" spans="1:17" x14ac:dyDescent="0.2">
      <c r="A4475" s="334" t="s">
        <v>1743</v>
      </c>
      <c r="B4475" s="380"/>
      <c r="C4475" s="334" t="s">
        <v>1886</v>
      </c>
      <c r="D4475" s="377"/>
      <c r="E4475" s="380"/>
      <c r="F4475" s="378"/>
      <c r="G4475" s="380"/>
      <c r="H4475" s="380"/>
      <c r="I4475" s="399"/>
      <c r="J4475" s="377"/>
      <c r="K4475" s="380"/>
      <c r="L4475" s="378"/>
      <c r="M4475" s="380"/>
      <c r="N4475" s="380"/>
      <c r="O4475" s="380"/>
      <c r="P4475" s="380"/>
      <c r="Q4475" s="380"/>
    </row>
    <row r="4476" spans="1:17" x14ac:dyDescent="0.2">
      <c r="A4476" s="334" t="s">
        <v>1724</v>
      </c>
      <c r="B4476" s="380"/>
      <c r="C4476" s="334" t="s">
        <v>1881</v>
      </c>
      <c r="D4476" s="376"/>
      <c r="E4476" s="380"/>
      <c r="F4476" s="378"/>
      <c r="G4476" s="380"/>
      <c r="H4476" s="380"/>
      <c r="I4476" s="399"/>
      <c r="J4476" s="377"/>
      <c r="K4476" s="380"/>
      <c r="L4476" s="378"/>
      <c r="M4476" s="380"/>
      <c r="N4476" s="380"/>
      <c r="O4476" s="380"/>
      <c r="P4476" s="380"/>
      <c r="Q4476" s="380"/>
    </row>
    <row r="4477" spans="1:17" x14ac:dyDescent="0.2">
      <c r="A4477" s="334" t="s">
        <v>1736</v>
      </c>
      <c r="B4477" s="380"/>
      <c r="C4477" s="334" t="s">
        <v>1747</v>
      </c>
      <c r="D4477" s="377"/>
      <c r="E4477" s="380"/>
      <c r="F4477" s="378"/>
      <c r="G4477" s="380"/>
      <c r="H4477" s="380"/>
      <c r="I4477" s="399"/>
      <c r="J4477" s="377"/>
      <c r="K4477" s="380"/>
      <c r="L4477" s="378"/>
      <c r="M4477" s="380"/>
      <c r="N4477" s="380"/>
      <c r="O4477" s="380"/>
      <c r="P4477" s="380"/>
      <c r="Q4477" s="380"/>
    </row>
    <row r="4478" spans="1:17" x14ac:dyDescent="0.2">
      <c r="A4478" s="334" t="s">
        <v>1744</v>
      </c>
      <c r="B4478" s="380"/>
      <c r="C4478" s="334" t="s">
        <v>1254</v>
      </c>
      <c r="D4478" s="377"/>
      <c r="E4478" s="380"/>
      <c r="F4478" s="378"/>
      <c r="G4478" s="380"/>
      <c r="H4478" s="380"/>
      <c r="I4478" s="399"/>
      <c r="J4478" s="377"/>
      <c r="K4478" s="380"/>
      <c r="L4478" s="378"/>
      <c r="M4478" s="380"/>
      <c r="N4478" s="380"/>
      <c r="O4478" s="380"/>
      <c r="P4478" s="380"/>
      <c r="Q4478" s="380"/>
    </row>
    <row r="4479" spans="1:17" x14ac:dyDescent="0.2">
      <c r="A4479" s="334" t="s">
        <v>1725</v>
      </c>
      <c r="B4479" s="380"/>
      <c r="C4479" s="334" t="s">
        <v>1890</v>
      </c>
      <c r="D4479" s="377"/>
      <c r="E4479" s="380"/>
      <c r="F4479" s="378"/>
      <c r="G4479" s="380"/>
      <c r="H4479" s="380"/>
      <c r="I4479" s="399"/>
      <c r="J4479" s="377"/>
      <c r="K4479" s="380"/>
      <c r="L4479" s="378"/>
      <c r="M4479" s="380"/>
      <c r="N4479" s="380"/>
      <c r="O4479" s="380"/>
      <c r="P4479" s="380"/>
      <c r="Q4479" s="380"/>
    </row>
    <row r="4480" spans="1:17" x14ac:dyDescent="0.2">
      <c r="A4480" s="334" t="s">
        <v>1576</v>
      </c>
      <c r="B4480" s="380"/>
      <c r="C4480" s="334" t="s">
        <v>1590</v>
      </c>
      <c r="D4480" s="377"/>
      <c r="E4480" s="380"/>
      <c r="F4480" s="378"/>
      <c r="G4480" s="380"/>
      <c r="H4480" s="380"/>
      <c r="I4480" s="399"/>
      <c r="J4480" s="377"/>
      <c r="K4480" s="380"/>
      <c r="L4480" s="378"/>
      <c r="M4480" s="380"/>
      <c r="N4480" s="380"/>
      <c r="O4480" s="380"/>
      <c r="P4480" s="380"/>
      <c r="Q4480" s="380"/>
    </row>
    <row r="4481" spans="1:17" x14ac:dyDescent="0.2">
      <c r="A4481" s="384" t="s">
        <v>1465</v>
      </c>
      <c r="B4481" s="380"/>
      <c r="C4481" s="334" t="s">
        <v>1466</v>
      </c>
      <c r="D4481" s="379">
        <v>135000</v>
      </c>
      <c r="E4481" s="380"/>
      <c r="F4481" s="378"/>
      <c r="G4481" s="380"/>
      <c r="H4481" s="380"/>
      <c r="I4481" s="399"/>
      <c r="J4481" s="377">
        <v>135000</v>
      </c>
      <c r="K4481" s="380"/>
      <c r="L4481" s="378"/>
      <c r="M4481" s="380"/>
      <c r="N4481" s="380"/>
      <c r="O4481" s="380"/>
      <c r="P4481" s="380"/>
      <c r="Q4481" s="380"/>
    </row>
    <row r="4482" spans="1:17" x14ac:dyDescent="0.2">
      <c r="A4482" s="334" t="s">
        <v>1738</v>
      </c>
      <c r="B4482" s="380"/>
      <c r="C4482" s="334" t="s">
        <v>1591</v>
      </c>
      <c r="D4482" s="379"/>
      <c r="E4482" s="380"/>
      <c r="F4482" s="378"/>
      <c r="G4482" s="380"/>
      <c r="H4482" s="380"/>
      <c r="I4482" s="399"/>
      <c r="J4482" s="377"/>
      <c r="K4482" s="380"/>
      <c r="L4482" s="378"/>
      <c r="M4482" s="380"/>
      <c r="N4482" s="380"/>
      <c r="O4482" s="380"/>
      <c r="P4482" s="380"/>
      <c r="Q4482" s="380"/>
    </row>
    <row r="4483" spans="1:17" x14ac:dyDescent="0.2">
      <c r="A4483" s="334" t="s">
        <v>1727</v>
      </c>
      <c r="B4483" s="380"/>
      <c r="C4483" s="334" t="s">
        <v>307</v>
      </c>
      <c r="D4483" s="379"/>
      <c r="E4483" s="380"/>
      <c r="F4483" s="378"/>
      <c r="G4483" s="380"/>
      <c r="H4483" s="380"/>
      <c r="I4483" s="399"/>
      <c r="J4483" s="377"/>
      <c r="K4483" s="380"/>
      <c r="L4483" s="378"/>
      <c r="M4483" s="380"/>
      <c r="N4483" s="380"/>
      <c r="O4483" s="380"/>
      <c r="P4483" s="380"/>
      <c r="Q4483" s="380"/>
    </row>
    <row r="4484" spans="1:17" x14ac:dyDescent="0.2">
      <c r="A4484" s="334" t="s">
        <v>1728</v>
      </c>
      <c r="B4484" s="380"/>
      <c r="C4484" s="334" t="s">
        <v>310</v>
      </c>
      <c r="D4484" s="379"/>
      <c r="E4484" s="380"/>
      <c r="F4484" s="378"/>
      <c r="G4484" s="380"/>
      <c r="H4484" s="380"/>
      <c r="I4484" s="399"/>
      <c r="J4484" s="377"/>
      <c r="K4484" s="380"/>
      <c r="L4484" s="378"/>
      <c r="M4484" s="380"/>
      <c r="N4484" s="380"/>
      <c r="O4484" s="380"/>
      <c r="P4484" s="380"/>
      <c r="Q4484" s="380"/>
    </row>
    <row r="4485" spans="1:17" x14ac:dyDescent="0.2">
      <c r="A4485" s="334" t="s">
        <v>1729</v>
      </c>
      <c r="B4485" s="380"/>
      <c r="C4485" s="380" t="s">
        <v>1551</v>
      </c>
      <c r="D4485" s="379">
        <v>-15351</v>
      </c>
      <c r="E4485" s="380"/>
      <c r="F4485" s="378"/>
      <c r="G4485" s="380"/>
      <c r="H4485" s="380"/>
      <c r="I4485" s="399"/>
      <c r="J4485" s="377"/>
      <c r="K4485" s="380"/>
      <c r="L4485" s="378"/>
      <c r="M4485" s="380"/>
      <c r="N4485" s="380"/>
      <c r="O4485" s="380"/>
      <c r="P4485" s="380"/>
      <c r="Q4485" s="380"/>
    </row>
    <row r="4486" spans="1:17" x14ac:dyDescent="0.2">
      <c r="A4486" s="334" t="s">
        <v>1735</v>
      </c>
      <c r="B4486" s="380"/>
      <c r="C4486" s="380" t="s">
        <v>194</v>
      </c>
      <c r="D4486" s="379"/>
      <c r="E4486" s="380"/>
      <c r="F4486" s="378"/>
      <c r="G4486" s="380"/>
      <c r="H4486" s="380"/>
      <c r="I4486" s="399"/>
      <c r="J4486" s="377"/>
      <c r="K4486" s="380"/>
      <c r="L4486" s="378"/>
      <c r="M4486" s="380"/>
      <c r="N4486" s="380"/>
      <c r="O4486" s="380"/>
      <c r="P4486" s="380"/>
      <c r="Q4486" s="380"/>
    </row>
    <row r="4487" spans="1:17" x14ac:dyDescent="0.2">
      <c r="A4487" s="334" t="s">
        <v>1754</v>
      </c>
      <c r="B4487" s="380"/>
      <c r="C4487" s="334" t="s">
        <v>1929</v>
      </c>
      <c r="D4487" s="379"/>
      <c r="E4487" s="380"/>
      <c r="F4487" s="378"/>
      <c r="G4487" s="380"/>
      <c r="H4487" s="380"/>
      <c r="I4487" s="399"/>
      <c r="J4487" s="377"/>
      <c r="K4487" s="380"/>
      <c r="L4487" s="378"/>
      <c r="M4487" s="380"/>
      <c r="N4487" s="380"/>
      <c r="O4487" s="380"/>
      <c r="P4487" s="380"/>
      <c r="Q4487" s="380"/>
    </row>
    <row r="4488" spans="1:17" x14ac:dyDescent="0.2">
      <c r="A4488" s="334" t="s">
        <v>1572</v>
      </c>
      <c r="B4488" s="380"/>
      <c r="C4488" s="334" t="s">
        <v>3134</v>
      </c>
      <c r="D4488" s="379"/>
      <c r="E4488" s="380"/>
      <c r="F4488" s="378"/>
      <c r="G4488" s="380"/>
      <c r="H4488" s="380"/>
      <c r="I4488" s="399"/>
      <c r="J4488" s="377"/>
      <c r="K4488" s="380"/>
      <c r="L4488" s="378"/>
      <c r="M4488" s="380"/>
      <c r="N4488" s="380"/>
      <c r="O4488" s="380"/>
      <c r="P4488" s="380"/>
      <c r="Q4488" s="380"/>
    </row>
    <row r="4489" spans="1:17" x14ac:dyDescent="0.2">
      <c r="A4489" s="334" t="s">
        <v>1566</v>
      </c>
      <c r="B4489" s="380"/>
      <c r="C4489" s="334" t="s">
        <v>366</v>
      </c>
      <c r="D4489" s="379"/>
      <c r="E4489" s="380"/>
      <c r="F4489" s="378"/>
      <c r="G4489" s="380"/>
      <c r="H4489" s="380"/>
      <c r="I4489" s="399"/>
      <c r="J4489" s="377"/>
      <c r="K4489" s="380"/>
      <c r="L4489" s="378"/>
      <c r="M4489" s="380"/>
      <c r="N4489" s="380"/>
      <c r="O4489" s="380"/>
      <c r="P4489" s="380"/>
      <c r="Q4489" s="380"/>
    </row>
    <row r="4490" spans="1:17" x14ac:dyDescent="0.2">
      <c r="A4490" s="334" t="s">
        <v>1903</v>
      </c>
      <c r="B4490" s="380"/>
      <c r="C4490" s="334" t="s">
        <v>35</v>
      </c>
      <c r="D4490" s="379">
        <v>1000</v>
      </c>
      <c r="E4490" s="380"/>
      <c r="F4490" s="378"/>
      <c r="G4490" s="380"/>
      <c r="H4490" s="380"/>
      <c r="I4490" s="399"/>
      <c r="J4490" s="377">
        <v>1000</v>
      </c>
      <c r="K4490" s="380"/>
      <c r="L4490" s="378"/>
      <c r="M4490" s="380"/>
      <c r="N4490" s="380"/>
      <c r="O4490" s="380"/>
      <c r="P4490" s="380"/>
      <c r="Q4490" s="380"/>
    </row>
    <row r="4491" spans="1:17" x14ac:dyDescent="0.2">
      <c r="A4491" s="334" t="s">
        <v>1966</v>
      </c>
      <c r="B4491" s="380"/>
      <c r="C4491" s="334" t="s">
        <v>28</v>
      </c>
      <c r="D4491" s="379">
        <v>5000</v>
      </c>
      <c r="E4491" s="380"/>
      <c r="F4491" s="378"/>
      <c r="G4491" s="380"/>
      <c r="H4491" s="380"/>
      <c r="I4491" s="385"/>
      <c r="J4491" s="377">
        <v>5000</v>
      </c>
      <c r="K4491" s="380"/>
      <c r="L4491" s="378"/>
      <c r="M4491" s="380"/>
      <c r="N4491" s="380"/>
      <c r="O4491" s="380"/>
      <c r="P4491" s="380"/>
      <c r="Q4491" s="380"/>
    </row>
    <row r="4492" spans="1:17" x14ac:dyDescent="0.2">
      <c r="A4492" s="334" t="s">
        <v>1567</v>
      </c>
      <c r="B4492" s="380"/>
      <c r="C4492" s="334" t="s">
        <v>3142</v>
      </c>
      <c r="D4492" s="334"/>
      <c r="E4492" s="380"/>
      <c r="F4492" s="378"/>
      <c r="G4492" s="380"/>
      <c r="H4492" s="380"/>
      <c r="I4492" s="385"/>
      <c r="J4492" s="334"/>
      <c r="K4492" s="380"/>
      <c r="L4492" s="378"/>
      <c r="M4492" s="380"/>
      <c r="N4492" s="380"/>
      <c r="O4492" s="380"/>
      <c r="P4492" s="380"/>
      <c r="Q4492" s="380"/>
    </row>
    <row r="4493" spans="1:17" x14ac:dyDescent="0.2">
      <c r="A4493" s="380"/>
      <c r="B4493" s="380"/>
      <c r="C4493" s="380"/>
      <c r="D4493" s="410" t="s">
        <v>342</v>
      </c>
      <c r="E4493" s="380"/>
      <c r="F4493" s="378"/>
      <c r="G4493" s="380"/>
      <c r="H4493" s="380"/>
      <c r="I4493" s="385"/>
      <c r="J4493" s="410" t="s">
        <v>342</v>
      </c>
      <c r="K4493" s="380"/>
      <c r="L4493" s="378"/>
      <c r="M4493" s="380"/>
      <c r="N4493" s="380"/>
      <c r="O4493" s="380"/>
      <c r="P4493" s="380"/>
      <c r="Q4493" s="380"/>
    </row>
    <row r="4494" spans="1:17" x14ac:dyDescent="0.2">
      <c r="A4494" s="380"/>
      <c r="B4494" s="380"/>
      <c r="C4494" s="380"/>
      <c r="D4494" s="334">
        <f>SUM(D4474:D4492)</f>
        <v>125649</v>
      </c>
      <c r="E4494" s="380"/>
      <c r="F4494" s="378"/>
      <c r="G4494" s="380"/>
      <c r="H4494" s="380"/>
      <c r="I4494" s="399"/>
      <c r="J4494" s="334">
        <f>SUM(J4474:J4492)</f>
        <v>141000</v>
      </c>
      <c r="K4494" s="380"/>
      <c r="L4494" s="378"/>
      <c r="M4494" s="380"/>
      <c r="N4494" s="380"/>
      <c r="O4494" s="380"/>
      <c r="P4494" s="380"/>
      <c r="Q4494" s="380"/>
    </row>
    <row r="4495" spans="1:17" ht="15.75" thickTop="1" x14ac:dyDescent="0.2">
      <c r="A4495" s="380"/>
      <c r="B4495" s="380"/>
      <c r="C4495" s="380"/>
      <c r="D4495" s="395">
        <f>D4494-D4474</f>
        <v>125649</v>
      </c>
      <c r="E4495" s="380"/>
      <c r="F4495" s="378"/>
      <c r="G4495" s="380"/>
      <c r="H4495" s="380"/>
      <c r="I4495" s="382"/>
      <c r="J4495" s="395">
        <f>J4494-J4474</f>
        <v>141000</v>
      </c>
      <c r="K4495" s="380"/>
      <c r="L4495" s="378"/>
      <c r="M4495" s="380"/>
      <c r="N4495" s="380"/>
      <c r="O4495" s="380"/>
      <c r="P4495" s="380"/>
      <c r="Q4495" s="380"/>
    </row>
    <row r="4496" spans="1:17" x14ac:dyDescent="0.2">
      <c r="A4496" s="380"/>
      <c r="B4496" s="380"/>
      <c r="C4496" s="380"/>
      <c r="D4496" s="380"/>
      <c r="E4496" s="377"/>
      <c r="F4496" s="378"/>
      <c r="G4496" s="377"/>
      <c r="H4496" s="377"/>
      <c r="I4496" s="399"/>
      <c r="J4496" s="380"/>
      <c r="K4496" s="377"/>
      <c r="L4496" s="378"/>
      <c r="M4496" s="377"/>
      <c r="N4496" s="377"/>
      <c r="O4496" s="380"/>
      <c r="P4496" s="380"/>
      <c r="Q4496" s="380"/>
    </row>
    <row r="4497" spans="1:17" x14ac:dyDescent="0.2">
      <c r="A4497" s="377"/>
      <c r="B4497" s="377"/>
      <c r="C4497" s="377"/>
      <c r="D4497" s="377"/>
      <c r="E4497" s="380"/>
      <c r="F4497" s="378"/>
      <c r="G4497" s="380"/>
      <c r="H4497" s="380"/>
      <c r="I4497" s="382"/>
      <c r="J4497" s="377"/>
      <c r="K4497" s="380"/>
      <c r="L4497" s="378"/>
      <c r="M4497" s="380"/>
      <c r="N4497" s="380"/>
      <c r="O4497" s="380"/>
      <c r="P4497" s="380"/>
      <c r="Q4497" s="380"/>
    </row>
    <row r="4498" spans="1:17" x14ac:dyDescent="0.2">
      <c r="A4498" s="334" t="s">
        <v>1968</v>
      </c>
      <c r="B4498" s="380"/>
      <c r="C4498" s="380"/>
      <c r="D4498" s="380"/>
      <c r="E4498" s="380"/>
      <c r="F4498" s="378"/>
      <c r="G4498" s="380"/>
      <c r="H4498" s="380"/>
      <c r="I4498" s="382"/>
      <c r="J4498" s="380"/>
      <c r="K4498" s="380"/>
      <c r="L4498" s="378"/>
      <c r="M4498" s="380"/>
      <c r="N4498" s="380"/>
      <c r="O4498" s="380"/>
      <c r="P4498" s="380"/>
      <c r="Q4498" s="380"/>
    </row>
    <row r="4499" spans="1:17" x14ac:dyDescent="0.2">
      <c r="A4499" s="334" t="s">
        <v>342</v>
      </c>
      <c r="B4499" s="380"/>
      <c r="C4499" s="384" t="s">
        <v>2074</v>
      </c>
      <c r="D4499" s="380"/>
      <c r="E4499" s="380"/>
      <c r="F4499" s="378"/>
      <c r="G4499" s="380"/>
      <c r="H4499" s="380"/>
      <c r="I4499" s="385"/>
      <c r="J4499" s="380"/>
      <c r="K4499" s="380"/>
      <c r="L4499" s="378"/>
      <c r="M4499" s="380"/>
      <c r="N4499" s="380"/>
      <c r="O4499" s="380"/>
      <c r="P4499" s="380"/>
      <c r="Q4499" s="380"/>
    </row>
    <row r="4500" spans="1:17" x14ac:dyDescent="0.2">
      <c r="A4500" s="334" t="s">
        <v>342</v>
      </c>
      <c r="B4500" s="380"/>
      <c r="C4500" s="334" t="s">
        <v>342</v>
      </c>
      <c r="D4500" s="334" t="s">
        <v>342</v>
      </c>
      <c r="E4500" s="380"/>
      <c r="F4500" s="378"/>
      <c r="G4500" s="380"/>
      <c r="H4500" s="380"/>
      <c r="I4500" s="385"/>
      <c r="J4500" s="334" t="s">
        <v>342</v>
      </c>
      <c r="K4500" s="380"/>
      <c r="L4500" s="378"/>
      <c r="M4500" s="380"/>
      <c r="N4500" s="380"/>
      <c r="O4500" s="380"/>
      <c r="P4500" s="380"/>
      <c r="Q4500" s="380"/>
    </row>
    <row r="4501" spans="1:17" x14ac:dyDescent="0.2">
      <c r="A4501" s="334" t="s">
        <v>1723</v>
      </c>
      <c r="B4501" s="380"/>
      <c r="C4501" s="334" t="s">
        <v>1880</v>
      </c>
      <c r="D4501" s="334" t="s">
        <v>181</v>
      </c>
      <c r="E4501" s="380"/>
      <c r="F4501" s="378"/>
      <c r="G4501" s="380"/>
      <c r="H4501" s="380"/>
      <c r="I4501" s="382"/>
      <c r="J4501" s="334" t="s">
        <v>181</v>
      </c>
      <c r="K4501" s="380"/>
      <c r="L4501" s="378"/>
      <c r="M4501" s="380"/>
      <c r="N4501" s="380"/>
      <c r="O4501" s="380"/>
      <c r="P4501" s="380"/>
      <c r="Q4501" s="380"/>
    </row>
    <row r="4502" spans="1:17" x14ac:dyDescent="0.2">
      <c r="A4502" s="380"/>
      <c r="B4502" s="380"/>
      <c r="C4502" s="380"/>
      <c r="D4502" s="380"/>
      <c r="E4502" s="380"/>
      <c r="F4502" s="378"/>
      <c r="G4502" s="380"/>
      <c r="H4502" s="380"/>
      <c r="I4502" s="399"/>
      <c r="J4502" s="380"/>
      <c r="K4502" s="380"/>
      <c r="L4502" s="378"/>
      <c r="M4502" s="380"/>
      <c r="N4502" s="380"/>
      <c r="O4502" s="380"/>
      <c r="P4502" s="380"/>
      <c r="Q4502" s="380"/>
    </row>
    <row r="4503" spans="1:17" x14ac:dyDescent="0.2">
      <c r="A4503" s="334" t="s">
        <v>1568</v>
      </c>
      <c r="B4503" s="380"/>
      <c r="C4503" s="380" t="s">
        <v>1817</v>
      </c>
      <c r="D4503" s="377"/>
      <c r="E4503" s="380"/>
      <c r="F4503" s="378"/>
      <c r="G4503" s="380"/>
      <c r="H4503" s="380"/>
      <c r="I4503" s="399"/>
      <c r="J4503" s="377"/>
      <c r="K4503" s="380"/>
      <c r="L4503" s="378"/>
      <c r="M4503" s="380"/>
      <c r="N4503" s="380"/>
      <c r="O4503" s="380"/>
      <c r="P4503" s="380"/>
      <c r="Q4503" s="380"/>
    </row>
    <row r="4504" spans="1:17" x14ac:dyDescent="0.2">
      <c r="A4504" s="334" t="s">
        <v>1569</v>
      </c>
      <c r="B4504" s="380"/>
      <c r="C4504" s="334" t="s">
        <v>1888</v>
      </c>
      <c r="D4504" s="377">
        <v>4000</v>
      </c>
      <c r="E4504" s="380"/>
      <c r="F4504" s="378"/>
      <c r="G4504" s="380"/>
      <c r="H4504" s="380"/>
      <c r="I4504" s="399"/>
      <c r="J4504" s="377">
        <v>4000</v>
      </c>
      <c r="K4504" s="380"/>
      <c r="L4504" s="378"/>
      <c r="M4504" s="380"/>
      <c r="N4504" s="380"/>
      <c r="O4504" s="380"/>
      <c r="P4504" s="380"/>
      <c r="Q4504" s="380"/>
    </row>
    <row r="4505" spans="1:17" x14ac:dyDescent="0.2">
      <c r="A4505" s="334" t="s">
        <v>1743</v>
      </c>
      <c r="B4505" s="380"/>
      <c r="C4505" s="334" t="s">
        <v>1886</v>
      </c>
      <c r="D4505" s="377">
        <v>30000</v>
      </c>
      <c r="E4505" s="380"/>
      <c r="F4505" s="378"/>
      <c r="G4505" s="380"/>
      <c r="H4505" s="380"/>
      <c r="I4505" s="399"/>
      <c r="J4505" s="377"/>
      <c r="K4505" s="380"/>
      <c r="L4505" s="378"/>
      <c r="M4505" s="380"/>
      <c r="N4505" s="380"/>
      <c r="O4505" s="380"/>
      <c r="P4505" s="380"/>
      <c r="Q4505" s="380"/>
    </row>
    <row r="4506" spans="1:17" x14ac:dyDescent="0.2">
      <c r="A4506" s="334" t="s">
        <v>1724</v>
      </c>
      <c r="B4506" s="380"/>
      <c r="C4506" s="334" t="s">
        <v>1881</v>
      </c>
      <c r="D4506" s="377">
        <v>6500</v>
      </c>
      <c r="E4506" s="380"/>
      <c r="F4506" s="378"/>
      <c r="G4506" s="380"/>
      <c r="H4506" s="380"/>
      <c r="I4506" s="399"/>
      <c r="J4506" s="377">
        <v>6500</v>
      </c>
      <c r="K4506" s="380"/>
      <c r="L4506" s="378"/>
      <c r="M4506" s="380"/>
      <c r="N4506" s="380"/>
      <c r="O4506" s="380"/>
      <c r="P4506" s="380"/>
      <c r="Q4506" s="380"/>
    </row>
    <row r="4507" spans="1:17" x14ac:dyDescent="0.2">
      <c r="A4507" s="334" t="s">
        <v>1753</v>
      </c>
      <c r="B4507" s="380"/>
      <c r="C4507" s="334" t="s">
        <v>1816</v>
      </c>
      <c r="D4507" s="377">
        <f>15000+35000</f>
        <v>50000</v>
      </c>
      <c r="E4507" s="380"/>
      <c r="F4507" s="378"/>
      <c r="G4507" s="380"/>
      <c r="H4507" s="380"/>
      <c r="I4507" s="399"/>
      <c r="J4507" s="377">
        <v>15000</v>
      </c>
      <c r="K4507" s="380"/>
      <c r="L4507" s="378"/>
      <c r="M4507" s="380"/>
      <c r="N4507" s="380"/>
      <c r="O4507" s="380"/>
      <c r="P4507" s="380"/>
      <c r="Q4507" s="380"/>
    </row>
    <row r="4508" spans="1:17" x14ac:dyDescent="0.2">
      <c r="A4508" s="334" t="s">
        <v>1578</v>
      </c>
      <c r="B4508" s="380"/>
      <c r="C4508" s="334" t="s">
        <v>22</v>
      </c>
      <c r="D4508" s="377">
        <v>1000</v>
      </c>
      <c r="E4508" s="380"/>
      <c r="F4508" s="378"/>
      <c r="G4508" s="380"/>
      <c r="H4508" s="380"/>
      <c r="I4508" s="399"/>
      <c r="J4508" s="377">
        <v>1000</v>
      </c>
      <c r="K4508" s="380"/>
      <c r="L4508" s="378"/>
      <c r="M4508" s="380"/>
      <c r="N4508" s="380"/>
      <c r="O4508" s="380"/>
      <c r="P4508" s="380"/>
      <c r="Q4508" s="380"/>
    </row>
    <row r="4509" spans="1:17" x14ac:dyDescent="0.2">
      <c r="A4509" s="334" t="s">
        <v>1945</v>
      </c>
      <c r="B4509" s="380"/>
      <c r="C4509" s="334" t="s">
        <v>2941</v>
      </c>
      <c r="D4509" s="377">
        <v>40000</v>
      </c>
      <c r="E4509" s="380"/>
      <c r="F4509" s="378"/>
      <c r="G4509" s="380"/>
      <c r="H4509" s="380"/>
      <c r="I4509" s="399"/>
      <c r="J4509" s="377">
        <v>38000</v>
      </c>
      <c r="K4509" s="380"/>
      <c r="L4509" s="378"/>
      <c r="M4509" s="380"/>
      <c r="N4509" s="380"/>
      <c r="O4509" s="380"/>
      <c r="P4509" s="380"/>
      <c r="Q4509" s="380"/>
    </row>
    <row r="4510" spans="1:17" x14ac:dyDescent="0.2">
      <c r="A4510" s="334" t="s">
        <v>1738</v>
      </c>
      <c r="B4510" s="380"/>
      <c r="C4510" s="334" t="s">
        <v>1591</v>
      </c>
      <c r="D4510" s="377"/>
      <c r="E4510" s="380"/>
      <c r="F4510" s="378"/>
      <c r="G4510" s="380"/>
      <c r="H4510" s="380"/>
      <c r="I4510" s="399"/>
      <c r="J4510" s="377"/>
      <c r="K4510" s="380"/>
      <c r="L4510" s="378"/>
      <c r="M4510" s="380"/>
      <c r="N4510" s="380"/>
      <c r="O4510" s="380"/>
      <c r="P4510" s="380"/>
      <c r="Q4510" s="380"/>
    </row>
    <row r="4511" spans="1:17" x14ac:dyDescent="0.2">
      <c r="A4511" s="334" t="s">
        <v>1730</v>
      </c>
      <c r="B4511" s="380"/>
      <c r="C4511" s="334" t="s">
        <v>1985</v>
      </c>
      <c r="D4511" s="377">
        <v>1000</v>
      </c>
      <c r="E4511" s="380"/>
      <c r="F4511" s="378"/>
      <c r="G4511" s="380"/>
      <c r="H4511" s="380"/>
      <c r="I4511" s="399"/>
      <c r="J4511" s="377">
        <v>650</v>
      </c>
      <c r="K4511" s="380"/>
      <c r="L4511" s="378"/>
      <c r="M4511" s="380"/>
      <c r="N4511" s="380"/>
      <c r="O4511" s="380"/>
      <c r="P4511" s="380"/>
      <c r="Q4511" s="380"/>
    </row>
    <row r="4512" spans="1:17" x14ac:dyDescent="0.2">
      <c r="A4512" s="334" t="s">
        <v>1566</v>
      </c>
      <c r="B4512" s="380"/>
      <c r="C4512" s="334" t="s">
        <v>366</v>
      </c>
      <c r="D4512" s="377"/>
      <c r="E4512" s="380"/>
      <c r="F4512" s="378"/>
      <c r="G4512" s="380"/>
      <c r="H4512" s="380"/>
      <c r="I4512" s="399"/>
      <c r="J4512" s="377"/>
      <c r="K4512" s="380"/>
      <c r="L4512" s="378"/>
      <c r="M4512" s="380"/>
      <c r="N4512" s="380"/>
      <c r="O4512" s="380"/>
      <c r="P4512" s="380"/>
      <c r="Q4512" s="380"/>
    </row>
    <row r="4513" spans="1:17" x14ac:dyDescent="0.2">
      <c r="A4513" s="334" t="s">
        <v>1969</v>
      </c>
      <c r="B4513" s="380"/>
      <c r="C4513" s="334" t="s">
        <v>71</v>
      </c>
      <c r="D4513" s="377">
        <v>1500</v>
      </c>
      <c r="E4513" s="380"/>
      <c r="F4513" s="378"/>
      <c r="G4513" s="380"/>
      <c r="H4513" s="380"/>
      <c r="I4513" s="399"/>
      <c r="J4513" s="377">
        <v>1500</v>
      </c>
      <c r="K4513" s="380"/>
      <c r="L4513" s="378"/>
      <c r="M4513" s="380"/>
      <c r="N4513" s="380"/>
      <c r="O4513" s="380"/>
      <c r="P4513" s="380"/>
      <c r="Q4513" s="380"/>
    </row>
    <row r="4514" spans="1:17" x14ac:dyDescent="0.2">
      <c r="A4514" s="334" t="s">
        <v>1946</v>
      </c>
      <c r="B4514" s="380"/>
      <c r="C4514" s="392" t="s">
        <v>931</v>
      </c>
      <c r="D4514" s="377">
        <f>86000+64000</f>
        <v>150000</v>
      </c>
      <c r="E4514" s="380"/>
      <c r="F4514" s="378"/>
      <c r="G4514" s="380"/>
      <c r="H4514" s="380"/>
      <c r="I4514" s="399"/>
      <c r="J4514" s="377">
        <v>86000</v>
      </c>
      <c r="K4514" s="380"/>
      <c r="L4514" s="378"/>
      <c r="M4514" s="380"/>
      <c r="N4514" s="380"/>
      <c r="O4514" s="380"/>
      <c r="P4514" s="380"/>
      <c r="Q4514" s="380"/>
    </row>
    <row r="4515" spans="1:17" x14ac:dyDescent="0.2">
      <c r="A4515" s="334" t="s">
        <v>1944</v>
      </c>
      <c r="B4515" s="380"/>
      <c r="C4515" s="334" t="s">
        <v>72</v>
      </c>
      <c r="D4515" s="377">
        <v>6000</v>
      </c>
      <c r="E4515" s="380"/>
      <c r="F4515" s="378"/>
      <c r="G4515" s="380"/>
      <c r="H4515" s="380"/>
      <c r="I4515" s="399"/>
      <c r="J4515" s="377">
        <v>5000</v>
      </c>
      <c r="K4515" s="380"/>
      <c r="L4515" s="378"/>
      <c r="M4515" s="380"/>
      <c r="N4515" s="380"/>
      <c r="O4515" s="380"/>
      <c r="P4515" s="380"/>
      <c r="Q4515" s="380"/>
    </row>
    <row r="4516" spans="1:17" x14ac:dyDescent="0.2">
      <c r="A4516" s="334" t="s">
        <v>1898</v>
      </c>
      <c r="B4516" s="380"/>
      <c r="C4516" s="334" t="s">
        <v>1</v>
      </c>
      <c r="D4516" s="377">
        <f>-186850+26850</f>
        <v>-160000</v>
      </c>
      <c r="E4516" s="334"/>
      <c r="F4516" s="378"/>
      <c r="G4516" s="380"/>
      <c r="H4516" s="380"/>
      <c r="I4516" s="399"/>
      <c r="J4516" s="377">
        <v>-186850</v>
      </c>
      <c r="K4516" s="334"/>
      <c r="L4516" s="378"/>
      <c r="M4516" s="380"/>
      <c r="N4516" s="380"/>
      <c r="O4516" s="380"/>
      <c r="P4516" s="380"/>
      <c r="Q4516" s="380"/>
    </row>
    <row r="4517" spans="1:17" x14ac:dyDescent="0.2">
      <c r="A4517" s="334" t="s">
        <v>1567</v>
      </c>
      <c r="B4517" s="380"/>
      <c r="C4517" s="334" t="s">
        <v>3142</v>
      </c>
      <c r="D4517" s="377">
        <v>0</v>
      </c>
      <c r="E4517" s="380"/>
      <c r="F4517" s="378"/>
      <c r="G4517" s="380"/>
      <c r="H4517" s="380"/>
      <c r="I4517" s="385"/>
      <c r="J4517" s="377">
        <v>0</v>
      </c>
      <c r="K4517" s="380"/>
      <c r="L4517" s="378"/>
      <c r="M4517" s="380"/>
      <c r="N4517" s="380"/>
      <c r="O4517" s="380"/>
      <c r="P4517" s="380"/>
      <c r="Q4517" s="380"/>
    </row>
    <row r="4518" spans="1:17" x14ac:dyDescent="0.2">
      <c r="A4518" s="380"/>
      <c r="B4518" s="380"/>
      <c r="C4518" s="380"/>
      <c r="D4518" s="410" t="s">
        <v>342</v>
      </c>
      <c r="E4518" s="380"/>
      <c r="F4518" s="378"/>
      <c r="G4518" s="380"/>
      <c r="H4518" s="380"/>
      <c r="I4518" s="385"/>
      <c r="J4518" s="410" t="s">
        <v>342</v>
      </c>
      <c r="K4518" s="380"/>
      <c r="L4518" s="378"/>
      <c r="M4518" s="380"/>
      <c r="N4518" s="380"/>
      <c r="O4518" s="380"/>
      <c r="P4518" s="380"/>
      <c r="Q4518" s="380"/>
    </row>
    <row r="4519" spans="1:17" x14ac:dyDescent="0.2">
      <c r="A4519" s="380"/>
      <c r="B4519" s="380"/>
      <c r="C4519" s="380"/>
      <c r="D4519" s="334">
        <f>SUM(D4503:D4517)</f>
        <v>130000</v>
      </c>
      <c r="E4519" s="380"/>
      <c r="F4519" s="378"/>
      <c r="G4519" s="380"/>
      <c r="H4519" s="380"/>
      <c r="I4519" s="399"/>
      <c r="J4519" s="334">
        <f>SUM(J4503:J4517)</f>
        <v>-29200</v>
      </c>
      <c r="K4519" s="380"/>
      <c r="L4519" s="378"/>
      <c r="M4519" s="380"/>
      <c r="N4519" s="380"/>
      <c r="O4519" s="380"/>
      <c r="P4519" s="380"/>
      <c r="Q4519" s="380"/>
    </row>
    <row r="4520" spans="1:17" ht="15.75" thickTop="1" x14ac:dyDescent="0.2">
      <c r="A4520" s="380"/>
      <c r="B4520" s="380"/>
      <c r="C4520" s="380"/>
      <c r="D4520" s="395">
        <f>D4519-D4503</f>
        <v>130000</v>
      </c>
      <c r="E4520" s="380"/>
      <c r="F4520" s="378"/>
      <c r="G4520" s="380"/>
      <c r="H4520" s="380"/>
      <c r="I4520" s="399"/>
      <c r="J4520" s="395">
        <f>J4519-J4503</f>
        <v>-29200</v>
      </c>
      <c r="K4520" s="380"/>
      <c r="L4520" s="378"/>
      <c r="M4520" s="380"/>
      <c r="N4520" s="380"/>
      <c r="O4520" s="380"/>
      <c r="P4520" s="380"/>
      <c r="Q4520" s="380"/>
    </row>
    <row r="4521" spans="1:17" x14ac:dyDescent="0.2">
      <c r="A4521" s="380"/>
      <c r="B4521" s="380"/>
      <c r="C4521" s="380"/>
      <c r="D4521" s="399"/>
      <c r="E4521" s="377"/>
      <c r="F4521" s="378"/>
      <c r="G4521" s="377"/>
      <c r="H4521" s="377"/>
      <c r="I4521" s="399"/>
      <c r="J4521" s="399"/>
      <c r="K4521" s="377"/>
      <c r="L4521" s="378"/>
      <c r="M4521" s="377"/>
      <c r="N4521" s="377"/>
      <c r="O4521" s="380"/>
      <c r="P4521" s="380"/>
      <c r="Q4521" s="380"/>
    </row>
    <row r="4522" spans="1:17" x14ac:dyDescent="0.2">
      <c r="A4522" s="377"/>
      <c r="B4522" s="377"/>
      <c r="C4522" s="377"/>
      <c r="D4522" s="377"/>
      <c r="E4522" s="380"/>
      <c r="F4522" s="378"/>
      <c r="G4522" s="380"/>
      <c r="H4522" s="380"/>
      <c r="I4522" s="382"/>
      <c r="J4522" s="377"/>
      <c r="K4522" s="380"/>
      <c r="L4522" s="378"/>
      <c r="M4522" s="380"/>
      <c r="N4522" s="380"/>
      <c r="O4522" s="380"/>
      <c r="P4522" s="380"/>
      <c r="Q4522" s="380"/>
    </row>
    <row r="4523" spans="1:17" x14ac:dyDescent="0.2">
      <c r="A4523" s="334" t="s">
        <v>1970</v>
      </c>
      <c r="B4523" s="380"/>
      <c r="C4523" s="380"/>
      <c r="D4523" s="380"/>
      <c r="E4523" s="380"/>
      <c r="F4523" s="378"/>
      <c r="G4523" s="380"/>
      <c r="H4523" s="380"/>
      <c r="I4523" s="382"/>
      <c r="J4523" s="380"/>
      <c r="K4523" s="380"/>
      <c r="L4523" s="378"/>
      <c r="M4523" s="380"/>
      <c r="N4523" s="380"/>
      <c r="O4523" s="380"/>
      <c r="P4523" s="380"/>
      <c r="Q4523" s="380"/>
    </row>
    <row r="4524" spans="1:17" x14ac:dyDescent="0.2">
      <c r="A4524" s="334" t="s">
        <v>342</v>
      </c>
      <c r="B4524" s="380"/>
      <c r="C4524" s="384" t="s">
        <v>2181</v>
      </c>
      <c r="D4524" s="380"/>
      <c r="E4524" s="380"/>
      <c r="F4524" s="378"/>
      <c r="G4524" s="380"/>
      <c r="H4524" s="380"/>
      <c r="I4524" s="385"/>
      <c r="J4524" s="380"/>
      <c r="K4524" s="380"/>
      <c r="L4524" s="378"/>
      <c r="M4524" s="380"/>
      <c r="N4524" s="380"/>
      <c r="O4524" s="380"/>
      <c r="P4524" s="380"/>
      <c r="Q4524" s="380"/>
    </row>
    <row r="4525" spans="1:17" x14ac:dyDescent="0.2">
      <c r="A4525" s="334" t="s">
        <v>342</v>
      </c>
      <c r="B4525" s="380"/>
      <c r="C4525" s="334" t="s">
        <v>342</v>
      </c>
      <c r="D4525" s="334" t="s">
        <v>342</v>
      </c>
      <c r="E4525" s="380"/>
      <c r="F4525" s="378"/>
      <c r="G4525" s="380"/>
      <c r="H4525" s="380"/>
      <c r="I4525" s="385"/>
      <c r="J4525" s="334" t="s">
        <v>342</v>
      </c>
      <c r="K4525" s="380"/>
      <c r="L4525" s="378"/>
      <c r="M4525" s="380"/>
      <c r="N4525" s="380"/>
      <c r="O4525" s="380"/>
      <c r="P4525" s="380"/>
      <c r="Q4525" s="380"/>
    </row>
    <row r="4526" spans="1:17" x14ac:dyDescent="0.2">
      <c r="A4526" s="334" t="s">
        <v>1723</v>
      </c>
      <c r="B4526" s="380"/>
      <c r="C4526" s="334" t="s">
        <v>1880</v>
      </c>
      <c r="D4526" s="334" t="s">
        <v>181</v>
      </c>
      <c r="E4526" s="380"/>
      <c r="F4526" s="378"/>
      <c r="G4526" s="380"/>
      <c r="H4526" s="380"/>
      <c r="I4526" s="399"/>
      <c r="J4526" s="334" t="s">
        <v>181</v>
      </c>
      <c r="K4526" s="380"/>
      <c r="L4526" s="378"/>
      <c r="M4526" s="380"/>
      <c r="N4526" s="380"/>
      <c r="O4526" s="380"/>
      <c r="P4526" s="380"/>
      <c r="Q4526" s="380"/>
    </row>
    <row r="4527" spans="1:17" x14ac:dyDescent="0.2">
      <c r="A4527" s="334" t="s">
        <v>1569</v>
      </c>
      <c r="B4527" s="380"/>
      <c r="C4527" s="334" t="s">
        <v>1888</v>
      </c>
      <c r="D4527" s="377"/>
      <c r="E4527" s="380"/>
      <c r="F4527" s="378"/>
      <c r="G4527" s="380"/>
      <c r="H4527" s="380"/>
      <c r="I4527" s="399"/>
      <c r="J4527" s="377"/>
      <c r="K4527" s="380"/>
      <c r="L4527" s="378"/>
      <c r="M4527" s="380"/>
      <c r="N4527" s="380"/>
      <c r="O4527" s="380"/>
      <c r="P4527" s="380"/>
      <c r="Q4527" s="380"/>
    </row>
    <row r="4528" spans="1:17" x14ac:dyDescent="0.2">
      <c r="A4528" s="334" t="s">
        <v>1584</v>
      </c>
      <c r="B4528" s="380"/>
      <c r="C4528" s="334" t="s">
        <v>0</v>
      </c>
      <c r="D4528" s="377"/>
      <c r="E4528" s="380"/>
      <c r="F4528" s="378"/>
      <c r="G4528" s="380"/>
      <c r="H4528" s="380"/>
      <c r="I4528" s="399"/>
      <c r="J4528" s="377"/>
      <c r="K4528" s="380"/>
      <c r="L4528" s="378"/>
      <c r="M4528" s="380"/>
      <c r="N4528" s="380"/>
      <c r="O4528" s="380"/>
      <c r="P4528" s="380"/>
      <c r="Q4528" s="380"/>
    </row>
    <row r="4529" spans="1:17" x14ac:dyDescent="0.2">
      <c r="A4529" s="334" t="s">
        <v>1906</v>
      </c>
      <c r="B4529" s="380"/>
      <c r="C4529" s="334" t="s">
        <v>39</v>
      </c>
      <c r="D4529" s="377"/>
      <c r="E4529" s="380"/>
      <c r="F4529" s="378"/>
      <c r="G4529" s="380"/>
      <c r="H4529" s="380"/>
      <c r="I4529" s="399"/>
      <c r="J4529" s="377"/>
      <c r="K4529" s="380"/>
      <c r="L4529" s="378"/>
      <c r="M4529" s="380"/>
      <c r="N4529" s="380"/>
      <c r="O4529" s="380"/>
      <c r="P4529" s="380"/>
      <c r="Q4529" s="380"/>
    </row>
    <row r="4530" spans="1:17" x14ac:dyDescent="0.2">
      <c r="A4530" s="334" t="s">
        <v>1583</v>
      </c>
      <c r="B4530" s="380"/>
      <c r="C4530" s="334" t="s">
        <v>41</v>
      </c>
      <c r="D4530" s="377"/>
      <c r="E4530" s="380"/>
      <c r="F4530" s="378"/>
      <c r="G4530" s="380"/>
      <c r="H4530" s="380"/>
      <c r="I4530" s="399"/>
      <c r="J4530" s="377"/>
      <c r="K4530" s="380"/>
      <c r="L4530" s="378"/>
      <c r="M4530" s="380"/>
      <c r="N4530" s="380"/>
      <c r="O4530" s="380"/>
      <c r="P4530" s="380"/>
      <c r="Q4530" s="380"/>
    </row>
    <row r="4531" spans="1:17" x14ac:dyDescent="0.2">
      <c r="A4531" s="334" t="s">
        <v>1724</v>
      </c>
      <c r="B4531" s="380"/>
      <c r="C4531" s="334" t="s">
        <v>1881</v>
      </c>
      <c r="D4531" s="377">
        <v>6000</v>
      </c>
      <c r="E4531" s="380"/>
      <c r="F4531" s="378"/>
      <c r="G4531" s="380"/>
      <c r="H4531" s="380"/>
      <c r="I4531" s="399"/>
      <c r="J4531" s="377">
        <v>6000</v>
      </c>
      <c r="K4531" s="380"/>
      <c r="L4531" s="378"/>
      <c r="M4531" s="380"/>
      <c r="N4531" s="380"/>
      <c r="O4531" s="380"/>
      <c r="P4531" s="380"/>
      <c r="Q4531" s="380"/>
    </row>
    <row r="4532" spans="1:17" x14ac:dyDescent="0.2">
      <c r="A4532" s="334" t="s">
        <v>1725</v>
      </c>
      <c r="B4532" s="380"/>
      <c r="C4532" s="334" t="s">
        <v>1890</v>
      </c>
      <c r="D4532" s="377"/>
      <c r="E4532" s="380"/>
      <c r="F4532" s="378"/>
      <c r="G4532" s="380"/>
      <c r="H4532" s="380"/>
      <c r="I4532" s="399"/>
      <c r="J4532" s="377"/>
      <c r="K4532" s="380"/>
      <c r="L4532" s="378"/>
      <c r="M4532" s="380"/>
      <c r="N4532" s="380"/>
      <c r="O4532" s="380"/>
      <c r="P4532" s="380"/>
      <c r="Q4532" s="380"/>
    </row>
    <row r="4533" spans="1:17" x14ac:dyDescent="0.2">
      <c r="A4533" s="334" t="s">
        <v>1744</v>
      </c>
      <c r="B4533" s="380"/>
      <c r="C4533" s="334" t="s">
        <v>1254</v>
      </c>
      <c r="D4533" s="377">
        <v>800</v>
      </c>
      <c r="E4533" s="380"/>
      <c r="F4533" s="378"/>
      <c r="G4533" s="380"/>
      <c r="H4533" s="380"/>
      <c r="I4533" s="399"/>
      <c r="J4533" s="377">
        <v>150</v>
      </c>
      <c r="K4533" s="380"/>
      <c r="L4533" s="378"/>
      <c r="M4533" s="380"/>
      <c r="N4533" s="380"/>
      <c r="O4533" s="380"/>
      <c r="P4533" s="380"/>
      <c r="Q4533" s="380"/>
    </row>
    <row r="4534" spans="1:17" x14ac:dyDescent="0.2">
      <c r="A4534" s="334" t="s">
        <v>1737</v>
      </c>
      <c r="B4534" s="380"/>
      <c r="C4534" s="334" t="s">
        <v>1984</v>
      </c>
      <c r="D4534" s="377">
        <v>150</v>
      </c>
      <c r="E4534" s="380"/>
      <c r="F4534" s="378"/>
      <c r="G4534" s="380"/>
      <c r="H4534" s="380"/>
      <c r="I4534" s="399"/>
      <c r="J4534" s="377"/>
      <c r="K4534" s="380"/>
      <c r="L4534" s="378"/>
      <c r="M4534" s="380"/>
      <c r="N4534" s="380"/>
      <c r="O4534" s="380"/>
      <c r="P4534" s="380"/>
      <c r="Q4534" s="380"/>
    </row>
    <row r="4535" spans="1:17" x14ac:dyDescent="0.2">
      <c r="A4535" s="334" t="s">
        <v>1734</v>
      </c>
      <c r="B4535" s="380"/>
      <c r="C4535" s="334" t="s">
        <v>1746</v>
      </c>
      <c r="D4535" s="377">
        <v>500</v>
      </c>
      <c r="E4535" s="380"/>
      <c r="F4535" s="378"/>
      <c r="G4535" s="380"/>
      <c r="H4535" s="380"/>
      <c r="I4535" s="399"/>
      <c r="J4535" s="377">
        <v>500</v>
      </c>
      <c r="K4535" s="380"/>
      <c r="L4535" s="378"/>
      <c r="M4535" s="380"/>
      <c r="N4535" s="380"/>
      <c r="O4535" s="380"/>
      <c r="P4535" s="380"/>
      <c r="Q4535" s="380"/>
    </row>
    <row r="4536" spans="1:17" x14ac:dyDescent="0.2">
      <c r="A4536" s="334" t="s">
        <v>1583</v>
      </c>
      <c r="B4536" s="380"/>
      <c r="C4536" s="334" t="s">
        <v>41</v>
      </c>
      <c r="D4536" s="377"/>
      <c r="E4536" s="380"/>
      <c r="F4536" s="378"/>
      <c r="G4536" s="380"/>
      <c r="H4536" s="380"/>
      <c r="I4536" s="399"/>
      <c r="J4536" s="377">
        <v>500</v>
      </c>
      <c r="K4536" s="380"/>
      <c r="L4536" s="378"/>
      <c r="M4536" s="380"/>
      <c r="N4536" s="380"/>
      <c r="O4536" s="380"/>
      <c r="P4536" s="380"/>
      <c r="Q4536" s="380"/>
    </row>
    <row r="4537" spans="1:17" x14ac:dyDescent="0.2">
      <c r="A4537" s="334" t="s">
        <v>1738</v>
      </c>
      <c r="B4537" s="380"/>
      <c r="C4537" s="334" t="s">
        <v>1591</v>
      </c>
      <c r="D4537" s="377">
        <v>500</v>
      </c>
      <c r="E4537" s="380"/>
      <c r="F4537" s="378"/>
      <c r="G4537" s="380"/>
      <c r="H4537" s="380"/>
      <c r="I4537" s="399"/>
      <c r="J4537" s="377">
        <v>500</v>
      </c>
      <c r="K4537" s="380"/>
      <c r="L4537" s="378"/>
      <c r="M4537" s="380"/>
      <c r="N4537" s="380"/>
      <c r="O4537" s="380"/>
      <c r="P4537" s="380"/>
      <c r="Q4537" s="380"/>
    </row>
    <row r="4538" spans="1:17" x14ac:dyDescent="0.2">
      <c r="A4538" s="384" t="s">
        <v>1727</v>
      </c>
      <c r="B4538" s="380"/>
      <c r="C4538" s="334" t="s">
        <v>307</v>
      </c>
      <c r="D4538" s="377">
        <v>500</v>
      </c>
      <c r="E4538" s="380"/>
      <c r="F4538" s="378"/>
      <c r="G4538" s="380"/>
      <c r="H4538" s="380"/>
      <c r="I4538" s="399"/>
      <c r="J4538" s="377">
        <v>500</v>
      </c>
      <c r="K4538" s="380"/>
      <c r="L4538" s="378"/>
      <c r="M4538" s="380"/>
      <c r="N4538" s="380"/>
      <c r="O4538" s="380"/>
      <c r="P4538" s="380"/>
      <c r="Q4538" s="380"/>
    </row>
    <row r="4539" spans="1:17" x14ac:dyDescent="0.2">
      <c r="A4539" s="334" t="s">
        <v>1728</v>
      </c>
      <c r="B4539" s="380"/>
      <c r="C4539" s="334" t="s">
        <v>310</v>
      </c>
      <c r="D4539" s="377">
        <v>1200</v>
      </c>
      <c r="E4539" s="380"/>
      <c r="F4539" s="378"/>
      <c r="G4539" s="380"/>
      <c r="H4539" s="380"/>
      <c r="I4539" s="399"/>
      <c r="J4539" s="377">
        <v>1200</v>
      </c>
      <c r="K4539" s="380"/>
      <c r="L4539" s="378"/>
      <c r="M4539" s="380"/>
      <c r="N4539" s="380"/>
      <c r="O4539" s="380"/>
      <c r="P4539" s="380"/>
      <c r="Q4539" s="380"/>
    </row>
    <row r="4540" spans="1:17" x14ac:dyDescent="0.2">
      <c r="A4540" s="334" t="s">
        <v>1729</v>
      </c>
      <c r="B4540" s="380"/>
      <c r="C4540" s="380" t="s">
        <v>1551</v>
      </c>
      <c r="D4540" s="377">
        <v>-2120</v>
      </c>
      <c r="E4540" s="380"/>
      <c r="F4540" s="378"/>
      <c r="G4540" s="380"/>
      <c r="H4540" s="380"/>
      <c r="I4540" s="399"/>
      <c r="J4540" s="377">
        <v>150</v>
      </c>
      <c r="K4540" s="380"/>
      <c r="L4540" s="378"/>
      <c r="M4540" s="380"/>
      <c r="N4540" s="380"/>
      <c r="O4540" s="380"/>
      <c r="P4540" s="380"/>
      <c r="Q4540" s="380"/>
    </row>
    <row r="4541" spans="1:17" x14ac:dyDescent="0.2">
      <c r="A4541" s="334" t="s">
        <v>1735</v>
      </c>
      <c r="B4541" s="380"/>
      <c r="C4541" s="380" t="s">
        <v>194</v>
      </c>
      <c r="D4541" s="377"/>
      <c r="E4541" s="380"/>
      <c r="F4541" s="378"/>
      <c r="G4541" s="380"/>
      <c r="H4541" s="380"/>
      <c r="I4541" s="399"/>
      <c r="J4541" s="377">
        <v>500</v>
      </c>
      <c r="K4541" s="380"/>
      <c r="L4541" s="378"/>
      <c r="M4541" s="380"/>
      <c r="N4541" s="380"/>
      <c r="O4541" s="380"/>
      <c r="P4541" s="380"/>
      <c r="Q4541" s="380"/>
    </row>
    <row r="4542" spans="1:17" x14ac:dyDescent="0.2">
      <c r="A4542" s="334" t="s">
        <v>1741</v>
      </c>
      <c r="B4542" s="380"/>
      <c r="C4542" s="334" t="s">
        <v>1748</v>
      </c>
      <c r="D4542" s="377"/>
      <c r="E4542" s="380"/>
      <c r="F4542" s="378"/>
      <c r="G4542" s="380"/>
      <c r="H4542" s="380"/>
      <c r="I4542" s="399"/>
      <c r="J4542" s="377">
        <v>150</v>
      </c>
      <c r="K4542" s="380"/>
      <c r="L4542" s="378"/>
      <c r="M4542" s="380"/>
      <c r="N4542" s="380"/>
      <c r="O4542" s="380"/>
      <c r="P4542" s="380"/>
      <c r="Q4542" s="380"/>
    </row>
    <row r="4543" spans="1:17" x14ac:dyDescent="0.2">
      <c r="A4543" s="334" t="s">
        <v>1903</v>
      </c>
      <c r="B4543" s="380"/>
      <c r="C4543" s="334" t="s">
        <v>35</v>
      </c>
      <c r="D4543" s="377"/>
      <c r="E4543" s="380"/>
      <c r="F4543" s="378"/>
      <c r="G4543" s="380"/>
      <c r="H4543" s="380"/>
      <c r="I4543" s="399"/>
      <c r="J4543" s="377"/>
      <c r="K4543" s="380"/>
      <c r="L4543" s="378"/>
      <c r="M4543" s="380"/>
      <c r="N4543" s="380"/>
      <c r="O4543" s="380"/>
      <c r="P4543" s="380"/>
      <c r="Q4543" s="380"/>
    </row>
    <row r="4544" spans="1:17" x14ac:dyDescent="0.2">
      <c r="A4544" s="384" t="s">
        <v>1572</v>
      </c>
      <c r="B4544" s="380"/>
      <c r="C4544" s="334" t="s">
        <v>3134</v>
      </c>
      <c r="D4544" s="377">
        <v>50</v>
      </c>
      <c r="E4544" s="380"/>
      <c r="F4544" s="378"/>
      <c r="G4544" s="380"/>
      <c r="H4544" s="380"/>
      <c r="I4544" s="399"/>
      <c r="J4544" s="377">
        <v>50</v>
      </c>
      <c r="K4544" s="380"/>
      <c r="L4544" s="378"/>
      <c r="M4544" s="380"/>
      <c r="N4544" s="380"/>
      <c r="O4544" s="380"/>
      <c r="P4544" s="380"/>
      <c r="Q4544" s="380"/>
    </row>
    <row r="4545" spans="1:17" x14ac:dyDescent="0.2">
      <c r="A4545" s="334" t="s">
        <v>1730</v>
      </c>
      <c r="B4545" s="380"/>
      <c r="C4545" s="334" t="s">
        <v>1985</v>
      </c>
      <c r="D4545" s="377">
        <v>900</v>
      </c>
      <c r="E4545" s="380"/>
      <c r="F4545" s="378"/>
      <c r="G4545" s="380"/>
      <c r="H4545" s="380"/>
      <c r="I4545" s="399"/>
      <c r="J4545" s="377">
        <v>600</v>
      </c>
      <c r="K4545" s="380"/>
      <c r="L4545" s="378"/>
      <c r="M4545" s="380"/>
      <c r="N4545" s="380"/>
      <c r="O4545" s="380"/>
      <c r="P4545" s="380"/>
      <c r="Q4545" s="380"/>
    </row>
    <row r="4546" spans="1:17" x14ac:dyDescent="0.2">
      <c r="A4546" s="384" t="s">
        <v>1962</v>
      </c>
      <c r="B4546" s="380"/>
      <c r="C4546" s="380" t="s">
        <v>572</v>
      </c>
      <c r="D4546" s="377"/>
      <c r="E4546" s="380"/>
      <c r="F4546" s="378"/>
      <c r="G4546" s="380"/>
      <c r="H4546" s="380"/>
      <c r="I4546" s="399"/>
      <c r="J4546" s="377"/>
      <c r="K4546" s="380"/>
      <c r="L4546" s="378"/>
      <c r="M4546" s="380"/>
      <c r="N4546" s="380"/>
      <c r="O4546" s="380"/>
      <c r="P4546" s="380"/>
      <c r="Q4546" s="380"/>
    </row>
    <row r="4547" spans="1:17" x14ac:dyDescent="0.2">
      <c r="A4547" s="405" t="s">
        <v>1567</v>
      </c>
      <c r="B4547" s="380"/>
      <c r="C4547" s="334" t="s">
        <v>3142</v>
      </c>
      <c r="D4547" s="377"/>
      <c r="E4547" s="380"/>
      <c r="F4547" s="378"/>
      <c r="G4547" s="380"/>
      <c r="H4547" s="380"/>
      <c r="I4547" s="385"/>
      <c r="J4547" s="377"/>
      <c r="K4547" s="380"/>
      <c r="L4547" s="378"/>
      <c r="M4547" s="380"/>
      <c r="N4547" s="380"/>
      <c r="O4547" s="380"/>
      <c r="P4547" s="380"/>
      <c r="Q4547" s="380"/>
    </row>
    <row r="4548" spans="1:17" x14ac:dyDescent="0.2">
      <c r="A4548" s="380"/>
      <c r="B4548" s="380"/>
      <c r="C4548" s="380"/>
      <c r="D4548" s="410">
        <f>SUM(D4527:D4547)</f>
        <v>8480</v>
      </c>
      <c r="E4548" s="380"/>
      <c r="F4548" s="378"/>
      <c r="G4548" s="380"/>
      <c r="H4548" s="380"/>
      <c r="I4548" s="399"/>
      <c r="J4548" s="410">
        <f>SUM(J4527:J4547)</f>
        <v>10800</v>
      </c>
      <c r="K4548" s="380"/>
      <c r="L4548" s="378"/>
      <c r="M4548" s="380"/>
      <c r="N4548" s="380"/>
      <c r="O4548" s="380"/>
      <c r="P4548" s="380"/>
      <c r="Q4548" s="380"/>
    </row>
    <row r="4549" spans="1:17" ht="15.75" thickTop="1" x14ac:dyDescent="0.2">
      <c r="A4549" s="380"/>
      <c r="B4549" s="380"/>
      <c r="C4549" s="380"/>
      <c r="D4549" s="395">
        <f>D4548</f>
        <v>8480</v>
      </c>
      <c r="E4549" s="380"/>
      <c r="F4549" s="378"/>
      <c r="G4549" s="380"/>
      <c r="H4549" s="380"/>
      <c r="I4549" s="399"/>
      <c r="J4549" s="395">
        <f>J4548</f>
        <v>10800</v>
      </c>
      <c r="K4549" s="380"/>
      <c r="L4549" s="378"/>
      <c r="M4549" s="380"/>
      <c r="N4549" s="380"/>
      <c r="O4549" s="380"/>
      <c r="P4549" s="380"/>
      <c r="Q4549" s="380"/>
    </row>
    <row r="4550" spans="1:17" x14ac:dyDescent="0.2">
      <c r="A4550" s="380"/>
      <c r="B4550" s="380"/>
      <c r="C4550" s="380"/>
      <c r="D4550" s="399"/>
      <c r="E4550" s="377"/>
      <c r="F4550" s="378"/>
      <c r="G4550" s="377"/>
      <c r="H4550" s="377"/>
      <c r="I4550" s="399"/>
      <c r="J4550" s="399"/>
      <c r="K4550" s="377"/>
      <c r="L4550" s="378"/>
      <c r="M4550" s="377"/>
      <c r="N4550" s="377"/>
      <c r="O4550" s="380"/>
      <c r="P4550" s="380"/>
      <c r="Q4550" s="380"/>
    </row>
    <row r="4551" spans="1:17" x14ac:dyDescent="0.2">
      <c r="A4551" s="377"/>
      <c r="B4551" s="377"/>
      <c r="C4551" s="377"/>
      <c r="D4551" s="377"/>
      <c r="E4551" s="380"/>
      <c r="F4551" s="378"/>
      <c r="G4551" s="380"/>
      <c r="H4551" s="380"/>
      <c r="I4551" s="382"/>
      <c r="J4551" s="377"/>
      <c r="K4551" s="380"/>
      <c r="L4551" s="378"/>
      <c r="M4551" s="380"/>
      <c r="N4551" s="380"/>
      <c r="O4551" s="380"/>
      <c r="P4551" s="380"/>
      <c r="Q4551" s="380"/>
    </row>
    <row r="4552" spans="1:17" x14ac:dyDescent="0.2">
      <c r="A4552" s="334" t="s">
        <v>1971</v>
      </c>
      <c r="B4552" s="380"/>
      <c r="C4552" s="380"/>
      <c r="D4552" s="380"/>
      <c r="E4552" s="380"/>
      <c r="F4552" s="378"/>
      <c r="G4552" s="380"/>
      <c r="H4552" s="380"/>
      <c r="I4552" s="382"/>
      <c r="J4552" s="380"/>
      <c r="K4552" s="380"/>
      <c r="L4552" s="378"/>
      <c r="M4552" s="380"/>
      <c r="N4552" s="380"/>
      <c r="O4552" s="380"/>
      <c r="P4552" s="380"/>
      <c r="Q4552" s="380"/>
    </row>
    <row r="4553" spans="1:17" x14ac:dyDescent="0.2">
      <c r="A4553" s="334" t="s">
        <v>342</v>
      </c>
      <c r="B4553" s="380"/>
      <c r="C4553" s="384" t="s">
        <v>2075</v>
      </c>
      <c r="D4553" s="380"/>
      <c r="E4553" s="380"/>
      <c r="F4553" s="378"/>
      <c r="G4553" s="380"/>
      <c r="H4553" s="380"/>
      <c r="I4553" s="385"/>
      <c r="J4553" s="380"/>
      <c r="K4553" s="380"/>
      <c r="L4553" s="378"/>
      <c r="M4553" s="380"/>
      <c r="N4553" s="380"/>
      <c r="O4553" s="380"/>
      <c r="P4553" s="380"/>
      <c r="Q4553" s="380"/>
    </row>
    <row r="4554" spans="1:17" x14ac:dyDescent="0.2">
      <c r="A4554" s="334" t="s">
        <v>342</v>
      </c>
      <c r="B4554" s="380"/>
      <c r="C4554" s="334" t="s">
        <v>342</v>
      </c>
      <c r="D4554" s="334" t="s">
        <v>342</v>
      </c>
      <c r="E4554" s="380"/>
      <c r="F4554" s="378"/>
      <c r="G4554" s="380"/>
      <c r="H4554" s="380"/>
      <c r="I4554" s="385"/>
      <c r="J4554" s="334" t="s">
        <v>342</v>
      </c>
      <c r="K4554" s="380"/>
      <c r="L4554" s="378"/>
      <c r="M4554" s="380"/>
      <c r="N4554" s="380"/>
      <c r="O4554" s="380"/>
      <c r="P4554" s="380"/>
      <c r="Q4554" s="380"/>
    </row>
    <row r="4555" spans="1:17" x14ac:dyDescent="0.2">
      <c r="A4555" s="334" t="s">
        <v>1723</v>
      </c>
      <c r="B4555" s="380"/>
      <c r="C4555" s="334" t="s">
        <v>1880</v>
      </c>
      <c r="D4555" s="334" t="s">
        <v>181</v>
      </c>
      <c r="E4555" s="380"/>
      <c r="F4555" s="378"/>
      <c r="G4555" s="380"/>
      <c r="H4555" s="380"/>
      <c r="I4555" s="399"/>
      <c r="J4555" s="334" t="s">
        <v>181</v>
      </c>
      <c r="K4555" s="380"/>
      <c r="L4555" s="378"/>
      <c r="M4555" s="380"/>
      <c r="N4555" s="380"/>
      <c r="O4555" s="380"/>
      <c r="P4555" s="380"/>
      <c r="Q4555" s="380"/>
    </row>
    <row r="4556" spans="1:17" x14ac:dyDescent="0.2">
      <c r="A4556" s="334" t="s">
        <v>1732</v>
      </c>
      <c r="B4556" s="380"/>
      <c r="C4556" s="334" t="s">
        <v>1933</v>
      </c>
      <c r="D4556" s="377"/>
      <c r="E4556" s="380"/>
      <c r="F4556" s="378"/>
      <c r="G4556" s="380"/>
      <c r="H4556" s="380"/>
      <c r="I4556" s="399"/>
      <c r="J4556" s="377"/>
      <c r="K4556" s="380"/>
      <c r="L4556" s="378"/>
      <c r="M4556" s="380"/>
      <c r="N4556" s="380"/>
      <c r="O4556" s="380"/>
      <c r="P4556" s="380"/>
      <c r="Q4556" s="380"/>
    </row>
    <row r="4557" spans="1:17" x14ac:dyDescent="0.2">
      <c r="A4557" s="334" t="s">
        <v>1569</v>
      </c>
      <c r="B4557" s="380"/>
      <c r="C4557" s="334" t="s">
        <v>1888</v>
      </c>
      <c r="D4557" s="377"/>
      <c r="E4557" s="380"/>
      <c r="F4557" s="378"/>
      <c r="G4557" s="380"/>
      <c r="H4557" s="380"/>
      <c r="I4557" s="399"/>
      <c r="J4557" s="377"/>
      <c r="K4557" s="380"/>
      <c r="L4557" s="378"/>
      <c r="M4557" s="380"/>
      <c r="N4557" s="380"/>
      <c r="O4557" s="380"/>
      <c r="P4557" s="380"/>
      <c r="Q4557" s="380"/>
    </row>
    <row r="4558" spans="1:17" x14ac:dyDescent="0.2">
      <c r="A4558" s="391" t="s">
        <v>1743</v>
      </c>
      <c r="B4558" s="380"/>
      <c r="C4558" s="334" t="s">
        <v>1886</v>
      </c>
      <c r="D4558" s="377">
        <v>10000</v>
      </c>
      <c r="E4558" s="380"/>
      <c r="F4558" s="378"/>
      <c r="G4558" s="380"/>
      <c r="H4558" s="380"/>
      <c r="I4558" s="399"/>
      <c r="J4558" s="377">
        <v>15000</v>
      </c>
      <c r="K4558" s="380"/>
      <c r="L4558" s="378"/>
      <c r="M4558" s="380"/>
      <c r="N4558" s="380"/>
      <c r="O4558" s="380"/>
      <c r="P4558" s="380"/>
      <c r="Q4558" s="380"/>
    </row>
    <row r="4559" spans="1:17" x14ac:dyDescent="0.2">
      <c r="A4559" s="384" t="s">
        <v>1966</v>
      </c>
      <c r="B4559" s="380"/>
      <c r="C4559" s="334" t="s">
        <v>28</v>
      </c>
      <c r="D4559" s="377"/>
      <c r="E4559" s="380"/>
      <c r="F4559" s="378"/>
      <c r="G4559" s="380"/>
      <c r="H4559" s="380"/>
      <c r="I4559" s="399"/>
      <c r="J4559" s="377">
        <v>54500</v>
      </c>
      <c r="K4559" s="380"/>
      <c r="L4559" s="378"/>
      <c r="M4559" s="380"/>
      <c r="N4559" s="380"/>
      <c r="O4559" s="380"/>
      <c r="P4559" s="380"/>
      <c r="Q4559" s="380"/>
    </row>
    <row r="4560" spans="1:17" x14ac:dyDescent="0.2">
      <c r="A4560" s="334" t="s">
        <v>1903</v>
      </c>
      <c r="B4560" s="380"/>
      <c r="C4560" s="334" t="s">
        <v>35</v>
      </c>
      <c r="D4560" s="376"/>
      <c r="E4560" s="380"/>
      <c r="F4560" s="378"/>
      <c r="G4560" s="380"/>
      <c r="H4560" s="380"/>
      <c r="I4560" s="399"/>
      <c r="J4560" s="377">
        <v>55000</v>
      </c>
      <c r="K4560" s="380"/>
      <c r="L4560" s="378"/>
      <c r="M4560" s="380"/>
      <c r="N4560" s="380"/>
      <c r="O4560" s="380"/>
      <c r="P4560" s="380"/>
      <c r="Q4560" s="380"/>
    </row>
    <row r="4561" spans="1:17" x14ac:dyDescent="0.2">
      <c r="A4561" s="334" t="s">
        <v>1724</v>
      </c>
      <c r="B4561" s="380"/>
      <c r="C4561" s="334" t="s">
        <v>1881</v>
      </c>
      <c r="D4561" s="377">
        <v>7000</v>
      </c>
      <c r="E4561" s="380"/>
      <c r="F4561" s="378"/>
      <c r="G4561" s="380"/>
      <c r="H4561" s="380"/>
      <c r="I4561" s="399"/>
      <c r="J4561" s="377">
        <v>4000</v>
      </c>
      <c r="K4561" s="380"/>
      <c r="L4561" s="378"/>
      <c r="M4561" s="380"/>
      <c r="N4561" s="380"/>
      <c r="O4561" s="380"/>
      <c r="P4561" s="380"/>
      <c r="Q4561" s="380"/>
    </row>
    <row r="4562" spans="1:17" x14ac:dyDescent="0.2">
      <c r="A4562" s="334" t="s">
        <v>1736</v>
      </c>
      <c r="B4562" s="380"/>
      <c r="C4562" s="334" t="s">
        <v>1747</v>
      </c>
      <c r="D4562" s="377">
        <v>2600</v>
      </c>
      <c r="E4562" s="380"/>
      <c r="F4562" s="378"/>
      <c r="G4562" s="380"/>
      <c r="H4562" s="380"/>
      <c r="I4562" s="399"/>
      <c r="J4562" s="377"/>
      <c r="K4562" s="380"/>
      <c r="L4562" s="378"/>
      <c r="M4562" s="380"/>
      <c r="N4562" s="380"/>
      <c r="O4562" s="380"/>
      <c r="P4562" s="380"/>
      <c r="Q4562" s="380"/>
    </row>
    <row r="4563" spans="1:17" x14ac:dyDescent="0.2">
      <c r="A4563" s="334" t="s">
        <v>1744</v>
      </c>
      <c r="B4563" s="380"/>
      <c r="C4563" s="334" t="s">
        <v>1254</v>
      </c>
      <c r="D4563" s="377">
        <v>1500</v>
      </c>
      <c r="E4563" s="380"/>
      <c r="F4563" s="378"/>
      <c r="G4563" s="380"/>
      <c r="H4563" s="380"/>
      <c r="I4563" s="399"/>
      <c r="J4563" s="377">
        <v>500</v>
      </c>
      <c r="K4563" s="380"/>
      <c r="L4563" s="378"/>
      <c r="M4563" s="380"/>
      <c r="N4563" s="380"/>
      <c r="O4563" s="380"/>
      <c r="P4563" s="380"/>
      <c r="Q4563" s="380"/>
    </row>
    <row r="4564" spans="1:17" x14ac:dyDescent="0.2">
      <c r="A4564" s="334" t="s">
        <v>1582</v>
      </c>
      <c r="B4564" s="380"/>
      <c r="C4564" s="334" t="s">
        <v>3135</v>
      </c>
      <c r="D4564" s="377">
        <v>1200</v>
      </c>
      <c r="E4564" s="380"/>
      <c r="F4564" s="378"/>
      <c r="G4564" s="380"/>
      <c r="H4564" s="380"/>
      <c r="I4564" s="399"/>
      <c r="J4564" s="377"/>
      <c r="K4564" s="380"/>
      <c r="L4564" s="378"/>
      <c r="M4564" s="380"/>
      <c r="N4564" s="380"/>
      <c r="O4564" s="380"/>
      <c r="P4564" s="380"/>
      <c r="Q4564" s="380"/>
    </row>
    <row r="4565" spans="1:17" x14ac:dyDescent="0.2">
      <c r="A4565" s="334" t="s">
        <v>1575</v>
      </c>
      <c r="B4565" s="380"/>
      <c r="C4565" s="334" t="s">
        <v>1889</v>
      </c>
      <c r="D4565" s="377">
        <v>6000</v>
      </c>
      <c r="E4565" s="380"/>
      <c r="F4565" s="378"/>
      <c r="G4565" s="380"/>
      <c r="H4565" s="380"/>
      <c r="I4565" s="399"/>
      <c r="J4565" s="377">
        <v>6500</v>
      </c>
      <c r="K4565" s="380"/>
      <c r="L4565" s="378"/>
      <c r="M4565" s="380"/>
      <c r="N4565" s="380"/>
      <c r="O4565" s="380"/>
      <c r="P4565" s="380"/>
      <c r="Q4565" s="380"/>
    </row>
    <row r="4566" spans="1:17" x14ac:dyDescent="0.2">
      <c r="A4566" s="334" t="s">
        <v>1725</v>
      </c>
      <c r="B4566" s="380"/>
      <c r="C4566" s="334" t="s">
        <v>1890</v>
      </c>
      <c r="D4566" s="377">
        <v>400</v>
      </c>
      <c r="E4566" s="334"/>
      <c r="F4566" s="378"/>
      <c r="G4566" s="380"/>
      <c r="H4566" s="380"/>
      <c r="I4566" s="399"/>
      <c r="J4566" s="377"/>
      <c r="K4566" s="334"/>
      <c r="L4566" s="378"/>
      <c r="M4566" s="380"/>
      <c r="N4566" s="380"/>
      <c r="O4566" s="380"/>
      <c r="P4566" s="380"/>
      <c r="Q4566" s="380"/>
    </row>
    <row r="4567" spans="1:17" x14ac:dyDescent="0.2">
      <c r="A4567" s="334" t="s">
        <v>1906</v>
      </c>
      <c r="B4567" s="380"/>
      <c r="C4567" s="334" t="s">
        <v>39</v>
      </c>
      <c r="D4567" s="377">
        <v>99000</v>
      </c>
      <c r="E4567" s="380"/>
      <c r="F4567" s="378"/>
      <c r="G4567" s="380"/>
      <c r="H4567" s="380"/>
      <c r="I4567" s="399"/>
      <c r="J4567" s="377">
        <v>75000</v>
      </c>
      <c r="K4567" s="380"/>
      <c r="L4567" s="378"/>
      <c r="M4567" s="380"/>
      <c r="N4567" s="380"/>
      <c r="O4567" s="380"/>
      <c r="P4567" s="380"/>
      <c r="Q4567" s="380"/>
    </row>
    <row r="4568" spans="1:17" x14ac:dyDescent="0.2">
      <c r="A4568" s="334" t="s">
        <v>1576</v>
      </c>
      <c r="B4568" s="380"/>
      <c r="C4568" s="334" t="s">
        <v>1590</v>
      </c>
      <c r="D4568" s="377">
        <v>120</v>
      </c>
      <c r="E4568" s="380"/>
      <c r="F4568" s="378"/>
      <c r="G4568" s="380"/>
      <c r="H4568" s="380"/>
      <c r="I4568" s="399"/>
      <c r="J4568" s="377">
        <v>25</v>
      </c>
      <c r="K4568" s="380"/>
      <c r="L4568" s="378"/>
      <c r="M4568" s="380"/>
      <c r="N4568" s="380"/>
      <c r="O4568" s="380"/>
      <c r="P4568" s="380"/>
      <c r="Q4568" s="380"/>
    </row>
    <row r="4569" spans="1:17" x14ac:dyDescent="0.2">
      <c r="A4569" s="391" t="s">
        <v>1565</v>
      </c>
      <c r="B4569" s="380"/>
      <c r="C4569" s="334" t="s">
        <v>1927</v>
      </c>
      <c r="D4569" s="377">
        <v>300</v>
      </c>
      <c r="E4569" s="380"/>
      <c r="F4569" s="378"/>
      <c r="G4569" s="380"/>
      <c r="H4569" s="380"/>
      <c r="I4569" s="399"/>
      <c r="J4569" s="377"/>
      <c r="K4569" s="380"/>
      <c r="L4569" s="378"/>
      <c r="M4569" s="380"/>
      <c r="N4569" s="380"/>
      <c r="O4569" s="380"/>
      <c r="P4569" s="380"/>
      <c r="Q4569" s="380"/>
    </row>
    <row r="4570" spans="1:17" x14ac:dyDescent="0.2">
      <c r="A4570" s="334" t="s">
        <v>1577</v>
      </c>
      <c r="B4570" s="380"/>
      <c r="C4570" s="334" t="s">
        <v>1815</v>
      </c>
      <c r="D4570" s="377">
        <v>5200</v>
      </c>
      <c r="E4570" s="380"/>
      <c r="F4570" s="378"/>
      <c r="G4570" s="380"/>
      <c r="H4570" s="380"/>
      <c r="I4570" s="399"/>
      <c r="J4570" s="377">
        <v>2500</v>
      </c>
      <c r="K4570" s="380"/>
      <c r="L4570" s="378"/>
      <c r="M4570" s="380"/>
      <c r="N4570" s="380"/>
      <c r="O4570" s="380"/>
      <c r="P4570" s="380"/>
      <c r="Q4570" s="380"/>
    </row>
    <row r="4571" spans="1:17" x14ac:dyDescent="0.2">
      <c r="A4571" s="334" t="s">
        <v>1753</v>
      </c>
      <c r="B4571" s="380"/>
      <c r="C4571" s="334" t="s">
        <v>1816</v>
      </c>
      <c r="D4571" s="377"/>
      <c r="E4571" s="380"/>
      <c r="F4571" s="378"/>
      <c r="G4571" s="380"/>
      <c r="H4571" s="380"/>
      <c r="I4571" s="399"/>
      <c r="J4571" s="377"/>
      <c r="K4571" s="380"/>
      <c r="L4571" s="378"/>
      <c r="M4571" s="380"/>
      <c r="N4571" s="380"/>
      <c r="O4571" s="380"/>
      <c r="P4571" s="380"/>
      <c r="Q4571" s="380"/>
    </row>
    <row r="4572" spans="1:17" x14ac:dyDescent="0.2">
      <c r="A4572" s="334" t="s">
        <v>1734</v>
      </c>
      <c r="B4572" s="380"/>
      <c r="C4572" s="334" t="s">
        <v>1746</v>
      </c>
      <c r="D4572" s="377">
        <v>28000</v>
      </c>
      <c r="E4572" s="380"/>
      <c r="F4572" s="378"/>
      <c r="G4572" s="380"/>
      <c r="H4572" s="380"/>
      <c r="I4572" s="399"/>
      <c r="J4572" s="377">
        <v>5000</v>
      </c>
      <c r="K4572" s="380"/>
      <c r="L4572" s="378"/>
      <c r="M4572" s="380"/>
      <c r="N4572" s="380"/>
      <c r="O4572" s="380"/>
      <c r="P4572" s="380"/>
      <c r="Q4572" s="380"/>
    </row>
    <row r="4573" spans="1:17" x14ac:dyDescent="0.2">
      <c r="A4573" s="334" t="s">
        <v>1571</v>
      </c>
      <c r="B4573" s="380"/>
      <c r="C4573" s="334" t="s">
        <v>3</v>
      </c>
      <c r="D4573" s="377">
        <v>700</v>
      </c>
      <c r="E4573" s="380"/>
      <c r="F4573" s="378"/>
      <c r="G4573" s="380"/>
      <c r="H4573" s="380"/>
      <c r="I4573" s="399"/>
      <c r="J4573" s="377"/>
      <c r="K4573" s="380"/>
      <c r="L4573" s="378"/>
      <c r="M4573" s="380"/>
      <c r="N4573" s="380"/>
      <c r="O4573" s="380"/>
      <c r="P4573" s="380"/>
      <c r="Q4573" s="380"/>
    </row>
    <row r="4574" spans="1:17" x14ac:dyDescent="0.2">
      <c r="A4574" s="334" t="s">
        <v>1578</v>
      </c>
      <c r="B4574" s="380"/>
      <c r="C4574" s="334" t="s">
        <v>22</v>
      </c>
      <c r="D4574" s="377">
        <v>4900</v>
      </c>
      <c r="E4574" s="380"/>
      <c r="F4574" s="378"/>
      <c r="G4574" s="380"/>
      <c r="H4574" s="380"/>
      <c r="I4574" s="399"/>
      <c r="J4574" s="377"/>
      <c r="K4574" s="380"/>
      <c r="L4574" s="378"/>
      <c r="M4574" s="380"/>
      <c r="N4574" s="380"/>
      <c r="O4574" s="380"/>
      <c r="P4574" s="380"/>
      <c r="Q4574" s="380"/>
    </row>
    <row r="4575" spans="1:17" x14ac:dyDescent="0.2">
      <c r="A4575" s="334" t="s">
        <v>1945</v>
      </c>
      <c r="B4575" s="380"/>
      <c r="C4575" s="334" t="s">
        <v>2941</v>
      </c>
      <c r="D4575" s="377">
        <v>2900</v>
      </c>
      <c r="E4575" s="380"/>
      <c r="F4575" s="378"/>
      <c r="G4575" s="380"/>
      <c r="H4575" s="380"/>
      <c r="I4575" s="399"/>
      <c r="J4575" s="377"/>
      <c r="K4575" s="380"/>
      <c r="L4575" s="378"/>
      <c r="M4575" s="380"/>
      <c r="N4575" s="380"/>
      <c r="O4575" s="380"/>
      <c r="P4575" s="380"/>
      <c r="Q4575" s="380"/>
    </row>
    <row r="4576" spans="1:17" x14ac:dyDescent="0.2">
      <c r="A4576" s="334" t="s">
        <v>1738</v>
      </c>
      <c r="B4576" s="380"/>
      <c r="C4576" s="334" t="s">
        <v>1591</v>
      </c>
      <c r="D4576" s="377"/>
      <c r="E4576" s="380"/>
      <c r="F4576" s="378"/>
      <c r="G4576" s="380"/>
      <c r="H4576" s="380"/>
      <c r="I4576" s="399"/>
      <c r="J4576" s="377">
        <v>100</v>
      </c>
      <c r="K4576" s="380"/>
      <c r="L4576" s="378"/>
      <c r="M4576" s="380"/>
      <c r="N4576" s="380"/>
      <c r="O4576" s="380"/>
      <c r="P4576" s="380"/>
      <c r="Q4576" s="380"/>
    </row>
    <row r="4577" spans="1:17" x14ac:dyDescent="0.2">
      <c r="A4577" s="334" t="s">
        <v>1727</v>
      </c>
      <c r="B4577" s="380"/>
      <c r="C4577" s="334" t="s">
        <v>307</v>
      </c>
      <c r="D4577" s="377"/>
      <c r="E4577" s="380"/>
      <c r="F4577" s="378"/>
      <c r="G4577" s="380"/>
      <c r="H4577" s="380"/>
      <c r="I4577" s="399"/>
      <c r="J4577" s="377">
        <v>100</v>
      </c>
      <c r="K4577" s="380"/>
      <c r="L4577" s="378"/>
      <c r="M4577" s="380"/>
      <c r="N4577" s="380"/>
      <c r="O4577" s="380"/>
      <c r="P4577" s="380"/>
      <c r="Q4577" s="380"/>
    </row>
    <row r="4578" spans="1:17" x14ac:dyDescent="0.2">
      <c r="A4578" s="334" t="s">
        <v>1728</v>
      </c>
      <c r="B4578" s="380"/>
      <c r="C4578" s="334" t="s">
        <v>310</v>
      </c>
      <c r="D4578" s="377"/>
      <c r="E4578" s="380"/>
      <c r="F4578" s="378"/>
      <c r="G4578" s="380"/>
      <c r="H4578" s="380"/>
      <c r="I4578" s="399"/>
      <c r="J4578" s="377"/>
      <c r="K4578" s="380"/>
      <c r="L4578" s="378"/>
      <c r="M4578" s="380"/>
      <c r="N4578" s="380"/>
      <c r="O4578" s="380"/>
      <c r="P4578" s="380"/>
      <c r="Q4578" s="380"/>
    </row>
    <row r="4579" spans="1:17" x14ac:dyDescent="0.2">
      <c r="A4579" s="334" t="s">
        <v>1729</v>
      </c>
      <c r="B4579" s="380"/>
      <c r="C4579" s="380" t="s">
        <v>1551</v>
      </c>
      <c r="D4579" s="377">
        <v>-12281</v>
      </c>
      <c r="E4579" s="380"/>
      <c r="F4579" s="378"/>
      <c r="G4579" s="380"/>
      <c r="H4579" s="380"/>
      <c r="I4579" s="399"/>
      <c r="J4579" s="377">
        <v>25</v>
      </c>
      <c r="K4579" s="380"/>
      <c r="L4579" s="378"/>
      <c r="M4579" s="380"/>
      <c r="N4579" s="380"/>
      <c r="O4579" s="380"/>
      <c r="P4579" s="380"/>
      <c r="Q4579" s="380"/>
    </row>
    <row r="4580" spans="1:17" x14ac:dyDescent="0.2">
      <c r="A4580" s="334" t="s">
        <v>1735</v>
      </c>
      <c r="B4580" s="380"/>
      <c r="C4580" s="380" t="s">
        <v>194</v>
      </c>
      <c r="D4580" s="377"/>
      <c r="E4580" s="380"/>
      <c r="F4580" s="378"/>
      <c r="G4580" s="380"/>
      <c r="H4580" s="380"/>
      <c r="I4580" s="399"/>
      <c r="J4580" s="377">
        <v>3000</v>
      </c>
      <c r="K4580" s="380"/>
      <c r="L4580" s="378"/>
      <c r="M4580" s="380"/>
      <c r="N4580" s="380"/>
      <c r="O4580" s="380"/>
      <c r="P4580" s="380"/>
      <c r="Q4580" s="380"/>
    </row>
    <row r="4581" spans="1:17" x14ac:dyDescent="0.2">
      <c r="A4581" s="334" t="s">
        <v>1741</v>
      </c>
      <c r="B4581" s="380"/>
      <c r="C4581" s="334" t="s">
        <v>1748</v>
      </c>
      <c r="D4581" s="377"/>
      <c r="E4581" s="380"/>
      <c r="F4581" s="378"/>
      <c r="G4581" s="380"/>
      <c r="H4581" s="380"/>
      <c r="I4581" s="399"/>
      <c r="J4581" s="377"/>
      <c r="K4581" s="380"/>
      <c r="L4581" s="378"/>
      <c r="M4581" s="380"/>
      <c r="N4581" s="380"/>
      <c r="O4581" s="380"/>
      <c r="P4581" s="380"/>
      <c r="Q4581" s="380"/>
    </row>
    <row r="4582" spans="1:17" x14ac:dyDescent="0.2">
      <c r="A4582" s="334" t="s">
        <v>1572</v>
      </c>
      <c r="B4582" s="380"/>
      <c r="C4582" s="334" t="s">
        <v>3134</v>
      </c>
      <c r="D4582" s="377"/>
      <c r="E4582" s="380"/>
      <c r="F4582" s="378"/>
      <c r="G4582" s="380"/>
      <c r="H4582" s="380"/>
      <c r="I4582" s="399"/>
      <c r="J4582" s="377"/>
      <c r="K4582" s="380"/>
      <c r="L4582" s="378"/>
      <c r="M4582" s="380"/>
      <c r="N4582" s="380"/>
      <c r="O4582" s="380"/>
      <c r="P4582" s="380"/>
      <c r="Q4582" s="380"/>
    </row>
    <row r="4583" spans="1:17" x14ac:dyDescent="0.2">
      <c r="A4583" s="334" t="s">
        <v>1730</v>
      </c>
      <c r="B4583" s="380"/>
      <c r="C4583" s="334" t="s">
        <v>1985</v>
      </c>
      <c r="D4583" s="377">
        <v>1600</v>
      </c>
      <c r="E4583" s="380"/>
      <c r="F4583" s="378"/>
      <c r="G4583" s="380"/>
      <c r="H4583" s="380"/>
      <c r="I4583" s="399"/>
      <c r="J4583" s="377">
        <v>500</v>
      </c>
      <c r="K4583" s="380"/>
      <c r="L4583" s="378"/>
      <c r="M4583" s="380"/>
      <c r="N4583" s="380"/>
      <c r="O4583" s="380"/>
      <c r="P4583" s="380"/>
      <c r="Q4583" s="380"/>
    </row>
    <row r="4584" spans="1:17" x14ac:dyDescent="0.2">
      <c r="A4584" s="384" t="s">
        <v>1587</v>
      </c>
      <c r="B4584" s="380"/>
      <c r="C4584" s="334" t="s">
        <v>34</v>
      </c>
      <c r="D4584" s="377">
        <v>10900</v>
      </c>
      <c r="E4584" s="380"/>
      <c r="F4584" s="378"/>
      <c r="G4584" s="380"/>
      <c r="H4584" s="380"/>
      <c r="I4584" s="399"/>
      <c r="J4584" s="377"/>
      <c r="K4584" s="380"/>
      <c r="L4584" s="378"/>
      <c r="M4584" s="380"/>
      <c r="N4584" s="380"/>
      <c r="O4584" s="380"/>
      <c r="P4584" s="380"/>
      <c r="Q4584" s="380"/>
    </row>
    <row r="4585" spans="1:17" x14ac:dyDescent="0.2">
      <c r="A4585" s="334" t="s">
        <v>1944</v>
      </c>
      <c r="B4585" s="380"/>
      <c r="C4585" s="334" t="s">
        <v>72</v>
      </c>
      <c r="D4585" s="377">
        <v>700</v>
      </c>
      <c r="E4585" s="380"/>
      <c r="F4585" s="378"/>
      <c r="G4585" s="380"/>
      <c r="H4585" s="380"/>
      <c r="I4585" s="399"/>
      <c r="J4585" s="377"/>
      <c r="K4585" s="380"/>
      <c r="L4585" s="378"/>
      <c r="M4585" s="380"/>
      <c r="N4585" s="380"/>
      <c r="O4585" s="380"/>
      <c r="P4585" s="380"/>
      <c r="Q4585" s="380"/>
    </row>
    <row r="4586" spans="1:17" x14ac:dyDescent="0.2">
      <c r="A4586" s="334" t="s">
        <v>1959</v>
      </c>
      <c r="B4586" s="380"/>
      <c r="C4586" s="334" t="s">
        <v>50</v>
      </c>
      <c r="D4586" s="377">
        <v>600</v>
      </c>
      <c r="E4586" s="380"/>
      <c r="F4586" s="378"/>
      <c r="G4586" s="380"/>
      <c r="H4586" s="380"/>
      <c r="I4586" s="399"/>
      <c r="J4586" s="377"/>
      <c r="K4586" s="380"/>
      <c r="L4586" s="378"/>
      <c r="M4586" s="380"/>
      <c r="N4586" s="380"/>
      <c r="O4586" s="380"/>
      <c r="P4586" s="380"/>
      <c r="Q4586" s="380"/>
    </row>
    <row r="4587" spans="1:17" x14ac:dyDescent="0.2">
      <c r="A4587" s="384" t="s">
        <v>1903</v>
      </c>
      <c r="B4587" s="380"/>
      <c r="C4587" s="334" t="s">
        <v>35</v>
      </c>
      <c r="D4587" s="377">
        <v>24000</v>
      </c>
      <c r="E4587" s="380"/>
      <c r="F4587" s="378"/>
      <c r="G4587" s="380"/>
      <c r="H4587" s="380"/>
      <c r="I4587" s="399"/>
      <c r="J4587" s="377"/>
      <c r="K4587" s="380"/>
      <c r="L4587" s="378"/>
      <c r="M4587" s="380"/>
      <c r="N4587" s="380"/>
      <c r="O4587" s="380"/>
      <c r="P4587" s="380"/>
      <c r="Q4587" s="380"/>
    </row>
    <row r="4588" spans="1:17" x14ac:dyDescent="0.2">
      <c r="A4588" s="384" t="s">
        <v>1962</v>
      </c>
      <c r="B4588" s="380"/>
      <c r="C4588" s="380" t="s">
        <v>572</v>
      </c>
      <c r="D4588" s="377">
        <v>10500</v>
      </c>
      <c r="E4588" s="380"/>
      <c r="F4588" s="378"/>
      <c r="G4588" s="380"/>
      <c r="H4588" s="380"/>
      <c r="I4588" s="399"/>
      <c r="J4588" s="377"/>
      <c r="K4588" s="380"/>
      <c r="L4588" s="378"/>
      <c r="M4588" s="380"/>
      <c r="N4588" s="380"/>
      <c r="O4588" s="380"/>
      <c r="P4588" s="380"/>
      <c r="Q4588" s="380"/>
    </row>
    <row r="4589" spans="1:17" x14ac:dyDescent="0.2">
      <c r="A4589" s="334" t="s">
        <v>1567</v>
      </c>
      <c r="B4589" s="380"/>
      <c r="C4589" s="334" t="s">
        <v>3142</v>
      </c>
      <c r="D4589" s="377">
        <v>49800</v>
      </c>
      <c r="E4589" s="380"/>
      <c r="F4589" s="378"/>
      <c r="G4589" s="380"/>
      <c r="H4589" s="380"/>
      <c r="I4589" s="385"/>
      <c r="J4589" s="377">
        <v>15000</v>
      </c>
      <c r="K4589" s="380"/>
      <c r="L4589" s="378"/>
      <c r="M4589" s="380"/>
      <c r="N4589" s="380"/>
      <c r="O4589" s="380"/>
      <c r="P4589" s="380"/>
      <c r="Q4589" s="380"/>
    </row>
    <row r="4590" spans="1:17" x14ac:dyDescent="0.2">
      <c r="A4590" s="380"/>
      <c r="B4590" s="380"/>
      <c r="C4590" s="380"/>
      <c r="D4590" s="410">
        <f>SUM(D4556:D4589)</f>
        <v>255639</v>
      </c>
      <c r="E4590" s="380"/>
      <c r="F4590" s="378"/>
      <c r="G4590" s="380"/>
      <c r="H4590" s="380"/>
      <c r="I4590" s="399"/>
      <c r="J4590" s="410">
        <f>SUM(J4556:J4589)</f>
        <v>236750</v>
      </c>
      <c r="K4590" s="380"/>
      <c r="L4590" s="378"/>
      <c r="M4590" s="380"/>
      <c r="N4590" s="380"/>
      <c r="O4590" s="380"/>
      <c r="P4590" s="380"/>
      <c r="Q4590" s="380"/>
    </row>
    <row r="4591" spans="1:17" ht="15.75" thickTop="1" x14ac:dyDescent="0.2">
      <c r="A4591" s="380"/>
      <c r="B4591" s="380"/>
      <c r="C4591" s="380"/>
      <c r="D4591" s="395">
        <f>D4590-D4556</f>
        <v>255639</v>
      </c>
      <c r="E4591" s="380"/>
      <c r="F4591" s="378"/>
      <c r="G4591" s="380"/>
      <c r="H4591" s="380"/>
      <c r="I4591" s="399"/>
      <c r="J4591" s="395">
        <f>J4590-J4556</f>
        <v>236750</v>
      </c>
      <c r="K4591" s="380"/>
      <c r="L4591" s="378"/>
      <c r="M4591" s="380"/>
      <c r="N4591" s="380"/>
      <c r="O4591" s="380"/>
      <c r="P4591" s="380"/>
      <c r="Q4591" s="380"/>
    </row>
    <row r="4592" spans="1:17" ht="15.75" thickTop="1" x14ac:dyDescent="0.2">
      <c r="A4592" s="380"/>
      <c r="B4592" s="380"/>
      <c r="C4592" s="380"/>
      <c r="D4592" s="395"/>
      <c r="E4592" s="380"/>
      <c r="F4592" s="378"/>
      <c r="G4592" s="380"/>
      <c r="H4592" s="380"/>
      <c r="I4592" s="382"/>
      <c r="J4592" s="399"/>
      <c r="K4592" s="380"/>
      <c r="L4592" s="378"/>
      <c r="M4592" s="380"/>
      <c r="N4592" s="380"/>
      <c r="O4592" s="380"/>
      <c r="P4592" s="380"/>
      <c r="Q4592" s="380"/>
    </row>
    <row r="4593" spans="1:17" x14ac:dyDescent="0.2">
      <c r="A4593" s="380"/>
      <c r="B4593" s="380"/>
      <c r="C4593" s="380"/>
      <c r="D4593" s="380"/>
      <c r="E4593" s="377"/>
      <c r="F4593" s="378"/>
      <c r="G4593" s="377"/>
      <c r="H4593" s="377"/>
      <c r="I4593" s="399"/>
      <c r="J4593" s="380"/>
      <c r="K4593" s="377"/>
      <c r="L4593" s="378"/>
      <c r="M4593" s="377"/>
      <c r="N4593" s="377"/>
      <c r="O4593" s="380"/>
      <c r="P4593" s="380"/>
      <c r="Q4593" s="380"/>
    </row>
    <row r="4594" spans="1:17" x14ac:dyDescent="0.2">
      <c r="A4594" s="334" t="s">
        <v>1972</v>
      </c>
      <c r="B4594" s="377"/>
      <c r="C4594" s="377"/>
      <c r="D4594" s="377"/>
      <c r="E4594" s="380"/>
      <c r="F4594" s="378"/>
      <c r="G4594" s="380"/>
      <c r="H4594" s="380"/>
      <c r="I4594" s="382"/>
      <c r="J4594" s="377"/>
      <c r="K4594" s="380"/>
      <c r="L4594" s="378"/>
      <c r="M4594" s="380"/>
      <c r="N4594" s="380"/>
      <c r="O4594" s="380"/>
      <c r="P4594" s="380"/>
      <c r="Q4594" s="380"/>
    </row>
    <row r="4595" spans="1:17" x14ac:dyDescent="0.2">
      <c r="A4595" s="334" t="s">
        <v>1660</v>
      </c>
      <c r="B4595" s="380"/>
      <c r="C4595" s="384" t="s">
        <v>2075</v>
      </c>
      <c r="D4595" s="380"/>
      <c r="E4595" s="380"/>
      <c r="F4595" s="378"/>
      <c r="G4595" s="380"/>
      <c r="H4595" s="380"/>
      <c r="I4595" s="385"/>
      <c r="J4595" s="380"/>
      <c r="K4595" s="380"/>
      <c r="L4595" s="378"/>
      <c r="M4595" s="380"/>
      <c r="N4595" s="380"/>
      <c r="O4595" s="380"/>
      <c r="P4595" s="380"/>
      <c r="Q4595" s="380"/>
    </row>
    <row r="4596" spans="1:17" x14ac:dyDescent="0.2">
      <c r="A4596" s="334" t="s">
        <v>342</v>
      </c>
      <c r="B4596" s="380"/>
      <c r="C4596" s="334" t="s">
        <v>342</v>
      </c>
      <c r="D4596" s="334" t="s">
        <v>342</v>
      </c>
      <c r="E4596" s="380"/>
      <c r="F4596" s="378"/>
      <c r="G4596" s="380"/>
      <c r="H4596" s="380"/>
      <c r="I4596" s="385"/>
      <c r="J4596" s="334" t="s">
        <v>342</v>
      </c>
      <c r="K4596" s="380"/>
      <c r="L4596" s="378"/>
      <c r="M4596" s="380"/>
      <c r="N4596" s="380"/>
      <c r="O4596" s="380"/>
      <c r="P4596" s="380"/>
      <c r="Q4596" s="380"/>
    </row>
    <row r="4597" spans="1:17" x14ac:dyDescent="0.2">
      <c r="A4597" s="334" t="s">
        <v>1723</v>
      </c>
      <c r="B4597" s="380"/>
      <c r="C4597" s="334" t="s">
        <v>1880</v>
      </c>
      <c r="D4597" s="334" t="s">
        <v>181</v>
      </c>
      <c r="E4597" s="380"/>
      <c r="F4597" s="378"/>
      <c r="G4597" s="380"/>
      <c r="H4597" s="380"/>
      <c r="I4597" s="382"/>
      <c r="J4597" s="334" t="s">
        <v>181</v>
      </c>
      <c r="K4597" s="380"/>
      <c r="L4597" s="378"/>
      <c r="M4597" s="380"/>
      <c r="N4597" s="380"/>
      <c r="O4597" s="380"/>
      <c r="P4597" s="380"/>
      <c r="Q4597" s="380"/>
    </row>
    <row r="4598" spans="1:17" x14ac:dyDescent="0.2">
      <c r="A4598" s="380"/>
      <c r="B4598" s="380"/>
      <c r="C4598" s="380"/>
      <c r="D4598" s="380"/>
      <c r="E4598" s="380"/>
      <c r="F4598" s="378"/>
      <c r="G4598" s="380"/>
      <c r="H4598" s="380"/>
      <c r="I4598" s="399"/>
      <c r="J4598" s="380"/>
      <c r="K4598" s="380"/>
      <c r="L4598" s="378"/>
      <c r="M4598" s="380"/>
      <c r="N4598" s="380"/>
      <c r="O4598" s="380"/>
      <c r="P4598" s="380"/>
      <c r="Q4598" s="380"/>
    </row>
    <row r="4599" spans="1:17" x14ac:dyDescent="0.2">
      <c r="A4599" s="334" t="s">
        <v>1568</v>
      </c>
      <c r="B4599" s="380"/>
      <c r="C4599" s="380" t="s">
        <v>1817</v>
      </c>
      <c r="D4599" s="377"/>
      <c r="E4599" s="380"/>
      <c r="F4599" s="378"/>
      <c r="G4599" s="380"/>
      <c r="H4599" s="380"/>
      <c r="I4599" s="399"/>
      <c r="J4599" s="377"/>
      <c r="K4599" s="380"/>
      <c r="L4599" s="378"/>
      <c r="M4599" s="380"/>
      <c r="N4599" s="380"/>
      <c r="O4599" s="380"/>
      <c r="P4599" s="380"/>
      <c r="Q4599" s="380"/>
    </row>
    <row r="4600" spans="1:17" x14ac:dyDescent="0.2">
      <c r="A4600" s="334" t="s">
        <v>1569</v>
      </c>
      <c r="B4600" s="380"/>
      <c r="C4600" s="334" t="s">
        <v>1888</v>
      </c>
      <c r="D4600" s="377"/>
      <c r="E4600" s="380"/>
      <c r="F4600" s="378"/>
      <c r="G4600" s="380"/>
      <c r="H4600" s="380"/>
      <c r="I4600" s="399"/>
      <c r="J4600" s="377"/>
      <c r="K4600" s="380"/>
      <c r="L4600" s="378"/>
      <c r="M4600" s="380"/>
      <c r="N4600" s="380"/>
      <c r="O4600" s="380"/>
      <c r="P4600" s="380"/>
      <c r="Q4600" s="380"/>
    </row>
    <row r="4601" spans="1:17" x14ac:dyDescent="0.2">
      <c r="A4601" s="334" t="s">
        <v>1724</v>
      </c>
      <c r="B4601" s="380"/>
      <c r="C4601" s="334" t="s">
        <v>1881</v>
      </c>
      <c r="D4601" s="377">
        <v>2900</v>
      </c>
      <c r="E4601" s="380"/>
      <c r="F4601" s="378"/>
      <c r="G4601" s="380"/>
      <c r="H4601" s="380"/>
      <c r="I4601" s="399"/>
      <c r="J4601" s="377">
        <v>2850</v>
      </c>
      <c r="K4601" s="380"/>
      <c r="L4601" s="378"/>
      <c r="M4601" s="380"/>
      <c r="N4601" s="380"/>
      <c r="O4601" s="380"/>
      <c r="P4601" s="380"/>
      <c r="Q4601" s="380"/>
    </row>
    <row r="4602" spans="1:17" x14ac:dyDescent="0.2">
      <c r="A4602" s="334" t="s">
        <v>1582</v>
      </c>
      <c r="B4602" s="380"/>
      <c r="C4602" s="334" t="s">
        <v>3135</v>
      </c>
      <c r="D4602" s="377"/>
      <c r="E4602" s="380"/>
      <c r="F4602" s="378"/>
      <c r="G4602" s="380"/>
      <c r="H4602" s="380"/>
      <c r="I4602" s="399"/>
      <c r="J4602" s="377"/>
      <c r="K4602" s="380"/>
      <c r="L4602" s="378"/>
      <c r="M4602" s="380"/>
      <c r="N4602" s="380"/>
      <c r="O4602" s="380"/>
      <c r="P4602" s="380"/>
      <c r="Q4602" s="380"/>
    </row>
    <row r="4603" spans="1:17" x14ac:dyDescent="0.2">
      <c r="A4603" s="334" t="s">
        <v>1575</v>
      </c>
      <c r="B4603" s="380"/>
      <c r="C4603" s="334" t="s">
        <v>1889</v>
      </c>
      <c r="D4603" s="380"/>
      <c r="E4603" s="380"/>
      <c r="F4603" s="378"/>
      <c r="G4603" s="380"/>
      <c r="H4603" s="380"/>
      <c r="I4603" s="399"/>
      <c r="J4603" s="377"/>
      <c r="K4603" s="380"/>
      <c r="L4603" s="378"/>
      <c r="M4603" s="380"/>
      <c r="N4603" s="380"/>
      <c r="O4603" s="380"/>
      <c r="P4603" s="380"/>
      <c r="Q4603" s="380"/>
    </row>
    <row r="4604" spans="1:17" x14ac:dyDescent="0.2">
      <c r="A4604" s="384" t="s">
        <v>1906</v>
      </c>
      <c r="B4604" s="380"/>
      <c r="C4604" s="334" t="s">
        <v>39</v>
      </c>
      <c r="D4604" s="377">
        <v>13000</v>
      </c>
      <c r="E4604" s="380"/>
      <c r="F4604" s="378"/>
      <c r="G4604" s="380"/>
      <c r="H4604" s="380"/>
      <c r="I4604" s="399"/>
      <c r="J4604" s="377">
        <v>12825</v>
      </c>
      <c r="K4604" s="380"/>
      <c r="L4604" s="378"/>
      <c r="M4604" s="380"/>
      <c r="N4604" s="380"/>
      <c r="O4604" s="380"/>
      <c r="P4604" s="380"/>
      <c r="Q4604" s="380"/>
    </row>
    <row r="4605" spans="1:17" x14ac:dyDescent="0.2">
      <c r="A4605" s="334" t="s">
        <v>1952</v>
      </c>
      <c r="B4605" s="380"/>
      <c r="C4605" s="334" t="s">
        <v>1251</v>
      </c>
      <c r="D4605" s="377"/>
      <c r="E4605" s="380"/>
      <c r="F4605" s="378"/>
      <c r="G4605" s="380"/>
      <c r="H4605" s="380"/>
      <c r="I4605" s="399"/>
      <c r="J4605" s="377"/>
      <c r="K4605" s="380"/>
      <c r="L4605" s="378"/>
      <c r="M4605" s="380"/>
      <c r="N4605" s="380"/>
      <c r="O4605" s="380"/>
      <c r="P4605" s="380"/>
      <c r="Q4605" s="380"/>
    </row>
    <row r="4606" spans="1:17" x14ac:dyDescent="0.2">
      <c r="A4606" s="334" t="s">
        <v>1577</v>
      </c>
      <c r="B4606" s="380"/>
      <c r="C4606" s="334" t="s">
        <v>1815</v>
      </c>
      <c r="D4606" s="377">
        <v>500</v>
      </c>
      <c r="E4606" s="334"/>
      <c r="F4606" s="378"/>
      <c r="G4606" s="380"/>
      <c r="H4606" s="380"/>
      <c r="I4606" s="399"/>
      <c r="J4606" s="377">
        <v>475</v>
      </c>
      <c r="K4606" s="334"/>
      <c r="L4606" s="378"/>
      <c r="M4606" s="380"/>
      <c r="N4606" s="380"/>
      <c r="O4606" s="380"/>
      <c r="P4606" s="380"/>
      <c r="Q4606" s="380"/>
    </row>
    <row r="4607" spans="1:17" x14ac:dyDescent="0.2">
      <c r="A4607" s="334" t="s">
        <v>1578</v>
      </c>
      <c r="B4607" s="380"/>
      <c r="C4607" s="334" t="s">
        <v>22</v>
      </c>
      <c r="D4607" s="377">
        <v>25000</v>
      </c>
      <c r="E4607" s="380"/>
      <c r="F4607" s="378"/>
      <c r="G4607" s="380"/>
      <c r="H4607" s="380"/>
      <c r="I4607" s="399"/>
      <c r="J4607" s="377">
        <v>23750</v>
      </c>
      <c r="K4607" s="380"/>
      <c r="L4607" s="378"/>
      <c r="M4607" s="380"/>
      <c r="N4607" s="380"/>
      <c r="O4607" s="380"/>
      <c r="P4607" s="380"/>
      <c r="Q4607" s="380"/>
    </row>
    <row r="4608" spans="1:17" x14ac:dyDescent="0.2">
      <c r="A4608" s="334" t="s">
        <v>1729</v>
      </c>
      <c r="B4608" s="380"/>
      <c r="C4608" s="380" t="s">
        <v>1551</v>
      </c>
      <c r="D4608" s="376">
        <v>-2631</v>
      </c>
      <c r="E4608" s="380"/>
      <c r="F4608" s="378"/>
      <c r="G4608" s="380"/>
      <c r="H4608" s="380"/>
      <c r="I4608" s="399"/>
      <c r="J4608" s="377"/>
      <c r="K4608" s="380"/>
      <c r="L4608" s="378"/>
      <c r="M4608" s="380"/>
      <c r="N4608" s="380"/>
      <c r="O4608" s="380"/>
      <c r="P4608" s="380"/>
      <c r="Q4608" s="380"/>
    </row>
    <row r="4609" spans="1:17" x14ac:dyDescent="0.2">
      <c r="A4609" s="334" t="s">
        <v>1587</v>
      </c>
      <c r="B4609" s="380"/>
      <c r="C4609" s="334" t="s">
        <v>34</v>
      </c>
      <c r="D4609" s="377">
        <v>4800</v>
      </c>
      <c r="E4609" s="380"/>
      <c r="F4609" s="378"/>
      <c r="G4609" s="380"/>
      <c r="H4609" s="380"/>
      <c r="I4609" s="399"/>
      <c r="J4609" s="377">
        <v>4750</v>
      </c>
      <c r="K4609" s="380"/>
      <c r="L4609" s="378"/>
      <c r="M4609" s="380"/>
      <c r="N4609" s="380"/>
      <c r="O4609" s="380"/>
      <c r="P4609" s="380"/>
      <c r="Q4609" s="380"/>
    </row>
    <row r="4610" spans="1:17" x14ac:dyDescent="0.2">
      <c r="A4610" s="334" t="s">
        <v>1973</v>
      </c>
      <c r="B4610" s="380"/>
      <c r="C4610" s="380" t="s">
        <v>31</v>
      </c>
      <c r="D4610" s="377"/>
      <c r="E4610" s="380"/>
      <c r="F4610" s="378"/>
      <c r="G4610" s="380"/>
      <c r="H4610" s="380"/>
      <c r="I4610" s="399"/>
      <c r="J4610" s="377"/>
      <c r="K4610" s="380"/>
      <c r="L4610" s="378"/>
      <c r="M4610" s="380"/>
      <c r="N4610" s="380"/>
      <c r="O4610" s="380"/>
      <c r="P4610" s="380"/>
      <c r="Q4610" s="380"/>
    </row>
    <row r="4611" spans="1:17" x14ac:dyDescent="0.2">
      <c r="A4611" s="384" t="s">
        <v>1979</v>
      </c>
      <c r="B4611" s="380"/>
      <c r="C4611" s="380" t="s">
        <v>32</v>
      </c>
      <c r="D4611" s="377">
        <v>4900</v>
      </c>
      <c r="E4611" s="380"/>
      <c r="F4611" s="378"/>
      <c r="G4611" s="380"/>
      <c r="H4611" s="380"/>
      <c r="I4611" s="399"/>
      <c r="J4611" s="377">
        <v>4835</v>
      </c>
      <c r="K4611" s="380"/>
      <c r="L4611" s="378"/>
      <c r="M4611" s="380"/>
      <c r="N4611" s="380"/>
      <c r="O4611" s="380"/>
      <c r="P4611" s="380"/>
      <c r="Q4611" s="380"/>
    </row>
    <row r="4612" spans="1:17" x14ac:dyDescent="0.2">
      <c r="A4612" s="334" t="s">
        <v>1958</v>
      </c>
      <c r="B4612" s="380"/>
      <c r="C4612" s="380" t="s">
        <v>33</v>
      </c>
      <c r="D4612" s="377"/>
      <c r="E4612" s="380"/>
      <c r="F4612" s="378"/>
      <c r="G4612" s="380"/>
      <c r="H4612" s="380"/>
      <c r="I4612" s="399"/>
      <c r="J4612" s="377"/>
      <c r="K4612" s="380"/>
      <c r="L4612" s="378"/>
      <c r="M4612" s="380"/>
      <c r="N4612" s="380"/>
      <c r="O4612" s="380"/>
      <c r="P4612" s="380"/>
      <c r="Q4612" s="380"/>
    </row>
    <row r="4613" spans="1:17" x14ac:dyDescent="0.2">
      <c r="A4613" s="334" t="s">
        <v>1974</v>
      </c>
      <c r="B4613" s="380"/>
      <c r="C4613" s="334" t="s">
        <v>171</v>
      </c>
      <c r="D4613" s="377"/>
      <c r="E4613" s="380"/>
      <c r="F4613" s="378"/>
      <c r="G4613" s="380"/>
      <c r="H4613" s="380"/>
      <c r="I4613" s="399"/>
      <c r="J4613" s="377"/>
      <c r="K4613" s="380"/>
      <c r="L4613" s="378"/>
      <c r="M4613" s="380"/>
      <c r="N4613" s="380"/>
      <c r="O4613" s="380"/>
      <c r="P4613" s="380"/>
      <c r="Q4613" s="380"/>
    </row>
    <row r="4614" spans="1:17" x14ac:dyDescent="0.2">
      <c r="A4614" s="334" t="s">
        <v>1975</v>
      </c>
      <c r="B4614" s="380"/>
      <c r="C4614" s="334" t="s">
        <v>3140</v>
      </c>
      <c r="D4614" s="377"/>
      <c r="E4614" s="380"/>
      <c r="F4614" s="378"/>
      <c r="G4614" s="380"/>
      <c r="H4614" s="380"/>
      <c r="I4614" s="399"/>
      <c r="J4614" s="377"/>
      <c r="K4614" s="380"/>
      <c r="L4614" s="378"/>
      <c r="M4614" s="380"/>
      <c r="N4614" s="380"/>
      <c r="O4614" s="380"/>
      <c r="P4614" s="380"/>
      <c r="Q4614" s="380"/>
    </row>
    <row r="4615" spans="1:17" x14ac:dyDescent="0.2">
      <c r="A4615" s="384" t="s">
        <v>1903</v>
      </c>
      <c r="B4615" s="380"/>
      <c r="C4615" s="334" t="s">
        <v>35</v>
      </c>
      <c r="D4615" s="377">
        <v>4200</v>
      </c>
      <c r="E4615" s="380"/>
      <c r="F4615" s="378"/>
      <c r="G4615" s="380"/>
      <c r="H4615" s="380"/>
      <c r="I4615" s="399"/>
      <c r="J4615" s="377">
        <v>3990</v>
      </c>
      <c r="K4615" s="380"/>
      <c r="L4615" s="378"/>
      <c r="M4615" s="380"/>
      <c r="N4615" s="380"/>
      <c r="O4615" s="380"/>
      <c r="P4615" s="380"/>
      <c r="Q4615" s="380"/>
    </row>
    <row r="4616" spans="1:17" x14ac:dyDescent="0.2">
      <c r="A4616" s="384" t="s">
        <v>1962</v>
      </c>
      <c r="B4616" s="380"/>
      <c r="C4616" s="380" t="s">
        <v>572</v>
      </c>
      <c r="D4616" s="377">
        <v>2100</v>
      </c>
      <c r="E4616" s="380"/>
      <c r="F4616" s="378"/>
      <c r="G4616" s="380"/>
      <c r="H4616" s="380"/>
      <c r="I4616" s="399"/>
      <c r="J4616" s="377"/>
      <c r="K4616" s="380"/>
      <c r="L4616" s="378"/>
      <c r="M4616" s="380"/>
      <c r="N4616" s="380"/>
      <c r="O4616" s="380"/>
      <c r="P4616" s="380"/>
      <c r="Q4616" s="380"/>
    </row>
    <row r="4617" spans="1:17" x14ac:dyDescent="0.2">
      <c r="A4617" s="384" t="s">
        <v>1567</v>
      </c>
      <c r="B4617" s="380"/>
      <c r="C4617" s="334" t="s">
        <v>3142</v>
      </c>
      <c r="D4617" s="377"/>
      <c r="E4617" s="380"/>
      <c r="F4617" s="378"/>
      <c r="G4617" s="380"/>
      <c r="H4617" s="380"/>
      <c r="I4617" s="385"/>
      <c r="J4617" s="377"/>
      <c r="K4617" s="380"/>
      <c r="L4617" s="378"/>
      <c r="M4617" s="380"/>
      <c r="N4617" s="380"/>
      <c r="O4617" s="380"/>
      <c r="P4617" s="380"/>
      <c r="Q4617" s="380"/>
    </row>
    <row r="4618" spans="1:17" x14ac:dyDescent="0.2">
      <c r="A4618" s="380"/>
      <c r="B4618" s="380"/>
      <c r="C4618" s="380"/>
      <c r="D4618" s="410" t="s">
        <v>342</v>
      </c>
      <c r="E4618" s="380"/>
      <c r="F4618" s="378"/>
      <c r="G4618" s="380"/>
      <c r="H4618" s="380"/>
      <c r="I4618" s="385"/>
      <c r="J4618" s="410" t="s">
        <v>342</v>
      </c>
      <c r="K4618" s="380"/>
      <c r="L4618" s="378"/>
      <c r="M4618" s="380"/>
      <c r="N4618" s="380"/>
      <c r="O4618" s="380"/>
      <c r="P4618" s="380"/>
      <c r="Q4618" s="380"/>
    </row>
    <row r="4619" spans="1:17" x14ac:dyDescent="0.2">
      <c r="A4619" s="380"/>
      <c r="B4619" s="380"/>
      <c r="C4619" s="380"/>
      <c r="D4619" s="334">
        <f>SUM(D4599:D4617)</f>
        <v>54769</v>
      </c>
      <c r="E4619" s="380"/>
      <c r="F4619" s="378"/>
      <c r="G4619" s="380"/>
      <c r="H4619" s="380"/>
      <c r="I4619" s="399"/>
      <c r="J4619" s="334">
        <f>SUM(J4599:J4617)</f>
        <v>53475</v>
      </c>
      <c r="K4619" s="380"/>
      <c r="L4619" s="378"/>
      <c r="M4619" s="380"/>
      <c r="N4619" s="380"/>
      <c r="O4619" s="380"/>
      <c r="P4619" s="380"/>
      <c r="Q4619" s="380"/>
    </row>
    <row r="4620" spans="1:17" ht="15.75" thickTop="1" x14ac:dyDescent="0.2">
      <c r="A4620" s="380"/>
      <c r="B4620" s="380"/>
      <c r="C4620" s="380"/>
      <c r="D4620" s="395">
        <f>D4619-D4599</f>
        <v>54769</v>
      </c>
      <c r="E4620" s="380"/>
      <c r="F4620" s="378"/>
      <c r="G4620" s="380"/>
      <c r="H4620" s="380"/>
      <c r="I4620" s="382"/>
      <c r="J4620" s="395">
        <f>J4619-J4599</f>
        <v>53475</v>
      </c>
      <c r="K4620" s="380"/>
      <c r="L4620" s="378"/>
      <c r="M4620" s="380"/>
      <c r="N4620" s="380"/>
      <c r="O4620" s="380"/>
      <c r="P4620" s="380"/>
      <c r="Q4620" s="380"/>
    </row>
    <row r="4621" spans="1:17" x14ac:dyDescent="0.2">
      <c r="A4621" s="380"/>
      <c r="B4621" s="380"/>
      <c r="C4621" s="380"/>
      <c r="D4621" s="380"/>
      <c r="E4621" s="377"/>
      <c r="F4621" s="378"/>
      <c r="G4621" s="377"/>
      <c r="H4621" s="377"/>
      <c r="I4621" s="399"/>
      <c r="J4621" s="380"/>
      <c r="K4621" s="377"/>
      <c r="L4621" s="378"/>
      <c r="M4621" s="377"/>
      <c r="N4621" s="377"/>
      <c r="O4621" s="380"/>
      <c r="P4621" s="380"/>
      <c r="Q4621" s="380"/>
    </row>
    <row r="4622" spans="1:17" x14ac:dyDescent="0.2">
      <c r="A4622" s="377"/>
      <c r="B4622" s="377"/>
      <c r="C4622" s="377"/>
      <c r="D4622" s="377"/>
      <c r="E4622" s="380"/>
      <c r="F4622" s="378"/>
      <c r="G4622" s="380"/>
      <c r="H4622" s="380"/>
      <c r="I4622" s="382"/>
      <c r="J4622" s="377"/>
      <c r="K4622" s="380"/>
      <c r="L4622" s="378"/>
      <c r="M4622" s="380"/>
      <c r="N4622" s="380"/>
      <c r="O4622" s="380"/>
      <c r="P4622" s="380"/>
      <c r="Q4622" s="380"/>
    </row>
    <row r="4623" spans="1:17" x14ac:dyDescent="0.2">
      <c r="A4623" s="334" t="s">
        <v>1976</v>
      </c>
      <c r="B4623" s="380"/>
      <c r="C4623" s="380"/>
      <c r="D4623" s="380"/>
      <c r="E4623" s="380"/>
      <c r="F4623" s="378"/>
      <c r="G4623" s="380"/>
      <c r="H4623" s="380"/>
      <c r="I4623" s="382"/>
      <c r="J4623" s="380"/>
      <c r="K4623" s="380"/>
      <c r="L4623" s="378"/>
      <c r="M4623" s="380"/>
      <c r="N4623" s="380"/>
      <c r="O4623" s="380"/>
      <c r="P4623" s="380"/>
      <c r="Q4623" s="380"/>
    </row>
    <row r="4624" spans="1:17" x14ac:dyDescent="0.2">
      <c r="A4624" s="334" t="s">
        <v>1664</v>
      </c>
      <c r="B4624" s="380"/>
      <c r="C4624" s="384" t="s">
        <v>2075</v>
      </c>
      <c r="D4624" s="380"/>
      <c r="E4624" s="380"/>
      <c r="F4624" s="378"/>
      <c r="G4624" s="380"/>
      <c r="H4624" s="380"/>
      <c r="I4624" s="385"/>
      <c r="J4624" s="380"/>
      <c r="K4624" s="380"/>
      <c r="L4624" s="378"/>
      <c r="M4624" s="380"/>
      <c r="N4624" s="380"/>
      <c r="O4624" s="380"/>
      <c r="P4624" s="380"/>
      <c r="Q4624" s="380"/>
    </row>
    <row r="4625" spans="1:17" x14ac:dyDescent="0.2">
      <c r="A4625" s="334" t="s">
        <v>342</v>
      </c>
      <c r="B4625" s="380"/>
      <c r="C4625" s="334" t="s">
        <v>342</v>
      </c>
      <c r="D4625" s="334" t="s">
        <v>342</v>
      </c>
      <c r="E4625" s="380"/>
      <c r="F4625" s="378"/>
      <c r="G4625" s="380"/>
      <c r="H4625" s="380"/>
      <c r="I4625" s="385"/>
      <c r="J4625" s="334" t="s">
        <v>342</v>
      </c>
      <c r="K4625" s="380"/>
      <c r="L4625" s="378"/>
      <c r="M4625" s="380"/>
      <c r="N4625" s="380"/>
      <c r="O4625" s="380"/>
      <c r="P4625" s="380"/>
      <c r="Q4625" s="380"/>
    </row>
    <row r="4626" spans="1:17" x14ac:dyDescent="0.2">
      <c r="A4626" s="334" t="s">
        <v>1723</v>
      </c>
      <c r="B4626" s="380"/>
      <c r="C4626" s="334" t="s">
        <v>1880</v>
      </c>
      <c r="D4626" s="334" t="s">
        <v>181</v>
      </c>
      <c r="E4626" s="380"/>
      <c r="F4626" s="378"/>
      <c r="G4626" s="380"/>
      <c r="H4626" s="380"/>
      <c r="I4626" s="382"/>
      <c r="J4626" s="334" t="s">
        <v>181</v>
      </c>
      <c r="K4626" s="380"/>
      <c r="L4626" s="378"/>
      <c r="M4626" s="380"/>
      <c r="N4626" s="380"/>
      <c r="O4626" s="380"/>
      <c r="P4626" s="380"/>
      <c r="Q4626" s="380"/>
    </row>
    <row r="4627" spans="1:17" x14ac:dyDescent="0.2">
      <c r="A4627" s="380"/>
      <c r="B4627" s="380"/>
      <c r="C4627" s="380"/>
      <c r="D4627" s="380"/>
      <c r="E4627" s="380"/>
      <c r="F4627" s="378"/>
      <c r="G4627" s="380"/>
      <c r="H4627" s="380"/>
      <c r="I4627" s="399"/>
      <c r="J4627" s="380"/>
      <c r="K4627" s="380"/>
      <c r="L4627" s="378"/>
      <c r="M4627" s="380"/>
      <c r="N4627" s="380"/>
      <c r="O4627" s="380"/>
      <c r="P4627" s="380"/>
      <c r="Q4627" s="380"/>
    </row>
    <row r="4628" spans="1:17" x14ac:dyDescent="0.2">
      <c r="A4628" s="334" t="s">
        <v>1568</v>
      </c>
      <c r="B4628" s="380"/>
      <c r="C4628" s="380" t="s">
        <v>1817</v>
      </c>
      <c r="D4628" s="377"/>
      <c r="E4628" s="380"/>
      <c r="F4628" s="378"/>
      <c r="G4628" s="380"/>
      <c r="H4628" s="380"/>
      <c r="I4628" s="399"/>
      <c r="J4628" s="377"/>
      <c r="K4628" s="380"/>
      <c r="L4628" s="378"/>
      <c r="M4628" s="380"/>
      <c r="N4628" s="380"/>
      <c r="O4628" s="380"/>
      <c r="P4628" s="380"/>
      <c r="Q4628" s="380"/>
    </row>
    <row r="4629" spans="1:17" x14ac:dyDescent="0.2">
      <c r="A4629" s="334" t="s">
        <v>1569</v>
      </c>
      <c r="B4629" s="380"/>
      <c r="C4629" s="334" t="s">
        <v>1888</v>
      </c>
      <c r="D4629" s="377">
        <v>9000</v>
      </c>
      <c r="E4629" s="380"/>
      <c r="F4629" s="378"/>
      <c r="G4629" s="380"/>
      <c r="H4629" s="380"/>
      <c r="I4629" s="399"/>
      <c r="J4629" s="377">
        <v>9000</v>
      </c>
      <c r="K4629" s="380"/>
      <c r="L4629" s="378"/>
      <c r="M4629" s="380"/>
      <c r="N4629" s="380"/>
      <c r="O4629" s="380"/>
      <c r="P4629" s="380"/>
      <c r="Q4629" s="380"/>
    </row>
    <row r="4630" spans="1:17" x14ac:dyDescent="0.2">
      <c r="A4630" s="384" t="s">
        <v>1966</v>
      </c>
      <c r="B4630" s="380"/>
      <c r="C4630" s="334" t="s">
        <v>28</v>
      </c>
      <c r="D4630" s="377">
        <v>7100</v>
      </c>
      <c r="E4630" s="380"/>
      <c r="F4630" s="378"/>
      <c r="G4630" s="380"/>
      <c r="H4630" s="380"/>
      <c r="I4630" s="399"/>
      <c r="J4630" s="377">
        <v>7100</v>
      </c>
      <c r="K4630" s="380"/>
      <c r="L4630" s="378"/>
      <c r="M4630" s="380"/>
      <c r="N4630" s="380"/>
      <c r="O4630" s="380"/>
      <c r="P4630" s="380"/>
      <c r="Q4630" s="380"/>
    </row>
    <row r="4631" spans="1:17" x14ac:dyDescent="0.2">
      <c r="A4631" s="334" t="s">
        <v>1724</v>
      </c>
      <c r="B4631" s="380"/>
      <c r="C4631" s="334" t="s">
        <v>1881</v>
      </c>
      <c r="D4631" s="377">
        <v>10000</v>
      </c>
      <c r="E4631" s="380"/>
      <c r="F4631" s="378"/>
      <c r="G4631" s="380"/>
      <c r="H4631" s="380"/>
      <c r="I4631" s="399"/>
      <c r="J4631" s="377">
        <v>9000</v>
      </c>
      <c r="K4631" s="380"/>
      <c r="L4631" s="378"/>
      <c r="M4631" s="380"/>
      <c r="N4631" s="380"/>
      <c r="O4631" s="380"/>
      <c r="P4631" s="380"/>
      <c r="Q4631" s="380"/>
    </row>
    <row r="4632" spans="1:17" x14ac:dyDescent="0.2">
      <c r="A4632" s="334" t="s">
        <v>1744</v>
      </c>
      <c r="B4632" s="380"/>
      <c r="C4632" s="334" t="s">
        <v>1254</v>
      </c>
      <c r="D4632" s="377">
        <v>900</v>
      </c>
      <c r="E4632" s="380"/>
      <c r="F4632" s="378"/>
      <c r="G4632" s="380"/>
      <c r="H4632" s="380"/>
      <c r="I4632" s="399"/>
      <c r="J4632" s="377">
        <v>900</v>
      </c>
      <c r="K4632" s="380"/>
      <c r="L4632" s="378"/>
      <c r="M4632" s="380"/>
      <c r="N4632" s="380"/>
      <c r="O4632" s="380"/>
      <c r="P4632" s="380"/>
      <c r="Q4632" s="380"/>
    </row>
    <row r="4633" spans="1:17" x14ac:dyDescent="0.2">
      <c r="A4633" s="334" t="s">
        <v>1575</v>
      </c>
      <c r="B4633" s="380"/>
      <c r="C4633" s="334" t="s">
        <v>1889</v>
      </c>
      <c r="D4633" s="377">
        <v>600</v>
      </c>
      <c r="E4633" s="334"/>
      <c r="F4633" s="378"/>
      <c r="G4633" s="380"/>
      <c r="H4633" s="380"/>
      <c r="I4633" s="399"/>
      <c r="J4633" s="377">
        <v>450</v>
      </c>
      <c r="K4633" s="334"/>
      <c r="L4633" s="378"/>
      <c r="M4633" s="380"/>
      <c r="N4633" s="380"/>
      <c r="O4633" s="380"/>
      <c r="P4633" s="380"/>
      <c r="Q4633" s="380"/>
    </row>
    <row r="4634" spans="1:17" x14ac:dyDescent="0.2">
      <c r="A4634" s="334" t="s">
        <v>1906</v>
      </c>
      <c r="B4634" s="380"/>
      <c r="C4634" s="334" t="s">
        <v>39</v>
      </c>
      <c r="D4634" s="377">
        <v>6000</v>
      </c>
      <c r="E4634" s="380"/>
      <c r="F4634" s="378"/>
      <c r="G4634" s="380"/>
      <c r="H4634" s="380"/>
      <c r="I4634" s="399"/>
      <c r="J4634" s="377">
        <v>5000</v>
      </c>
      <c r="K4634" s="380"/>
      <c r="L4634" s="378"/>
      <c r="M4634" s="380"/>
      <c r="N4634" s="380"/>
      <c r="O4634" s="380"/>
      <c r="P4634" s="380"/>
      <c r="Q4634" s="380"/>
    </row>
    <row r="4635" spans="1:17" x14ac:dyDescent="0.2">
      <c r="A4635" s="334" t="s">
        <v>1576</v>
      </c>
      <c r="B4635" s="380"/>
      <c r="C4635" s="334" t="s">
        <v>1590</v>
      </c>
      <c r="D4635" s="377"/>
      <c r="E4635" s="380"/>
      <c r="F4635" s="378"/>
      <c r="G4635" s="380"/>
      <c r="H4635" s="380"/>
      <c r="I4635" s="399"/>
      <c r="J4635" s="377"/>
      <c r="K4635" s="380"/>
      <c r="L4635" s="378"/>
      <c r="M4635" s="380"/>
      <c r="N4635" s="380"/>
      <c r="O4635" s="380"/>
      <c r="P4635" s="380"/>
      <c r="Q4635" s="380"/>
    </row>
    <row r="4636" spans="1:17" x14ac:dyDescent="0.2">
      <c r="A4636" s="334" t="s">
        <v>1977</v>
      </c>
      <c r="B4636" s="380"/>
      <c r="C4636" s="334" t="s">
        <v>172</v>
      </c>
      <c r="D4636" s="377">
        <v>1800</v>
      </c>
      <c r="E4636" s="380"/>
      <c r="F4636" s="378"/>
      <c r="G4636" s="380"/>
      <c r="H4636" s="380"/>
      <c r="I4636" s="399"/>
      <c r="J4636" s="377">
        <v>1800</v>
      </c>
      <c r="K4636" s="380"/>
      <c r="L4636" s="378"/>
      <c r="M4636" s="380"/>
      <c r="N4636" s="380"/>
      <c r="O4636" s="380"/>
      <c r="P4636" s="380"/>
      <c r="Q4636" s="380"/>
    </row>
    <row r="4637" spans="1:17" x14ac:dyDescent="0.2">
      <c r="A4637" s="334" t="s">
        <v>1952</v>
      </c>
      <c r="B4637" s="380"/>
      <c r="C4637" s="334" t="s">
        <v>1251</v>
      </c>
      <c r="D4637" s="380"/>
      <c r="E4637" s="380"/>
      <c r="F4637" s="378"/>
      <c r="G4637" s="380"/>
      <c r="H4637" s="380"/>
      <c r="I4637" s="399"/>
      <c r="J4637" s="377"/>
      <c r="K4637" s="380"/>
      <c r="L4637" s="378"/>
      <c r="M4637" s="380"/>
      <c r="N4637" s="380"/>
      <c r="O4637" s="380"/>
      <c r="P4637" s="380"/>
      <c r="Q4637" s="380"/>
    </row>
    <row r="4638" spans="1:17" x14ac:dyDescent="0.2">
      <c r="A4638" s="334" t="s">
        <v>1577</v>
      </c>
      <c r="B4638" s="380"/>
      <c r="C4638" s="334" t="s">
        <v>1815</v>
      </c>
      <c r="D4638" s="377"/>
      <c r="E4638" s="380"/>
      <c r="F4638" s="378"/>
      <c r="G4638" s="380"/>
      <c r="H4638" s="380"/>
      <c r="I4638" s="399"/>
      <c r="J4638" s="377"/>
      <c r="K4638" s="380"/>
      <c r="L4638" s="378"/>
      <c r="M4638" s="380"/>
      <c r="N4638" s="380"/>
      <c r="O4638" s="380"/>
      <c r="P4638" s="380"/>
      <c r="Q4638" s="380"/>
    </row>
    <row r="4639" spans="1:17" x14ac:dyDescent="0.2">
      <c r="A4639" s="334" t="s">
        <v>1578</v>
      </c>
      <c r="B4639" s="380"/>
      <c r="C4639" s="334" t="s">
        <v>22</v>
      </c>
      <c r="D4639" s="377">
        <v>45000</v>
      </c>
      <c r="E4639" s="380"/>
      <c r="F4639" s="378"/>
      <c r="G4639" s="380"/>
      <c r="H4639" s="380"/>
      <c r="I4639" s="399"/>
      <c r="J4639" s="377">
        <v>30000</v>
      </c>
      <c r="K4639" s="380"/>
      <c r="L4639" s="378"/>
      <c r="M4639" s="380"/>
      <c r="N4639" s="380"/>
      <c r="O4639" s="380"/>
      <c r="P4639" s="380"/>
      <c r="Q4639" s="380"/>
    </row>
    <row r="4640" spans="1:17" x14ac:dyDescent="0.2">
      <c r="A4640" s="334" t="s">
        <v>1729</v>
      </c>
      <c r="B4640" s="380"/>
      <c r="C4640" s="380" t="s">
        <v>1551</v>
      </c>
      <c r="D4640" s="377">
        <f>-4263-38000</f>
        <v>-42263</v>
      </c>
      <c r="E4640" s="380"/>
      <c r="F4640" s="378"/>
      <c r="G4640" s="380"/>
      <c r="H4640" s="380"/>
      <c r="I4640" s="399"/>
      <c r="J4640" s="377"/>
      <c r="K4640" s="380"/>
      <c r="L4640" s="378"/>
      <c r="M4640" s="380"/>
      <c r="N4640" s="380"/>
      <c r="O4640" s="380"/>
      <c r="P4640" s="380"/>
      <c r="Q4640" s="380"/>
    </row>
    <row r="4641" spans="1:17" x14ac:dyDescent="0.2">
      <c r="A4641" s="403" t="s">
        <v>1730</v>
      </c>
      <c r="B4641" s="380"/>
      <c r="C4641" s="334" t="s">
        <v>1985</v>
      </c>
      <c r="D4641" s="377">
        <v>900</v>
      </c>
      <c r="E4641" s="380"/>
      <c r="F4641" s="378"/>
      <c r="G4641" s="380"/>
      <c r="H4641" s="380"/>
      <c r="I4641" s="399"/>
      <c r="J4641" s="377">
        <v>900</v>
      </c>
      <c r="K4641" s="380"/>
      <c r="L4641" s="378"/>
      <c r="M4641" s="380"/>
      <c r="N4641" s="380"/>
      <c r="O4641" s="380"/>
      <c r="P4641" s="380"/>
      <c r="Q4641" s="380"/>
    </row>
    <row r="4642" spans="1:17" x14ac:dyDescent="0.2">
      <c r="A4642" s="334" t="s">
        <v>1587</v>
      </c>
      <c r="B4642" s="380"/>
      <c r="C4642" s="334" t="s">
        <v>34</v>
      </c>
      <c r="D4642" s="377">
        <v>3600</v>
      </c>
      <c r="E4642" s="380"/>
      <c r="F4642" s="378"/>
      <c r="G4642" s="380"/>
      <c r="H4642" s="380"/>
      <c r="I4642" s="399"/>
      <c r="J4642" s="377">
        <v>3600</v>
      </c>
      <c r="K4642" s="380"/>
      <c r="L4642" s="378"/>
      <c r="M4642" s="380"/>
      <c r="N4642" s="380"/>
      <c r="O4642" s="380"/>
      <c r="P4642" s="380"/>
      <c r="Q4642" s="380"/>
    </row>
    <row r="4643" spans="1:17" x14ac:dyDescent="0.2">
      <c r="A4643" s="334" t="s">
        <v>1973</v>
      </c>
      <c r="B4643" s="380"/>
      <c r="C4643" s="380" t="s">
        <v>31</v>
      </c>
      <c r="D4643" s="377"/>
      <c r="E4643" s="380"/>
      <c r="F4643" s="378"/>
      <c r="G4643" s="380"/>
      <c r="H4643" s="380"/>
      <c r="I4643" s="399"/>
      <c r="J4643" s="377"/>
      <c r="K4643" s="380"/>
      <c r="L4643" s="378"/>
      <c r="M4643" s="380"/>
      <c r="N4643" s="380"/>
      <c r="O4643" s="380"/>
      <c r="P4643" s="380"/>
      <c r="Q4643" s="380"/>
    </row>
    <row r="4644" spans="1:17" x14ac:dyDescent="0.2">
      <c r="A4644" s="384" t="s">
        <v>1958</v>
      </c>
      <c r="B4644" s="380"/>
      <c r="C4644" s="380" t="s">
        <v>33</v>
      </c>
      <c r="D4644" s="377"/>
      <c r="E4644" s="380"/>
      <c r="F4644" s="378"/>
      <c r="G4644" s="380"/>
      <c r="H4644" s="380"/>
      <c r="I4644" s="399"/>
      <c r="J4644" s="377"/>
      <c r="K4644" s="380"/>
      <c r="L4644" s="378"/>
      <c r="M4644" s="380"/>
      <c r="N4644" s="380"/>
      <c r="O4644" s="380"/>
      <c r="P4644" s="380"/>
      <c r="Q4644" s="380"/>
    </row>
    <row r="4645" spans="1:17" x14ac:dyDescent="0.2">
      <c r="A4645" s="334" t="s">
        <v>1903</v>
      </c>
      <c r="B4645" s="380"/>
      <c r="C4645" s="334" t="s">
        <v>35</v>
      </c>
      <c r="D4645" s="377">
        <v>2700</v>
      </c>
      <c r="E4645" s="380"/>
      <c r="F4645" s="378"/>
      <c r="G4645" s="380"/>
      <c r="H4645" s="380"/>
      <c r="I4645" s="399"/>
      <c r="J4645" s="377">
        <v>2700</v>
      </c>
      <c r="K4645" s="380"/>
      <c r="L4645" s="378"/>
      <c r="M4645" s="380"/>
      <c r="N4645" s="380"/>
      <c r="O4645" s="380"/>
      <c r="P4645" s="380"/>
      <c r="Q4645" s="380"/>
    </row>
    <row r="4646" spans="1:17" x14ac:dyDescent="0.2">
      <c r="A4646" s="384" t="s">
        <v>1962</v>
      </c>
      <c r="B4646" s="380"/>
      <c r="C4646" s="380" t="s">
        <v>572</v>
      </c>
      <c r="D4646" s="377">
        <v>5400</v>
      </c>
      <c r="E4646" s="380"/>
      <c r="F4646" s="378"/>
      <c r="G4646" s="380"/>
      <c r="H4646" s="380"/>
      <c r="I4646" s="385"/>
      <c r="J4646" s="377">
        <v>5400</v>
      </c>
      <c r="K4646" s="380"/>
      <c r="L4646" s="378"/>
      <c r="M4646" s="380"/>
      <c r="N4646" s="380"/>
      <c r="O4646" s="380"/>
      <c r="P4646" s="380"/>
      <c r="Q4646" s="380"/>
    </row>
    <row r="4647" spans="1:17" x14ac:dyDescent="0.2">
      <c r="A4647" s="380"/>
      <c r="B4647" s="380"/>
      <c r="C4647" s="380"/>
      <c r="D4647" s="410" t="s">
        <v>342</v>
      </c>
      <c r="E4647" s="380"/>
      <c r="F4647" s="378"/>
      <c r="G4647" s="380"/>
      <c r="H4647" s="380"/>
      <c r="I4647" s="385"/>
      <c r="J4647" s="410" t="s">
        <v>342</v>
      </c>
      <c r="K4647" s="380"/>
      <c r="L4647" s="378"/>
      <c r="M4647" s="380"/>
      <c r="N4647" s="380"/>
      <c r="O4647" s="380"/>
      <c r="P4647" s="380"/>
      <c r="Q4647" s="380"/>
    </row>
    <row r="4648" spans="1:17" x14ac:dyDescent="0.2">
      <c r="A4648" s="380"/>
      <c r="B4648" s="380"/>
      <c r="C4648" s="380"/>
      <c r="D4648" s="334">
        <f>SUM(D4628:D4646)</f>
        <v>50737</v>
      </c>
      <c r="E4648" s="380"/>
      <c r="F4648" s="378"/>
      <c r="G4648" s="380"/>
      <c r="H4648" s="380"/>
      <c r="I4648" s="399"/>
      <c r="J4648" s="334">
        <f>SUM(J4628:J4646)</f>
        <v>75850</v>
      </c>
      <c r="K4648" s="380"/>
      <c r="L4648" s="378"/>
      <c r="M4648" s="380"/>
      <c r="N4648" s="380"/>
      <c r="O4648" s="380"/>
      <c r="P4648" s="380"/>
      <c r="Q4648" s="380"/>
    </row>
    <row r="4649" spans="1:17" ht="15.75" thickTop="1" x14ac:dyDescent="0.2">
      <c r="A4649" s="380"/>
      <c r="B4649" s="380"/>
      <c r="C4649" s="380"/>
      <c r="D4649" s="395">
        <f>D4648-D4628</f>
        <v>50737</v>
      </c>
      <c r="E4649" s="380"/>
      <c r="F4649" s="378"/>
      <c r="G4649" s="380"/>
      <c r="H4649" s="380"/>
      <c r="I4649" s="382"/>
      <c r="J4649" s="395">
        <f>J4648-J4628</f>
        <v>75850</v>
      </c>
      <c r="K4649" s="380"/>
      <c r="L4649" s="378"/>
      <c r="M4649" s="380"/>
      <c r="N4649" s="380"/>
      <c r="O4649" s="380"/>
      <c r="P4649" s="380"/>
      <c r="Q4649" s="380"/>
    </row>
    <row r="4650" spans="1:17" x14ac:dyDescent="0.2">
      <c r="A4650" s="380"/>
      <c r="B4650" s="380"/>
      <c r="C4650" s="380"/>
      <c r="D4650" s="380"/>
      <c r="E4650" s="377"/>
      <c r="F4650" s="378"/>
      <c r="G4650" s="377"/>
      <c r="H4650" s="377"/>
      <c r="I4650" s="399"/>
      <c r="J4650" s="380"/>
      <c r="K4650" s="377"/>
      <c r="L4650" s="378"/>
      <c r="M4650" s="377"/>
      <c r="N4650" s="377"/>
      <c r="O4650" s="380"/>
      <c r="P4650" s="380"/>
      <c r="Q4650" s="380"/>
    </row>
    <row r="4651" spans="1:17" x14ac:dyDescent="0.2">
      <c r="A4651" s="377"/>
      <c r="B4651" s="377"/>
      <c r="C4651" s="377"/>
      <c r="D4651" s="377"/>
      <c r="E4651" s="380"/>
      <c r="F4651" s="378"/>
      <c r="G4651" s="380"/>
      <c r="H4651" s="380"/>
      <c r="I4651" s="385"/>
      <c r="J4651" s="377"/>
      <c r="K4651" s="382"/>
      <c r="L4651" s="380"/>
      <c r="M4651" s="380"/>
      <c r="N4651" s="380"/>
      <c r="O4651" s="380"/>
      <c r="P4651" s="380"/>
      <c r="Q4651" s="380"/>
    </row>
    <row r="4652" spans="1:17" x14ac:dyDescent="0.2">
      <c r="A4652" s="334" t="s">
        <v>1978</v>
      </c>
      <c r="B4652" s="380"/>
      <c r="C4652" s="380"/>
      <c r="D4652" s="334" t="s">
        <v>1134</v>
      </c>
      <c r="E4652" s="334" t="s">
        <v>1135</v>
      </c>
      <c r="F4652" s="378"/>
      <c r="G4652" s="380"/>
      <c r="H4652" s="380"/>
      <c r="I4652" s="382"/>
      <c r="J4652" s="334" t="s">
        <v>1134</v>
      </c>
      <c r="K4652" s="334" t="s">
        <v>1135</v>
      </c>
      <c r="L4652" s="378"/>
      <c r="M4652" s="380"/>
      <c r="N4652" s="380"/>
      <c r="O4652" s="380"/>
      <c r="P4652" s="380"/>
      <c r="Q4652" s="380"/>
    </row>
    <row r="4653" spans="1:17" x14ac:dyDescent="0.2">
      <c r="A4653" s="334" t="s">
        <v>1799</v>
      </c>
      <c r="B4653" s="380"/>
      <c r="C4653" s="384" t="s">
        <v>2075</v>
      </c>
      <c r="D4653" s="380"/>
      <c r="E4653" s="334" t="s">
        <v>234</v>
      </c>
      <c r="F4653" s="378"/>
      <c r="G4653" s="380"/>
      <c r="H4653" s="380"/>
      <c r="I4653" s="385"/>
      <c r="J4653" s="380"/>
      <c r="K4653" s="334" t="s">
        <v>234</v>
      </c>
      <c r="L4653" s="378"/>
      <c r="M4653" s="380"/>
      <c r="N4653" s="380"/>
      <c r="O4653" s="380"/>
      <c r="P4653" s="380"/>
      <c r="Q4653" s="380"/>
    </row>
    <row r="4654" spans="1:17" x14ac:dyDescent="0.2">
      <c r="A4654" s="334" t="s">
        <v>342</v>
      </c>
      <c r="B4654" s="380"/>
      <c r="C4654" s="334" t="s">
        <v>342</v>
      </c>
      <c r="D4654" s="334" t="s">
        <v>342</v>
      </c>
      <c r="E4654" s="380"/>
      <c r="F4654" s="378"/>
      <c r="G4654" s="334"/>
      <c r="H4654" s="380"/>
      <c r="I4654" s="385"/>
      <c r="J4654" s="334" t="s">
        <v>342</v>
      </c>
      <c r="K4654" s="380"/>
      <c r="L4654" s="378"/>
      <c r="M4654" s="334"/>
      <c r="N4654" s="380"/>
      <c r="O4654" s="380"/>
      <c r="P4654" s="380"/>
      <c r="Q4654" s="380"/>
    </row>
    <row r="4655" spans="1:17" x14ac:dyDescent="0.2">
      <c r="A4655" s="334" t="s">
        <v>1723</v>
      </c>
      <c r="B4655" s="380"/>
      <c r="C4655" s="334" t="s">
        <v>1880</v>
      </c>
      <c r="D4655" s="334" t="s">
        <v>181</v>
      </c>
      <c r="E4655" s="334" t="s">
        <v>181</v>
      </c>
      <c r="F4655" s="412" t="s">
        <v>343</v>
      </c>
      <c r="G4655" s="380"/>
      <c r="H4655" s="380"/>
      <c r="I4655" s="382"/>
      <c r="J4655" s="334" t="s">
        <v>181</v>
      </c>
      <c r="K4655" s="334" t="s">
        <v>181</v>
      </c>
      <c r="L4655" s="412" t="s">
        <v>343</v>
      </c>
      <c r="M4655" s="380"/>
      <c r="N4655" s="380"/>
      <c r="O4655" s="380"/>
      <c r="P4655" s="380"/>
      <c r="Q4655" s="380"/>
    </row>
    <row r="4656" spans="1:17" x14ac:dyDescent="0.2">
      <c r="A4656" s="380"/>
      <c r="B4656" s="380"/>
      <c r="C4656" s="380"/>
      <c r="D4656" s="380"/>
      <c r="E4656" s="380"/>
      <c r="F4656" s="378"/>
      <c r="G4656" s="377"/>
      <c r="H4656" s="380"/>
      <c r="I4656" s="399"/>
      <c r="J4656" s="380"/>
      <c r="K4656" s="380"/>
      <c r="L4656" s="378"/>
      <c r="M4656" s="377"/>
      <c r="N4656" s="380"/>
      <c r="O4656" s="380"/>
      <c r="P4656" s="380"/>
      <c r="Q4656" s="380"/>
    </row>
    <row r="4657" spans="1:17" x14ac:dyDescent="0.2">
      <c r="A4657" s="334" t="s">
        <v>1569</v>
      </c>
      <c r="B4657" s="380"/>
      <c r="C4657" s="334" t="s">
        <v>1888</v>
      </c>
      <c r="D4657" s="377"/>
      <c r="E4657" s="377"/>
      <c r="F4657" s="378"/>
      <c r="G4657" s="377"/>
      <c r="H4657" s="380"/>
      <c r="I4657" s="399"/>
      <c r="J4657" s="377"/>
      <c r="K4657" s="377"/>
      <c r="L4657" s="378"/>
      <c r="M4657" s="377"/>
      <c r="N4657" s="380"/>
      <c r="O4657" s="380"/>
      <c r="P4657" s="380"/>
      <c r="Q4657" s="380"/>
    </row>
    <row r="4658" spans="1:17" x14ac:dyDescent="0.2">
      <c r="A4658" s="334" t="s">
        <v>1973</v>
      </c>
      <c r="B4658" s="380"/>
      <c r="C4658" s="380" t="s">
        <v>31</v>
      </c>
      <c r="D4658" s="377"/>
      <c r="E4658" s="377"/>
      <c r="F4658" s="378"/>
      <c r="G4658" s="377"/>
      <c r="H4658" s="380"/>
      <c r="I4658" s="399"/>
      <c r="J4658" s="377"/>
      <c r="K4658" s="377"/>
      <c r="L4658" s="378"/>
      <c r="M4658" s="377"/>
      <c r="N4658" s="380"/>
      <c r="O4658" s="380"/>
      <c r="P4658" s="380"/>
      <c r="Q4658" s="380"/>
    </row>
    <row r="4659" spans="1:17" x14ac:dyDescent="0.2">
      <c r="A4659" s="334" t="s">
        <v>1979</v>
      </c>
      <c r="B4659" s="380"/>
      <c r="C4659" s="380" t="s">
        <v>32</v>
      </c>
      <c r="D4659" s="377"/>
      <c r="E4659" s="377"/>
      <c r="F4659" s="378"/>
      <c r="G4659" s="334"/>
      <c r="H4659" s="380"/>
      <c r="I4659" s="399"/>
      <c r="J4659" s="377"/>
      <c r="K4659" s="377"/>
      <c r="L4659" s="378"/>
      <c r="M4659" s="334"/>
      <c r="N4659" s="380"/>
      <c r="O4659" s="380"/>
      <c r="P4659" s="380"/>
      <c r="Q4659" s="380"/>
    </row>
    <row r="4660" spans="1:17" x14ac:dyDescent="0.2">
      <c r="A4660" s="334" t="s">
        <v>1958</v>
      </c>
      <c r="B4660" s="380"/>
      <c r="C4660" s="380" t="s">
        <v>33</v>
      </c>
      <c r="D4660" s="377"/>
      <c r="E4660" s="377"/>
      <c r="F4660" s="412"/>
      <c r="G4660" s="385"/>
      <c r="H4660" s="380"/>
      <c r="I4660" s="385"/>
      <c r="J4660" s="377"/>
      <c r="K4660" s="377"/>
      <c r="L4660" s="412"/>
      <c r="M4660" s="385"/>
      <c r="N4660" s="380"/>
      <c r="O4660" s="380"/>
      <c r="P4660" s="380"/>
      <c r="Q4660" s="380"/>
    </row>
    <row r="4661" spans="1:17" x14ac:dyDescent="0.2">
      <c r="A4661" s="380"/>
      <c r="B4661" s="380"/>
      <c r="C4661" s="380"/>
      <c r="D4661" s="410" t="s">
        <v>342</v>
      </c>
      <c r="E4661" s="410" t="s">
        <v>342</v>
      </c>
      <c r="F4661" s="445" t="s">
        <v>342</v>
      </c>
      <c r="G4661" s="334"/>
      <c r="H4661" s="380"/>
      <c r="I4661" s="385"/>
      <c r="J4661" s="410" t="s">
        <v>342</v>
      </c>
      <c r="K4661" s="410" t="s">
        <v>342</v>
      </c>
      <c r="L4661" s="445" t="s">
        <v>342</v>
      </c>
      <c r="M4661" s="334"/>
      <c r="N4661" s="380"/>
      <c r="O4661" s="380"/>
      <c r="P4661" s="380"/>
      <c r="Q4661" s="380"/>
    </row>
    <row r="4662" spans="1:17" x14ac:dyDescent="0.2">
      <c r="A4662" s="380"/>
      <c r="B4662" s="380"/>
      <c r="C4662" s="380"/>
      <c r="D4662" s="334">
        <f>SUM(D4657:D4660)</f>
        <v>0</v>
      </c>
      <c r="E4662" s="334">
        <f>SUM(E4657:E4660)</f>
        <v>0</v>
      </c>
      <c r="F4662" s="412">
        <f>SUM(F4657:F4660)</f>
        <v>0</v>
      </c>
      <c r="G4662" s="399"/>
      <c r="H4662" s="380"/>
      <c r="I4662" s="399"/>
      <c r="J4662" s="334">
        <f>SUM(J4657:J4660)</f>
        <v>0</v>
      </c>
      <c r="K4662" s="334">
        <f>SUM(K4657:K4660)</f>
        <v>0</v>
      </c>
      <c r="L4662" s="412">
        <f>SUM(L4657:L4660)</f>
        <v>0</v>
      </c>
      <c r="M4662" s="399"/>
      <c r="N4662" s="380"/>
      <c r="O4662" s="380"/>
      <c r="P4662" s="380"/>
      <c r="Q4662" s="380"/>
    </row>
    <row r="4663" spans="1:17" ht="15.75" thickTop="1" x14ac:dyDescent="0.2">
      <c r="A4663" s="380"/>
      <c r="B4663" s="380"/>
      <c r="C4663" s="380"/>
      <c r="D4663" s="395"/>
      <c r="E4663" s="395"/>
      <c r="F4663" s="401"/>
      <c r="G4663" s="380"/>
      <c r="H4663" s="380"/>
      <c r="I4663" s="382"/>
      <c r="J4663" s="395"/>
      <c r="K4663" s="395"/>
      <c r="L4663" s="401"/>
      <c r="M4663" s="380"/>
      <c r="N4663" s="380"/>
      <c r="O4663" s="380"/>
      <c r="P4663" s="380"/>
      <c r="Q4663" s="380"/>
    </row>
    <row r="4664" spans="1:17" x14ac:dyDescent="0.2">
      <c r="A4664" s="380"/>
      <c r="B4664" s="380"/>
      <c r="C4664" s="380"/>
      <c r="D4664" s="380"/>
      <c r="E4664" s="377"/>
      <c r="F4664" s="378"/>
      <c r="G4664" s="377"/>
      <c r="H4664" s="377"/>
      <c r="I4664" s="399"/>
      <c r="J4664" s="380"/>
      <c r="K4664" s="377"/>
      <c r="L4664" s="378"/>
      <c r="M4664" s="377"/>
      <c r="N4664" s="377"/>
      <c r="O4664" s="380"/>
      <c r="P4664" s="380"/>
      <c r="Q4664" s="380"/>
    </row>
    <row r="4665" spans="1:17" x14ac:dyDescent="0.2">
      <c r="A4665" s="377"/>
      <c r="B4665" s="377"/>
      <c r="C4665" s="377"/>
      <c r="D4665" s="377"/>
      <c r="E4665" s="380"/>
      <c r="F4665" s="378"/>
      <c r="G4665" s="380"/>
      <c r="H4665" s="380"/>
      <c r="I4665" s="382"/>
      <c r="J4665" s="377"/>
      <c r="K4665" s="380"/>
      <c r="L4665" s="378"/>
      <c r="M4665" s="380"/>
      <c r="N4665" s="380"/>
      <c r="O4665" s="380"/>
      <c r="P4665" s="380"/>
      <c r="Q4665" s="380"/>
    </row>
    <row r="4666" spans="1:17" x14ac:dyDescent="0.2">
      <c r="A4666" s="334" t="s">
        <v>835</v>
      </c>
      <c r="B4666" s="380"/>
      <c r="C4666" s="380"/>
      <c r="D4666" s="380"/>
      <c r="E4666" s="380"/>
      <c r="F4666" s="378"/>
      <c r="G4666" s="380"/>
      <c r="H4666" s="380"/>
      <c r="I4666" s="382"/>
      <c r="J4666" s="380"/>
      <c r="K4666" s="380"/>
      <c r="L4666" s="378"/>
      <c r="M4666" s="380"/>
      <c r="N4666" s="380"/>
      <c r="O4666" s="380"/>
      <c r="P4666" s="380"/>
      <c r="Q4666" s="380"/>
    </row>
    <row r="4667" spans="1:17" x14ac:dyDescent="0.2">
      <c r="A4667" s="334" t="s">
        <v>342</v>
      </c>
      <c r="B4667" s="380"/>
      <c r="C4667" s="384" t="s">
        <v>2076</v>
      </c>
      <c r="D4667" s="380"/>
      <c r="E4667" s="380"/>
      <c r="F4667" s="378"/>
      <c r="G4667" s="380"/>
      <c r="H4667" s="380"/>
      <c r="I4667" s="385"/>
      <c r="J4667" s="380"/>
      <c r="K4667" s="382"/>
      <c r="L4667" s="380"/>
      <c r="M4667" s="380"/>
      <c r="N4667" s="380"/>
      <c r="O4667" s="380"/>
      <c r="P4667" s="380"/>
      <c r="Q4667" s="380"/>
    </row>
    <row r="4668" spans="1:17" x14ac:dyDescent="0.2">
      <c r="A4668" s="334" t="s">
        <v>342</v>
      </c>
      <c r="B4668" s="380"/>
      <c r="C4668" s="334" t="s">
        <v>342</v>
      </c>
      <c r="D4668" s="334" t="s">
        <v>210</v>
      </c>
      <c r="E4668" s="380" t="s">
        <v>1714</v>
      </c>
      <c r="F4668" s="378" t="s">
        <v>238</v>
      </c>
      <c r="G4668" s="334"/>
      <c r="H4668" s="380"/>
      <c r="I4668" s="385"/>
      <c r="J4668" s="334" t="s">
        <v>210</v>
      </c>
      <c r="K4668" s="380" t="s">
        <v>1714</v>
      </c>
      <c r="L4668" s="378" t="s">
        <v>238</v>
      </c>
      <c r="M4668" s="334"/>
      <c r="N4668" s="380"/>
      <c r="O4668" s="380"/>
      <c r="P4668" s="380"/>
      <c r="Q4668" s="380"/>
    </row>
    <row r="4669" spans="1:17" x14ac:dyDescent="0.2">
      <c r="A4669" s="334" t="s">
        <v>1723</v>
      </c>
      <c r="B4669" s="380"/>
      <c r="C4669" s="334" t="s">
        <v>1880</v>
      </c>
      <c r="D4669" s="334" t="s">
        <v>181</v>
      </c>
      <c r="E4669" s="334" t="s">
        <v>181</v>
      </c>
      <c r="F4669" s="412" t="s">
        <v>181</v>
      </c>
      <c r="G4669" s="380"/>
      <c r="H4669" s="380"/>
      <c r="I4669" s="382"/>
      <c r="J4669" s="334" t="s">
        <v>181</v>
      </c>
      <c r="K4669" s="334" t="s">
        <v>181</v>
      </c>
      <c r="L4669" s="412" t="s">
        <v>181</v>
      </c>
      <c r="M4669" s="380"/>
      <c r="N4669" s="380"/>
      <c r="O4669" s="380"/>
      <c r="P4669" s="380"/>
      <c r="Q4669" s="380"/>
    </row>
    <row r="4670" spans="1:17" x14ac:dyDescent="0.2">
      <c r="A4670" s="380"/>
      <c r="B4670" s="380"/>
      <c r="C4670" s="380"/>
      <c r="D4670" s="380"/>
      <c r="E4670" s="380"/>
      <c r="F4670" s="378"/>
      <c r="G4670" s="377"/>
      <c r="H4670" s="380"/>
      <c r="I4670" s="399"/>
      <c r="J4670" s="380"/>
      <c r="K4670" s="380"/>
      <c r="L4670" s="378"/>
      <c r="M4670" s="377"/>
      <c r="N4670" s="380"/>
      <c r="O4670" s="380"/>
      <c r="P4670" s="380"/>
      <c r="Q4670" s="380"/>
    </row>
    <row r="4671" spans="1:17" x14ac:dyDescent="0.2">
      <c r="A4671" s="391" t="s">
        <v>1743</v>
      </c>
      <c r="B4671" s="380"/>
      <c r="C4671" s="334" t="s">
        <v>1886</v>
      </c>
      <c r="D4671" s="377">
        <v>5000</v>
      </c>
      <c r="E4671" s="377"/>
      <c r="F4671" s="378"/>
      <c r="G4671" s="377"/>
      <c r="H4671" s="380"/>
      <c r="I4671" s="399"/>
      <c r="J4671" s="377"/>
      <c r="K4671" s="377"/>
      <c r="L4671" s="378"/>
      <c r="M4671" s="377"/>
      <c r="N4671" s="380"/>
      <c r="O4671" s="380"/>
      <c r="P4671" s="380"/>
      <c r="Q4671" s="380"/>
    </row>
    <row r="4672" spans="1:17" x14ac:dyDescent="0.2">
      <c r="A4672" s="334" t="s">
        <v>1569</v>
      </c>
      <c r="B4672" s="380"/>
      <c r="C4672" s="334" t="s">
        <v>1888</v>
      </c>
      <c r="D4672" s="377"/>
      <c r="E4672" s="377">
        <v>28500</v>
      </c>
      <c r="F4672" s="386">
        <v>28500</v>
      </c>
      <c r="G4672" s="377"/>
      <c r="H4672" s="380"/>
      <c r="I4672" s="399"/>
      <c r="J4672" s="388">
        <v>48500</v>
      </c>
      <c r="K4672" s="388">
        <v>28500</v>
      </c>
      <c r="L4672" s="388">
        <v>28500</v>
      </c>
      <c r="M4672" s="377"/>
      <c r="N4672" s="380"/>
      <c r="O4672" s="380"/>
      <c r="P4672" s="380"/>
      <c r="Q4672" s="380"/>
    </row>
    <row r="4673" spans="1:17" x14ac:dyDescent="0.2">
      <c r="A4673" s="384" t="s">
        <v>1966</v>
      </c>
      <c r="B4673" s="380"/>
      <c r="C4673" s="334" t="s">
        <v>28</v>
      </c>
      <c r="D4673" s="377"/>
      <c r="E4673" s="377">
        <v>1000</v>
      </c>
      <c r="F4673" s="378"/>
      <c r="G4673" s="377"/>
      <c r="H4673" s="380"/>
      <c r="I4673" s="399"/>
      <c r="J4673" s="388">
        <v>500</v>
      </c>
      <c r="K4673" s="388">
        <v>1000</v>
      </c>
      <c r="L4673" s="388"/>
      <c r="M4673" s="377"/>
      <c r="N4673" s="380"/>
      <c r="O4673" s="380"/>
      <c r="P4673" s="380"/>
      <c r="Q4673" s="380"/>
    </row>
    <row r="4674" spans="1:17" x14ac:dyDescent="0.2">
      <c r="A4674" s="334" t="s">
        <v>1724</v>
      </c>
      <c r="B4674" s="380"/>
      <c r="C4674" s="334" t="s">
        <v>1881</v>
      </c>
      <c r="D4674" s="377">
        <v>1000</v>
      </c>
      <c r="E4674" s="377">
        <v>1000</v>
      </c>
      <c r="F4674" s="378"/>
      <c r="G4674" s="377"/>
      <c r="H4674" s="380"/>
      <c r="I4674" s="399"/>
      <c r="J4674" s="388">
        <v>5000</v>
      </c>
      <c r="K4674" s="388">
        <v>1000</v>
      </c>
      <c r="L4674" s="388"/>
      <c r="M4674" s="377"/>
      <c r="N4674" s="380"/>
      <c r="O4674" s="380"/>
      <c r="P4674" s="380"/>
      <c r="Q4674" s="380"/>
    </row>
    <row r="4675" spans="1:17" x14ac:dyDescent="0.2">
      <c r="A4675" s="334" t="s">
        <v>1575</v>
      </c>
      <c r="B4675" s="380"/>
      <c r="C4675" s="334" t="s">
        <v>1889</v>
      </c>
      <c r="D4675" s="377">
        <v>2400</v>
      </c>
      <c r="E4675" s="377"/>
      <c r="F4675" s="378"/>
      <c r="G4675" s="377"/>
      <c r="H4675" s="380"/>
      <c r="I4675" s="399"/>
      <c r="J4675" s="382"/>
      <c r="K4675" s="382"/>
      <c r="L4675" s="380"/>
      <c r="M4675" s="377"/>
      <c r="N4675" s="380"/>
      <c r="O4675" s="380"/>
      <c r="P4675" s="380"/>
      <c r="Q4675" s="380"/>
    </row>
    <row r="4676" spans="1:17" x14ac:dyDescent="0.2">
      <c r="A4676" s="334" t="s">
        <v>1725</v>
      </c>
      <c r="B4676" s="380"/>
      <c r="C4676" s="334" t="s">
        <v>1890</v>
      </c>
      <c r="D4676" s="377"/>
      <c r="E4676" s="377"/>
      <c r="F4676" s="378"/>
      <c r="G4676" s="377"/>
      <c r="H4676" s="380"/>
      <c r="I4676" s="399"/>
      <c r="J4676" s="388">
        <v>500</v>
      </c>
      <c r="K4676" s="388"/>
      <c r="L4676" s="388"/>
      <c r="M4676" s="377"/>
      <c r="N4676" s="380"/>
      <c r="O4676" s="380"/>
      <c r="P4676" s="380"/>
      <c r="Q4676" s="380"/>
    </row>
    <row r="4677" spans="1:17" x14ac:dyDescent="0.2">
      <c r="A4677" s="384" t="s">
        <v>1906</v>
      </c>
      <c r="B4677" s="380"/>
      <c r="C4677" s="334" t="s">
        <v>39</v>
      </c>
      <c r="D4677" s="377">
        <v>2600</v>
      </c>
      <c r="E4677" s="377">
        <v>1000</v>
      </c>
      <c r="F4677" s="378"/>
      <c r="G4677" s="377"/>
      <c r="H4677" s="380"/>
      <c r="I4677" s="399"/>
      <c r="J4677" s="388">
        <v>1500</v>
      </c>
      <c r="K4677" s="388">
        <v>1000</v>
      </c>
      <c r="L4677" s="388"/>
      <c r="M4677" s="377"/>
      <c r="N4677" s="380"/>
      <c r="O4677" s="380"/>
      <c r="P4677" s="380"/>
      <c r="Q4677" s="380"/>
    </row>
    <row r="4678" spans="1:17" x14ac:dyDescent="0.2">
      <c r="A4678" s="334" t="s">
        <v>1577</v>
      </c>
      <c r="B4678" s="380"/>
      <c r="C4678" s="334" t="s">
        <v>1815</v>
      </c>
      <c r="D4678" s="377">
        <v>600</v>
      </c>
      <c r="E4678" s="377"/>
      <c r="F4678" s="378"/>
      <c r="G4678" s="377"/>
      <c r="H4678" s="380"/>
      <c r="I4678" s="399"/>
      <c r="J4678" s="388"/>
      <c r="K4678" s="388"/>
      <c r="L4678" s="388"/>
      <c r="M4678" s="377"/>
      <c r="N4678" s="380"/>
      <c r="O4678" s="380"/>
      <c r="P4678" s="380"/>
      <c r="Q4678" s="380"/>
    </row>
    <row r="4679" spans="1:17" x14ac:dyDescent="0.2">
      <c r="A4679" s="334" t="s">
        <v>1753</v>
      </c>
      <c r="B4679" s="380"/>
      <c r="C4679" s="334" t="s">
        <v>1816</v>
      </c>
      <c r="D4679" s="377"/>
      <c r="E4679" s="377"/>
      <c r="F4679" s="378"/>
      <c r="G4679" s="377"/>
      <c r="H4679" s="380"/>
      <c r="I4679" s="399"/>
      <c r="J4679" s="388">
        <v>500</v>
      </c>
      <c r="K4679" s="388"/>
      <c r="L4679" s="388"/>
      <c r="M4679" s="377"/>
      <c r="N4679" s="380"/>
      <c r="O4679" s="380"/>
      <c r="P4679" s="380"/>
      <c r="Q4679" s="380"/>
    </row>
    <row r="4680" spans="1:17" x14ac:dyDescent="0.2">
      <c r="A4680" s="334" t="s">
        <v>1734</v>
      </c>
      <c r="B4680" s="380"/>
      <c r="C4680" s="334" t="s">
        <v>1746</v>
      </c>
      <c r="D4680" s="377">
        <v>2900</v>
      </c>
      <c r="E4680" s="377"/>
      <c r="F4680" s="378"/>
      <c r="G4680" s="377"/>
      <c r="H4680" s="380"/>
      <c r="I4680" s="399"/>
      <c r="J4680" s="382"/>
      <c r="K4680" s="382"/>
      <c r="L4680" s="388"/>
      <c r="M4680" s="377"/>
      <c r="N4680" s="380"/>
      <c r="O4680" s="380"/>
      <c r="P4680" s="380"/>
      <c r="Q4680" s="380"/>
    </row>
    <row r="4681" spans="1:17" x14ac:dyDescent="0.2">
      <c r="A4681" s="384" t="s">
        <v>1945</v>
      </c>
      <c r="B4681" s="380"/>
      <c r="C4681" s="334" t="s">
        <v>2941</v>
      </c>
      <c r="D4681" s="377">
        <v>2500</v>
      </c>
      <c r="E4681" s="377"/>
      <c r="F4681" s="378"/>
      <c r="G4681" s="377"/>
      <c r="H4681" s="380"/>
      <c r="I4681" s="399"/>
      <c r="J4681" s="388"/>
      <c r="K4681" s="388"/>
      <c r="L4681" s="388"/>
      <c r="M4681" s="377"/>
      <c r="N4681" s="380"/>
      <c r="O4681" s="380"/>
      <c r="P4681" s="380"/>
      <c r="Q4681" s="380"/>
    </row>
    <row r="4682" spans="1:17" x14ac:dyDescent="0.2">
      <c r="A4682" s="391" t="s">
        <v>1727</v>
      </c>
      <c r="B4682" s="380"/>
      <c r="C4682" s="334" t="s">
        <v>307</v>
      </c>
      <c r="D4682" s="380"/>
      <c r="E4682" s="380"/>
      <c r="F4682" s="380"/>
      <c r="G4682" s="377"/>
      <c r="H4682" s="380"/>
      <c r="I4682" s="399"/>
      <c r="J4682" s="388"/>
      <c r="K4682" s="388"/>
      <c r="L4682" s="388"/>
      <c r="M4682" s="377"/>
      <c r="N4682" s="380"/>
      <c r="O4682" s="380"/>
      <c r="P4682" s="380"/>
      <c r="Q4682" s="380"/>
    </row>
    <row r="4683" spans="1:17" x14ac:dyDescent="0.2">
      <c r="A4683" s="334" t="s">
        <v>1729</v>
      </c>
      <c r="B4683" s="380"/>
      <c r="C4683" s="380" t="s">
        <v>1551</v>
      </c>
      <c r="D4683" s="377">
        <f>-10022-10000</f>
        <v>-20022</v>
      </c>
      <c r="E4683" s="377">
        <f>-5857-15000</f>
        <v>-20857</v>
      </c>
      <c r="F4683" s="377">
        <f>-4121-10000</f>
        <v>-14121</v>
      </c>
      <c r="G4683" s="377"/>
      <c r="H4683" s="380"/>
      <c r="I4683" s="399"/>
      <c r="J4683" s="388"/>
      <c r="K4683" s="388"/>
      <c r="L4683" s="388"/>
      <c r="M4683" s="377"/>
      <c r="N4683" s="380"/>
      <c r="O4683" s="380"/>
      <c r="P4683" s="380"/>
      <c r="Q4683" s="380"/>
    </row>
    <row r="4684" spans="1:17" x14ac:dyDescent="0.2">
      <c r="A4684" s="384" t="s">
        <v>1754</v>
      </c>
      <c r="B4684" s="380"/>
      <c r="C4684" s="334" t="s">
        <v>1929</v>
      </c>
      <c r="D4684" s="377"/>
      <c r="E4684" s="377"/>
      <c r="F4684" s="378"/>
      <c r="G4684" s="377"/>
      <c r="H4684" s="380"/>
      <c r="I4684" s="399"/>
      <c r="J4684" s="388">
        <v>750</v>
      </c>
      <c r="K4684" s="388"/>
      <c r="L4684" s="388"/>
      <c r="M4684" s="377"/>
      <c r="N4684" s="380"/>
      <c r="O4684" s="380"/>
      <c r="P4684" s="380"/>
      <c r="Q4684" s="380"/>
    </row>
    <row r="4685" spans="1:17" x14ac:dyDescent="0.2">
      <c r="A4685" s="384" t="s">
        <v>1730</v>
      </c>
      <c r="B4685" s="380"/>
      <c r="C4685" s="334" t="s">
        <v>1985</v>
      </c>
      <c r="D4685" s="377"/>
      <c r="E4685" s="377"/>
      <c r="F4685" s="378"/>
      <c r="G4685" s="377"/>
      <c r="H4685" s="380"/>
      <c r="I4685" s="399"/>
      <c r="J4685" s="388"/>
      <c r="K4685" s="388"/>
      <c r="L4685" s="388"/>
      <c r="M4685" s="377"/>
      <c r="N4685" s="380"/>
      <c r="O4685" s="380"/>
      <c r="P4685" s="380"/>
      <c r="Q4685" s="380"/>
    </row>
    <row r="4686" spans="1:17" x14ac:dyDescent="0.2">
      <c r="A4686" s="384" t="s">
        <v>1587</v>
      </c>
      <c r="B4686" s="380"/>
      <c r="C4686" s="334" t="s">
        <v>34</v>
      </c>
      <c r="D4686" s="377">
        <v>34000</v>
      </c>
      <c r="E4686" s="377">
        <v>3000</v>
      </c>
      <c r="F4686" s="378"/>
      <c r="G4686" s="377"/>
      <c r="H4686" s="380"/>
      <c r="I4686" s="399"/>
      <c r="J4686" s="388">
        <v>23000</v>
      </c>
      <c r="K4686" s="388">
        <v>6000</v>
      </c>
      <c r="L4686" s="388"/>
      <c r="M4686" s="377"/>
      <c r="N4686" s="380"/>
      <c r="O4686" s="380"/>
      <c r="P4686" s="380"/>
      <c r="Q4686" s="380"/>
    </row>
    <row r="4687" spans="1:17" x14ac:dyDescent="0.2">
      <c r="A4687" s="334" t="s">
        <v>1903</v>
      </c>
      <c r="B4687" s="380"/>
      <c r="C4687" s="334" t="s">
        <v>35</v>
      </c>
      <c r="D4687" s="377">
        <v>2700</v>
      </c>
      <c r="E4687" s="377">
        <v>6000</v>
      </c>
      <c r="F4687" s="378"/>
      <c r="G4687" s="377"/>
      <c r="H4687" s="380"/>
      <c r="I4687" s="399"/>
      <c r="J4687" s="388">
        <v>4500</v>
      </c>
      <c r="K4687" s="388">
        <v>3000</v>
      </c>
      <c r="L4687" s="388"/>
      <c r="M4687" s="377"/>
      <c r="N4687" s="380"/>
      <c r="O4687" s="380"/>
      <c r="P4687" s="380"/>
      <c r="Q4687" s="380"/>
    </row>
    <row r="4688" spans="1:17" x14ac:dyDescent="0.2">
      <c r="A4688" s="384" t="s">
        <v>1962</v>
      </c>
      <c r="B4688" s="380"/>
      <c r="C4688" s="380" t="s">
        <v>572</v>
      </c>
      <c r="D4688" s="377">
        <v>7600</v>
      </c>
      <c r="E4688" s="377"/>
      <c r="F4688" s="378"/>
      <c r="G4688" s="377"/>
      <c r="H4688" s="380"/>
      <c r="I4688" s="399"/>
      <c r="J4688" s="377"/>
      <c r="K4688" s="377"/>
      <c r="L4688" s="378"/>
      <c r="M4688" s="377"/>
      <c r="N4688" s="380"/>
      <c r="O4688" s="380"/>
      <c r="P4688" s="380"/>
      <c r="Q4688" s="380"/>
    </row>
    <row r="4689" spans="1:17" x14ac:dyDescent="0.2">
      <c r="A4689" s="334" t="s">
        <v>1567</v>
      </c>
      <c r="B4689" s="380"/>
      <c r="C4689" s="334" t="s">
        <v>3142</v>
      </c>
      <c r="D4689" s="377">
        <v>8000</v>
      </c>
      <c r="E4689" s="377"/>
      <c r="F4689" s="378"/>
      <c r="G4689" s="385"/>
      <c r="H4689" s="380"/>
      <c r="I4689" s="385"/>
      <c r="J4689" s="377"/>
      <c r="K4689" s="377"/>
      <c r="L4689" s="378"/>
      <c r="M4689" s="385"/>
      <c r="N4689" s="380"/>
      <c r="O4689" s="380"/>
      <c r="P4689" s="380"/>
      <c r="Q4689" s="380"/>
    </row>
    <row r="4690" spans="1:17" ht="15.75" thickBot="1" x14ac:dyDescent="0.25">
      <c r="A4690" s="380"/>
      <c r="B4690" s="380"/>
      <c r="C4690" s="380"/>
      <c r="D4690" s="410">
        <f>SUM(D4671:D4689)</f>
        <v>49278</v>
      </c>
      <c r="E4690" s="469">
        <f>SUM(E4671:E4689)</f>
        <v>19643</v>
      </c>
      <c r="F4690" s="470">
        <f>SUM(F4671:F4689)</f>
        <v>14379</v>
      </c>
      <c r="G4690" s="380"/>
      <c r="H4690" s="380"/>
      <c r="I4690" s="399"/>
      <c r="J4690" s="410">
        <f>SUM(J4671:J4689)</f>
        <v>84750</v>
      </c>
      <c r="K4690" s="469">
        <f>SUM(K4671:K4689)</f>
        <v>40500</v>
      </c>
      <c r="L4690" s="470">
        <f>SUM(L4671:L4689)</f>
        <v>28500</v>
      </c>
      <c r="M4690" s="380"/>
      <c r="N4690" s="380"/>
      <c r="O4690" s="380"/>
      <c r="P4690" s="380"/>
      <c r="Q4690" s="380"/>
    </row>
    <row r="4691" spans="1:17" ht="15.75" thickTop="1" x14ac:dyDescent="0.2">
      <c r="A4691" s="380"/>
      <c r="B4691" s="380"/>
      <c r="C4691" s="380"/>
      <c r="D4691" s="395"/>
      <c r="E4691" s="380"/>
      <c r="F4691" s="378"/>
      <c r="G4691" s="380"/>
      <c r="H4691" s="380"/>
      <c r="I4691" s="382"/>
      <c r="J4691" s="395"/>
      <c r="K4691" s="380"/>
      <c r="L4691" s="378"/>
      <c r="M4691" s="380"/>
      <c r="N4691" s="380"/>
      <c r="O4691" s="380"/>
      <c r="P4691" s="380"/>
      <c r="Q4691" s="380"/>
    </row>
    <row r="4692" spans="1:17" x14ac:dyDescent="0.2">
      <c r="A4692" s="380"/>
      <c r="B4692" s="380"/>
      <c r="C4692" s="380"/>
      <c r="D4692" s="380"/>
      <c r="E4692" s="377"/>
      <c r="F4692" s="378"/>
      <c r="G4692" s="377"/>
      <c r="H4692" s="377"/>
      <c r="I4692" s="399"/>
      <c r="J4692" s="380"/>
      <c r="K4692" s="380"/>
      <c r="L4692" s="378"/>
      <c r="M4692" s="377"/>
      <c r="N4692" s="377"/>
      <c r="O4692" s="380"/>
      <c r="P4692" s="380"/>
      <c r="Q4692" s="380"/>
    </row>
    <row r="4693" spans="1:17" x14ac:dyDescent="0.2">
      <c r="A4693" s="334" t="s">
        <v>1980</v>
      </c>
      <c r="B4693" s="377"/>
      <c r="C4693" s="377"/>
      <c r="D4693" s="377"/>
      <c r="E4693" s="380"/>
      <c r="F4693" s="378"/>
      <c r="G4693" s="380"/>
      <c r="H4693" s="380"/>
      <c r="I4693" s="382"/>
      <c r="J4693" s="377"/>
      <c r="K4693" s="380"/>
      <c r="L4693" s="378"/>
      <c r="M4693" s="380"/>
      <c r="N4693" s="380"/>
      <c r="O4693" s="380"/>
      <c r="P4693" s="380"/>
      <c r="Q4693" s="380"/>
    </row>
    <row r="4694" spans="1:17" x14ac:dyDescent="0.2">
      <c r="A4694" s="334" t="s">
        <v>342</v>
      </c>
      <c r="B4694" s="380"/>
      <c r="C4694" s="384" t="s">
        <v>2077</v>
      </c>
      <c r="D4694" s="380"/>
      <c r="E4694" s="380"/>
      <c r="F4694" s="378"/>
      <c r="G4694" s="380"/>
      <c r="H4694" s="380"/>
      <c r="I4694" s="385"/>
      <c r="J4694" s="380"/>
      <c r="K4694" s="382"/>
      <c r="L4694" s="380"/>
      <c r="M4694" s="380"/>
      <c r="N4694" s="380"/>
      <c r="O4694" s="380"/>
      <c r="P4694" s="380"/>
      <c r="Q4694" s="380"/>
    </row>
    <row r="4695" spans="1:17" x14ac:dyDescent="0.2">
      <c r="A4695" s="334" t="s">
        <v>342</v>
      </c>
      <c r="B4695" s="380"/>
      <c r="C4695" s="334" t="s">
        <v>342</v>
      </c>
      <c r="D4695" s="334" t="s">
        <v>679</v>
      </c>
      <c r="E4695" s="380" t="s">
        <v>1714</v>
      </c>
      <c r="F4695" s="378" t="s">
        <v>238</v>
      </c>
      <c r="G4695" s="334"/>
      <c r="H4695" s="380"/>
      <c r="I4695" s="385"/>
      <c r="J4695" s="334" t="s">
        <v>679</v>
      </c>
      <c r="K4695" s="380" t="s">
        <v>1714</v>
      </c>
      <c r="L4695" s="378" t="s">
        <v>238</v>
      </c>
      <c r="M4695" s="334"/>
      <c r="N4695" s="380"/>
      <c r="O4695" s="380"/>
      <c r="P4695" s="380"/>
      <c r="Q4695" s="380"/>
    </row>
    <row r="4696" spans="1:17" x14ac:dyDescent="0.2">
      <c r="A4696" s="334" t="s">
        <v>1723</v>
      </c>
      <c r="B4696" s="380"/>
      <c r="C4696" s="334" t="s">
        <v>1880</v>
      </c>
      <c r="D4696" s="334" t="s">
        <v>181</v>
      </c>
      <c r="E4696" s="334" t="s">
        <v>181</v>
      </c>
      <c r="F4696" s="412" t="s">
        <v>181</v>
      </c>
      <c r="G4696" s="380"/>
      <c r="H4696" s="380"/>
      <c r="I4696" s="382"/>
      <c r="J4696" s="334" t="s">
        <v>181</v>
      </c>
      <c r="K4696" s="334" t="s">
        <v>181</v>
      </c>
      <c r="L4696" s="412" t="s">
        <v>181</v>
      </c>
      <c r="M4696" s="380"/>
      <c r="N4696" s="380"/>
      <c r="O4696" s="380"/>
      <c r="P4696" s="380"/>
      <c r="Q4696" s="380"/>
    </row>
    <row r="4697" spans="1:17" x14ac:dyDescent="0.2">
      <c r="A4697" s="380"/>
      <c r="B4697" s="380"/>
      <c r="C4697" s="380"/>
      <c r="D4697" s="380"/>
      <c r="E4697" s="380"/>
      <c r="F4697" s="378"/>
      <c r="G4697" s="377"/>
      <c r="H4697" s="380"/>
      <c r="I4697" s="399"/>
      <c r="J4697" s="380"/>
      <c r="K4697" s="380"/>
      <c r="L4697" s="378"/>
      <c r="M4697" s="377"/>
      <c r="N4697" s="380"/>
      <c r="O4697" s="380"/>
      <c r="P4697" s="380"/>
      <c r="Q4697" s="380"/>
    </row>
    <row r="4698" spans="1:17" x14ac:dyDescent="0.2">
      <c r="A4698" s="334" t="s">
        <v>1732</v>
      </c>
      <c r="B4698" s="380"/>
      <c r="C4698" s="334" t="s">
        <v>1933</v>
      </c>
      <c r="D4698" s="377"/>
      <c r="E4698" s="377"/>
      <c r="F4698" s="378"/>
      <c r="G4698" s="377"/>
      <c r="H4698" s="380"/>
      <c r="I4698" s="399"/>
      <c r="J4698" s="377"/>
      <c r="K4698" s="377"/>
      <c r="L4698" s="378"/>
      <c r="M4698" s="377"/>
      <c r="N4698" s="380"/>
      <c r="O4698" s="380"/>
      <c r="P4698" s="380"/>
      <c r="Q4698" s="380"/>
    </row>
    <row r="4699" spans="1:17" x14ac:dyDescent="0.2">
      <c r="A4699" s="391" t="s">
        <v>1743</v>
      </c>
      <c r="B4699" s="380"/>
      <c r="C4699" s="334" t="s">
        <v>1886</v>
      </c>
      <c r="D4699" s="377">
        <v>7700</v>
      </c>
      <c r="E4699" s="377"/>
      <c r="F4699" s="378"/>
      <c r="G4699" s="377"/>
      <c r="H4699" s="380"/>
      <c r="I4699" s="399"/>
      <c r="J4699" s="377">
        <v>10000</v>
      </c>
      <c r="K4699" s="377"/>
      <c r="L4699" s="378"/>
      <c r="M4699" s="377"/>
      <c r="N4699" s="380"/>
      <c r="O4699" s="380"/>
      <c r="P4699" s="380"/>
      <c r="Q4699" s="380"/>
    </row>
    <row r="4700" spans="1:17" x14ac:dyDescent="0.2">
      <c r="A4700" s="384" t="s">
        <v>1966</v>
      </c>
      <c r="B4700" s="380"/>
      <c r="C4700" s="334" t="s">
        <v>28</v>
      </c>
      <c r="D4700" s="377"/>
      <c r="E4700" s="377">
        <v>2500</v>
      </c>
      <c r="F4700" s="471">
        <v>16000</v>
      </c>
      <c r="G4700" s="377"/>
      <c r="H4700" s="380"/>
      <c r="I4700" s="399"/>
      <c r="J4700" s="377">
        <v>12500</v>
      </c>
      <c r="K4700" s="377">
        <v>2500</v>
      </c>
      <c r="L4700" s="378">
        <v>16000</v>
      </c>
      <c r="M4700" s="377"/>
      <c r="N4700" s="380"/>
      <c r="O4700" s="380"/>
      <c r="P4700" s="380"/>
      <c r="Q4700" s="380"/>
    </row>
    <row r="4701" spans="1:17" x14ac:dyDescent="0.2">
      <c r="A4701" s="334" t="s">
        <v>1724</v>
      </c>
      <c r="B4701" s="380"/>
      <c r="C4701" s="334" t="s">
        <v>1881</v>
      </c>
      <c r="D4701" s="377">
        <v>1000</v>
      </c>
      <c r="E4701" s="377"/>
      <c r="F4701" s="378"/>
      <c r="G4701" s="377"/>
      <c r="H4701" s="380"/>
      <c r="I4701" s="399"/>
      <c r="J4701" s="377">
        <v>2000</v>
      </c>
      <c r="K4701" s="382"/>
      <c r="L4701" s="380"/>
      <c r="M4701" s="377"/>
      <c r="N4701" s="380"/>
      <c r="O4701" s="380"/>
      <c r="P4701" s="380"/>
      <c r="Q4701" s="380"/>
    </row>
    <row r="4702" spans="1:17" x14ac:dyDescent="0.2">
      <c r="A4702" s="334" t="s">
        <v>1575</v>
      </c>
      <c r="B4702" s="380"/>
      <c r="C4702" s="334" t="s">
        <v>1889</v>
      </c>
      <c r="D4702" s="377">
        <v>6100</v>
      </c>
      <c r="E4702" s="377"/>
      <c r="F4702" s="378"/>
      <c r="G4702" s="377"/>
      <c r="H4702" s="380"/>
      <c r="I4702" s="399"/>
      <c r="J4702" s="377">
        <v>600</v>
      </c>
      <c r="K4702" s="377"/>
      <c r="L4702" s="378"/>
      <c r="M4702" s="377"/>
      <c r="N4702" s="380"/>
      <c r="O4702" s="380"/>
      <c r="P4702" s="380"/>
      <c r="Q4702" s="380"/>
    </row>
    <row r="4703" spans="1:17" x14ac:dyDescent="0.2">
      <c r="A4703" s="334" t="s">
        <v>1906</v>
      </c>
      <c r="B4703" s="380"/>
      <c r="C4703" s="334" t="s">
        <v>39</v>
      </c>
      <c r="D4703" s="377">
        <v>9500</v>
      </c>
      <c r="E4703" s="377"/>
      <c r="F4703" s="378"/>
      <c r="G4703" s="377"/>
      <c r="H4703" s="380"/>
      <c r="I4703" s="399"/>
      <c r="J4703" s="377">
        <v>20000</v>
      </c>
      <c r="K4703" s="377"/>
      <c r="L4703" s="378"/>
      <c r="M4703" s="377"/>
      <c r="N4703" s="380"/>
      <c r="O4703" s="380"/>
      <c r="P4703" s="380"/>
      <c r="Q4703" s="380"/>
    </row>
    <row r="4704" spans="1:17" x14ac:dyDescent="0.2">
      <c r="A4704" s="334" t="s">
        <v>1729</v>
      </c>
      <c r="B4704" s="380"/>
      <c r="C4704" s="380" t="s">
        <v>1551</v>
      </c>
      <c r="D4704" s="377">
        <f>-13242-15000</f>
        <v>-28242</v>
      </c>
      <c r="E4704" s="377">
        <f>-3794-5000</f>
        <v>-8794</v>
      </c>
      <c r="F4704" s="377">
        <f>-2964-8000</f>
        <v>-10964</v>
      </c>
      <c r="G4704" s="377"/>
      <c r="H4704" s="380"/>
      <c r="I4704" s="399"/>
      <c r="J4704" s="377"/>
      <c r="K4704" s="377"/>
      <c r="L4704" s="378"/>
      <c r="M4704" s="377"/>
      <c r="N4704" s="380"/>
      <c r="O4704" s="380"/>
      <c r="P4704" s="380"/>
      <c r="Q4704" s="380"/>
    </row>
    <row r="4705" spans="1:17" x14ac:dyDescent="0.2">
      <c r="A4705" s="391" t="s">
        <v>1565</v>
      </c>
      <c r="B4705" s="380"/>
      <c r="C4705" s="334" t="s">
        <v>1927</v>
      </c>
      <c r="D4705" s="377"/>
      <c r="E4705" s="377"/>
      <c r="F4705" s="378"/>
      <c r="G4705" s="377"/>
      <c r="H4705" s="380"/>
      <c r="I4705" s="399"/>
      <c r="J4705" s="377"/>
      <c r="K4705" s="377"/>
      <c r="L4705" s="378"/>
      <c r="M4705" s="377"/>
      <c r="N4705" s="380"/>
      <c r="O4705" s="380"/>
      <c r="P4705" s="380"/>
      <c r="Q4705" s="380"/>
    </row>
    <row r="4706" spans="1:17" x14ac:dyDescent="0.2">
      <c r="A4706" s="334" t="s">
        <v>1577</v>
      </c>
      <c r="B4706" s="380"/>
      <c r="C4706" s="334" t="s">
        <v>1815</v>
      </c>
      <c r="D4706" s="377">
        <v>1800</v>
      </c>
      <c r="E4706" s="377">
        <v>2000</v>
      </c>
      <c r="F4706" s="378"/>
      <c r="G4706" s="377"/>
      <c r="H4706" s="380"/>
      <c r="I4706" s="399"/>
      <c r="J4706" s="377">
        <v>900</v>
      </c>
      <c r="K4706" s="377"/>
      <c r="L4706" s="378"/>
      <c r="M4706" s="377"/>
      <c r="N4706" s="380"/>
      <c r="O4706" s="380"/>
      <c r="P4706" s="380"/>
      <c r="Q4706" s="380"/>
    </row>
    <row r="4707" spans="1:17" x14ac:dyDescent="0.2">
      <c r="A4707" s="334" t="s">
        <v>1753</v>
      </c>
      <c r="B4707" s="380"/>
      <c r="C4707" s="334" t="s">
        <v>1816</v>
      </c>
      <c r="D4707" s="377"/>
      <c r="E4707" s="377"/>
      <c r="F4707" s="378"/>
      <c r="G4707" s="377"/>
      <c r="H4707" s="380"/>
      <c r="I4707" s="399"/>
      <c r="J4707" s="377"/>
      <c r="K4707" s="377"/>
      <c r="L4707" s="378"/>
      <c r="M4707" s="377"/>
      <c r="N4707" s="380"/>
      <c r="O4707" s="380"/>
      <c r="P4707" s="380"/>
      <c r="Q4707" s="380"/>
    </row>
    <row r="4708" spans="1:17" x14ac:dyDescent="0.2">
      <c r="A4708" s="334" t="s">
        <v>1734</v>
      </c>
      <c r="B4708" s="380"/>
      <c r="C4708" s="334" t="s">
        <v>1746</v>
      </c>
      <c r="D4708" s="377">
        <v>5200</v>
      </c>
      <c r="E4708" s="377"/>
      <c r="F4708" s="378"/>
      <c r="G4708" s="377"/>
      <c r="H4708" s="380"/>
      <c r="I4708" s="399"/>
      <c r="J4708" s="377">
        <v>2500</v>
      </c>
      <c r="K4708" s="377">
        <v>2000</v>
      </c>
      <c r="L4708" s="378"/>
      <c r="M4708" s="377"/>
      <c r="N4708" s="380"/>
      <c r="O4708" s="380"/>
      <c r="P4708" s="380"/>
      <c r="Q4708" s="380"/>
    </row>
    <row r="4709" spans="1:17" x14ac:dyDescent="0.2">
      <c r="A4709" s="334" t="s">
        <v>1578</v>
      </c>
      <c r="B4709" s="380"/>
      <c r="C4709" s="334" t="s">
        <v>22</v>
      </c>
      <c r="D4709" s="377"/>
      <c r="E4709" s="377"/>
      <c r="F4709" s="378"/>
      <c r="G4709" s="377"/>
      <c r="H4709" s="380"/>
      <c r="I4709" s="399"/>
      <c r="J4709" s="377">
        <v>750</v>
      </c>
      <c r="K4709" s="377"/>
      <c r="L4709" s="378"/>
      <c r="M4709" s="377"/>
      <c r="N4709" s="380"/>
      <c r="O4709" s="380"/>
      <c r="P4709" s="380"/>
      <c r="Q4709" s="380"/>
    </row>
    <row r="4710" spans="1:17" x14ac:dyDescent="0.2">
      <c r="A4710" s="384" t="s">
        <v>1945</v>
      </c>
      <c r="B4710" s="380"/>
      <c r="C4710" s="334" t="s">
        <v>2941</v>
      </c>
      <c r="D4710" s="377">
        <v>2500</v>
      </c>
      <c r="E4710" s="377"/>
      <c r="F4710" s="378"/>
      <c r="G4710" s="377"/>
      <c r="H4710" s="380"/>
      <c r="I4710" s="399"/>
      <c r="J4710" s="377"/>
      <c r="K4710" s="377"/>
      <c r="L4710" s="378"/>
      <c r="M4710" s="377"/>
      <c r="N4710" s="380"/>
      <c r="O4710" s="380"/>
      <c r="P4710" s="380"/>
      <c r="Q4710" s="380"/>
    </row>
    <row r="4711" spans="1:17" x14ac:dyDescent="0.2">
      <c r="A4711" s="384" t="s">
        <v>1730</v>
      </c>
      <c r="B4711" s="380"/>
      <c r="C4711" s="334" t="s">
        <v>1985</v>
      </c>
      <c r="D4711" s="377">
        <v>1600</v>
      </c>
      <c r="E4711" s="377"/>
      <c r="F4711" s="378"/>
      <c r="G4711" s="377"/>
      <c r="H4711" s="380"/>
      <c r="I4711" s="399"/>
      <c r="J4711" s="377"/>
      <c r="K4711" s="377"/>
      <c r="L4711" s="378"/>
      <c r="M4711" s="377"/>
      <c r="N4711" s="380"/>
      <c r="O4711" s="380"/>
      <c r="P4711" s="380"/>
      <c r="Q4711" s="380"/>
    </row>
    <row r="4712" spans="1:17" x14ac:dyDescent="0.2">
      <c r="A4712" s="384" t="s">
        <v>1587</v>
      </c>
      <c r="B4712" s="380"/>
      <c r="C4712" s="334" t="s">
        <v>34</v>
      </c>
      <c r="D4712" s="377">
        <v>1000</v>
      </c>
      <c r="E4712" s="377"/>
      <c r="F4712" s="378"/>
      <c r="G4712" s="377"/>
      <c r="H4712" s="380"/>
      <c r="I4712" s="399"/>
      <c r="J4712" s="377">
        <v>900</v>
      </c>
      <c r="K4712" s="377"/>
      <c r="L4712" s="378"/>
      <c r="M4712" s="377"/>
      <c r="N4712" s="380"/>
      <c r="O4712" s="380"/>
      <c r="P4712" s="380"/>
      <c r="Q4712" s="380"/>
    </row>
    <row r="4713" spans="1:17" x14ac:dyDescent="0.2">
      <c r="A4713" s="384" t="s">
        <v>1944</v>
      </c>
      <c r="B4713" s="380"/>
      <c r="C4713" s="334" t="s">
        <v>72</v>
      </c>
      <c r="D4713" s="377">
        <v>350</v>
      </c>
      <c r="E4713" s="377"/>
      <c r="F4713" s="378"/>
      <c r="G4713" s="377"/>
      <c r="H4713" s="380"/>
      <c r="I4713" s="399"/>
      <c r="J4713" s="377"/>
      <c r="K4713" s="377"/>
      <c r="L4713" s="378"/>
      <c r="M4713" s="377"/>
      <c r="N4713" s="380"/>
      <c r="O4713" s="380"/>
      <c r="P4713" s="380"/>
      <c r="Q4713" s="380"/>
    </row>
    <row r="4714" spans="1:17" x14ac:dyDescent="0.2">
      <c r="A4714" s="384" t="s">
        <v>1903</v>
      </c>
      <c r="B4714" s="380"/>
      <c r="C4714" s="334" t="s">
        <v>35</v>
      </c>
      <c r="D4714" s="377">
        <v>1700</v>
      </c>
      <c r="E4714" s="377">
        <v>8000</v>
      </c>
      <c r="F4714" s="378"/>
      <c r="G4714" s="377"/>
      <c r="H4714" s="380"/>
      <c r="I4714" s="399"/>
      <c r="J4714" s="377">
        <v>9500</v>
      </c>
      <c r="K4714" s="377">
        <v>8000</v>
      </c>
      <c r="L4714" s="378"/>
      <c r="M4714" s="377"/>
      <c r="N4714" s="380"/>
      <c r="O4714" s="380"/>
      <c r="P4714" s="380"/>
      <c r="Q4714" s="380"/>
    </row>
    <row r="4715" spans="1:17" x14ac:dyDescent="0.2">
      <c r="A4715" s="391" t="s">
        <v>1962</v>
      </c>
      <c r="B4715" s="380"/>
      <c r="C4715" s="380" t="s">
        <v>572</v>
      </c>
      <c r="D4715" s="377">
        <v>6500</v>
      </c>
      <c r="E4715" s="377"/>
      <c r="F4715" s="378"/>
      <c r="G4715" s="377"/>
      <c r="H4715" s="380"/>
      <c r="I4715" s="399"/>
      <c r="J4715" s="377"/>
      <c r="K4715" s="377"/>
      <c r="L4715" s="378"/>
      <c r="M4715" s="377"/>
      <c r="N4715" s="380"/>
      <c r="O4715" s="380"/>
      <c r="P4715" s="380"/>
      <c r="Q4715" s="380"/>
    </row>
    <row r="4716" spans="1:17" x14ac:dyDescent="0.2">
      <c r="A4716" s="334" t="s">
        <v>1567</v>
      </c>
      <c r="B4716" s="380"/>
      <c r="C4716" s="334" t="s">
        <v>3142</v>
      </c>
      <c r="D4716" s="377">
        <v>10900</v>
      </c>
      <c r="E4716" s="377"/>
      <c r="F4716" s="378"/>
      <c r="G4716" s="382"/>
      <c r="H4716" s="380"/>
      <c r="I4716" s="385"/>
      <c r="J4716" s="377"/>
      <c r="K4716" s="377"/>
      <c r="L4716" s="378"/>
      <c r="M4716" s="382"/>
      <c r="N4716" s="380"/>
      <c r="O4716" s="380"/>
      <c r="P4716" s="380"/>
      <c r="Q4716" s="380"/>
    </row>
    <row r="4717" spans="1:17" x14ac:dyDescent="0.2">
      <c r="A4717" s="380"/>
      <c r="B4717" s="380"/>
      <c r="C4717" s="380"/>
      <c r="D4717" s="410" t="s">
        <v>342</v>
      </c>
      <c r="E4717" s="472"/>
      <c r="F4717" s="473"/>
      <c r="G4717" s="385"/>
      <c r="H4717" s="380"/>
      <c r="I4717" s="385"/>
      <c r="J4717" s="410" t="s">
        <v>342</v>
      </c>
      <c r="K4717" s="472"/>
      <c r="L4717" s="473"/>
      <c r="M4717" s="385"/>
      <c r="N4717" s="380"/>
      <c r="O4717" s="380"/>
      <c r="P4717" s="380"/>
      <c r="Q4717" s="380"/>
    </row>
    <row r="4718" spans="1:17" ht="15.75" thickBot="1" x14ac:dyDescent="0.25">
      <c r="A4718" s="380"/>
      <c r="B4718" s="380"/>
      <c r="C4718" s="380"/>
      <c r="D4718" s="334">
        <f>SUM(D4698:D4716)</f>
        <v>27608</v>
      </c>
      <c r="E4718" s="411">
        <f>SUM(E4698:E4716)</f>
        <v>3706</v>
      </c>
      <c r="F4718" s="414">
        <f>SUM(F4698:F4716)</f>
        <v>5036</v>
      </c>
      <c r="G4718" s="380"/>
      <c r="H4718" s="380"/>
      <c r="I4718" s="399"/>
      <c r="J4718" s="334">
        <f>SUM(J4698:J4716)</f>
        <v>59650</v>
      </c>
      <c r="K4718" s="411">
        <f>SUM(K4698:K4716)</f>
        <v>12500</v>
      </c>
      <c r="L4718" s="414">
        <f>SUM(L4698:L4716)</f>
        <v>16000</v>
      </c>
      <c r="M4718" s="380"/>
      <c r="N4718" s="380"/>
      <c r="O4718" s="380"/>
      <c r="P4718" s="380"/>
      <c r="Q4718" s="380"/>
    </row>
    <row r="4719" spans="1:17" ht="15.75" thickTop="1" x14ac:dyDescent="0.2">
      <c r="A4719" s="380"/>
      <c r="B4719" s="380"/>
      <c r="C4719" s="380"/>
      <c r="D4719" s="395"/>
      <c r="E4719" s="380"/>
      <c r="F4719" s="378"/>
      <c r="G4719" s="380"/>
      <c r="H4719" s="380"/>
      <c r="I4719" s="382"/>
      <c r="J4719" s="395"/>
      <c r="K4719" s="380"/>
      <c r="L4719" s="378"/>
      <c r="M4719" s="380"/>
      <c r="N4719" s="380"/>
      <c r="O4719" s="380"/>
      <c r="P4719" s="380"/>
      <c r="Q4719" s="380"/>
    </row>
    <row r="4720" spans="1:17" x14ac:dyDescent="0.2">
      <c r="A4720" s="380"/>
      <c r="B4720" s="380"/>
      <c r="C4720" s="380"/>
      <c r="D4720" s="380"/>
      <c r="E4720" s="377"/>
      <c r="F4720" s="378"/>
      <c r="G4720" s="377"/>
      <c r="H4720" s="377"/>
      <c r="I4720" s="399"/>
      <c r="J4720" s="380"/>
      <c r="K4720" s="377"/>
      <c r="L4720" s="378"/>
      <c r="M4720" s="377"/>
      <c r="N4720" s="377"/>
      <c r="O4720" s="380"/>
      <c r="P4720" s="380"/>
      <c r="Q4720" s="380"/>
    </row>
    <row r="4721" spans="1:17" x14ac:dyDescent="0.2">
      <c r="A4721" s="377"/>
      <c r="B4721" s="377"/>
      <c r="C4721" s="377"/>
      <c r="D4721" s="377"/>
      <c r="E4721" s="380"/>
      <c r="F4721" s="378"/>
      <c r="G4721" s="380"/>
      <c r="H4721" s="380"/>
      <c r="I4721" s="382"/>
      <c r="J4721" s="377"/>
      <c r="K4721" s="380"/>
      <c r="L4721" s="378"/>
      <c r="M4721" s="380"/>
      <c r="N4721" s="380"/>
      <c r="O4721" s="380"/>
      <c r="P4721" s="380"/>
      <c r="Q4721" s="380"/>
    </row>
    <row r="4722" spans="1:17" x14ac:dyDescent="0.2">
      <c r="A4722" s="334" t="s">
        <v>1981</v>
      </c>
      <c r="B4722" s="380"/>
      <c r="C4722" s="380"/>
      <c r="D4722" s="380"/>
      <c r="E4722" s="380"/>
      <c r="F4722" s="378"/>
      <c r="G4722" s="380"/>
      <c r="H4722" s="380"/>
      <c r="I4722" s="382"/>
      <c r="J4722" s="380"/>
      <c r="K4722" s="380"/>
      <c r="L4722" s="378"/>
      <c r="M4722" s="380"/>
      <c r="N4722" s="380"/>
      <c r="O4722" s="380"/>
      <c r="P4722" s="380"/>
      <c r="Q4722" s="380"/>
    </row>
    <row r="4723" spans="1:17" x14ac:dyDescent="0.2">
      <c r="A4723" s="334" t="s">
        <v>342</v>
      </c>
      <c r="B4723" s="380"/>
      <c r="C4723" s="384" t="s">
        <v>2078</v>
      </c>
      <c r="D4723" s="380"/>
      <c r="E4723" s="380"/>
      <c r="F4723" s="378"/>
      <c r="G4723" s="334"/>
      <c r="H4723" s="385"/>
      <c r="I4723" s="385"/>
      <c r="J4723" s="380"/>
      <c r="K4723" s="382"/>
      <c r="L4723" s="380"/>
      <c r="M4723" s="334"/>
      <c r="N4723" s="385"/>
      <c r="O4723" s="380"/>
      <c r="P4723" s="380"/>
      <c r="Q4723" s="380"/>
    </row>
    <row r="4724" spans="1:17" x14ac:dyDescent="0.2">
      <c r="A4724" s="334" t="s">
        <v>342</v>
      </c>
      <c r="B4724" s="380"/>
      <c r="C4724" s="334" t="s">
        <v>342</v>
      </c>
      <c r="D4724" s="334" t="s">
        <v>210</v>
      </c>
      <c r="E4724" s="334" t="s">
        <v>1714</v>
      </c>
      <c r="F4724" s="412" t="s">
        <v>238</v>
      </c>
      <c r="G4724" s="334"/>
      <c r="H4724" s="385"/>
      <c r="I4724" s="385"/>
      <c r="J4724" s="334" t="s">
        <v>210</v>
      </c>
      <c r="K4724" s="334" t="s">
        <v>1714</v>
      </c>
      <c r="L4724" s="412" t="s">
        <v>238</v>
      </c>
      <c r="M4724" s="334"/>
      <c r="N4724" s="385"/>
      <c r="O4724" s="380"/>
      <c r="P4724" s="380"/>
      <c r="Q4724" s="380"/>
    </row>
    <row r="4725" spans="1:17" x14ac:dyDescent="0.2">
      <c r="A4725" s="334" t="s">
        <v>1723</v>
      </c>
      <c r="B4725" s="380"/>
      <c r="C4725" s="334" t="s">
        <v>1880</v>
      </c>
      <c r="D4725" s="334" t="s">
        <v>181</v>
      </c>
      <c r="E4725" s="334" t="s">
        <v>181</v>
      </c>
      <c r="F4725" s="412" t="s">
        <v>181</v>
      </c>
      <c r="G4725" s="380"/>
      <c r="H4725" s="382"/>
      <c r="I4725" s="382"/>
      <c r="J4725" s="334" t="s">
        <v>181</v>
      </c>
      <c r="K4725" s="334" t="s">
        <v>181</v>
      </c>
      <c r="L4725" s="412" t="s">
        <v>181</v>
      </c>
      <c r="M4725" s="380"/>
      <c r="N4725" s="382"/>
      <c r="O4725" s="380"/>
      <c r="P4725" s="380"/>
      <c r="Q4725" s="380"/>
    </row>
    <row r="4726" spans="1:17" x14ac:dyDescent="0.2">
      <c r="A4726" s="380"/>
      <c r="B4726" s="380"/>
      <c r="C4726" s="380"/>
      <c r="D4726" s="380"/>
      <c r="E4726" s="380"/>
      <c r="F4726" s="378"/>
      <c r="G4726" s="380"/>
      <c r="H4726" s="382"/>
      <c r="I4726" s="399"/>
      <c r="J4726" s="380"/>
      <c r="K4726" s="380"/>
      <c r="L4726" s="378"/>
      <c r="M4726" s="380"/>
      <c r="N4726" s="382"/>
      <c r="O4726" s="380"/>
      <c r="P4726" s="380"/>
      <c r="Q4726" s="380"/>
    </row>
    <row r="4727" spans="1:17" x14ac:dyDescent="0.2">
      <c r="A4727" s="391" t="s">
        <v>1973</v>
      </c>
      <c r="B4727" s="380"/>
      <c r="C4727" s="380" t="s">
        <v>31</v>
      </c>
      <c r="D4727" s="388">
        <v>47000</v>
      </c>
      <c r="E4727" s="334">
        <v>20000</v>
      </c>
      <c r="F4727" s="412">
        <v>20000</v>
      </c>
      <c r="G4727" s="380"/>
      <c r="H4727" s="382"/>
      <c r="I4727" s="382"/>
      <c r="J4727" s="377">
        <v>40000</v>
      </c>
      <c r="K4727" s="380">
        <v>25000</v>
      </c>
      <c r="L4727" s="378">
        <v>25000</v>
      </c>
      <c r="M4727" s="380"/>
      <c r="N4727" s="382"/>
      <c r="O4727" s="380"/>
      <c r="P4727" s="380"/>
      <c r="Q4727" s="380"/>
    </row>
    <row r="4728" spans="1:17" x14ac:dyDescent="0.2">
      <c r="A4728" s="334" t="s">
        <v>1729</v>
      </c>
      <c r="B4728" s="380"/>
      <c r="C4728" s="380" t="s">
        <v>1551</v>
      </c>
      <c r="D4728" s="388">
        <v>-100000</v>
      </c>
      <c r="E4728" s="334">
        <v>-60000</v>
      </c>
      <c r="F4728" s="412">
        <v>-30000</v>
      </c>
      <c r="G4728" s="380"/>
      <c r="H4728" s="382"/>
      <c r="I4728" s="382"/>
      <c r="J4728" s="377"/>
      <c r="K4728" s="380"/>
      <c r="L4728" s="378"/>
      <c r="M4728" s="380"/>
      <c r="N4728" s="382"/>
      <c r="O4728" s="380"/>
      <c r="P4728" s="380"/>
      <c r="Q4728" s="380"/>
    </row>
    <row r="4729" spans="1:17" x14ac:dyDescent="0.2">
      <c r="A4729" s="403" t="s">
        <v>1979</v>
      </c>
      <c r="B4729" s="380"/>
      <c r="C4729" s="380" t="s">
        <v>32</v>
      </c>
      <c r="D4729" s="334">
        <v>6000</v>
      </c>
      <c r="E4729" s="334">
        <v>2500</v>
      </c>
      <c r="F4729" s="463"/>
      <c r="G4729" s="377"/>
      <c r="H4729" s="382"/>
      <c r="I4729" s="399"/>
      <c r="J4729" s="380">
        <v>5000</v>
      </c>
      <c r="K4729" s="380">
        <v>2000</v>
      </c>
      <c r="L4729" s="378">
        <v>0</v>
      </c>
      <c r="M4729" s="377"/>
      <c r="N4729" s="382"/>
      <c r="O4729" s="380"/>
      <c r="P4729" s="380"/>
      <c r="Q4729" s="380"/>
    </row>
    <row r="4730" spans="1:17" x14ac:dyDescent="0.2">
      <c r="A4730" s="403" t="s">
        <v>1958</v>
      </c>
      <c r="B4730" s="380"/>
      <c r="C4730" s="380" t="s">
        <v>33</v>
      </c>
      <c r="D4730" s="388">
        <v>315000</v>
      </c>
      <c r="E4730" s="388">
        <v>140000</v>
      </c>
      <c r="F4730" s="412">
        <v>70000</v>
      </c>
      <c r="G4730" s="377"/>
      <c r="H4730" s="382"/>
      <c r="I4730" s="399"/>
      <c r="J4730" s="377">
        <f>350000-32500</f>
        <v>317500</v>
      </c>
      <c r="K4730" s="377">
        <f>140000</f>
        <v>140000</v>
      </c>
      <c r="L4730" s="378">
        <f>70000</f>
        <v>70000</v>
      </c>
      <c r="M4730" s="377"/>
      <c r="N4730" s="382"/>
      <c r="O4730" s="380"/>
      <c r="P4730" s="380"/>
      <c r="Q4730" s="380"/>
    </row>
    <row r="4731" spans="1:17" x14ac:dyDescent="0.2">
      <c r="A4731" s="403" t="s">
        <v>1974</v>
      </c>
      <c r="B4731" s="380"/>
      <c r="C4731" s="334" t="s">
        <v>171</v>
      </c>
      <c r="D4731" s="388">
        <v>80000</v>
      </c>
      <c r="E4731" s="388"/>
      <c r="F4731" s="463"/>
      <c r="G4731" s="377"/>
      <c r="H4731" s="399"/>
      <c r="I4731" s="382"/>
      <c r="J4731" s="377">
        <f>80000</f>
        <v>80000</v>
      </c>
      <c r="K4731" s="377">
        <v>0</v>
      </c>
      <c r="L4731" s="378">
        <v>0</v>
      </c>
      <c r="M4731" s="377"/>
      <c r="N4731" s="399"/>
      <c r="O4731" s="380"/>
      <c r="P4731" s="380"/>
      <c r="Q4731" s="380"/>
    </row>
    <row r="4732" spans="1:17" x14ac:dyDescent="0.2">
      <c r="A4732" s="403" t="s">
        <v>1975</v>
      </c>
      <c r="B4732" s="380"/>
      <c r="C4732" s="334" t="s">
        <v>3140</v>
      </c>
      <c r="D4732" s="334">
        <v>80000</v>
      </c>
      <c r="E4732" s="388"/>
      <c r="F4732" s="412">
        <v>60000</v>
      </c>
      <c r="G4732" s="385"/>
      <c r="H4732" s="385"/>
      <c r="I4732" s="385"/>
      <c r="J4732" s="380">
        <v>80000</v>
      </c>
      <c r="K4732" s="377">
        <v>0</v>
      </c>
      <c r="L4732" s="378">
        <v>60000</v>
      </c>
      <c r="M4732" s="385"/>
      <c r="N4732" s="385"/>
      <c r="O4732" s="380"/>
      <c r="P4732" s="380"/>
      <c r="Q4732" s="380"/>
    </row>
    <row r="4733" spans="1:17" x14ac:dyDescent="0.2">
      <c r="A4733" s="380"/>
      <c r="B4733" s="380"/>
      <c r="C4733" s="380"/>
      <c r="D4733" s="410" t="s">
        <v>342</v>
      </c>
      <c r="E4733" s="410" t="s">
        <v>342</v>
      </c>
      <c r="F4733" s="445" t="s">
        <v>342</v>
      </c>
      <c r="G4733" s="385"/>
      <c r="H4733" s="385"/>
      <c r="I4733" s="385"/>
      <c r="J4733" s="410" t="s">
        <v>342</v>
      </c>
      <c r="K4733" s="410" t="s">
        <v>342</v>
      </c>
      <c r="L4733" s="445" t="s">
        <v>342</v>
      </c>
      <c r="M4733" s="385"/>
      <c r="N4733" s="385"/>
      <c r="O4733" s="380"/>
      <c r="P4733" s="380"/>
      <c r="Q4733" s="380"/>
    </row>
    <row r="4734" spans="1:17" ht="15.75" thickBot="1" x14ac:dyDescent="0.25">
      <c r="A4734" s="380"/>
      <c r="B4734" s="380"/>
      <c r="C4734" s="380"/>
      <c r="D4734" s="411">
        <f>SUM(D4727:D4732)</f>
        <v>428000</v>
      </c>
      <c r="E4734" s="411">
        <f>SUM(E4727:E4733)</f>
        <v>102500</v>
      </c>
      <c r="F4734" s="414">
        <f>SUM(F4727:F4732)</f>
        <v>120000</v>
      </c>
      <c r="G4734" s="380"/>
      <c r="H4734" s="380"/>
      <c r="I4734" s="399"/>
      <c r="J4734" s="411">
        <f>SUM(J4727:J4732)</f>
        <v>522500</v>
      </c>
      <c r="K4734" s="411">
        <f>SUM(K4727:K4733)</f>
        <v>167000</v>
      </c>
      <c r="L4734" s="414">
        <f>SUM(L4727:L4732)</f>
        <v>155000</v>
      </c>
      <c r="M4734" s="380"/>
      <c r="N4734" s="380"/>
      <c r="O4734" s="380"/>
      <c r="P4734" s="380"/>
      <c r="Q4734" s="380"/>
    </row>
    <row r="4735" spans="1:17" ht="15.75" thickTop="1" x14ac:dyDescent="0.2">
      <c r="A4735" s="380"/>
      <c r="B4735" s="380"/>
      <c r="C4735" s="380"/>
      <c r="D4735" s="395"/>
      <c r="E4735" s="380"/>
      <c r="F4735" s="378"/>
      <c r="G4735" s="380"/>
      <c r="H4735" s="380"/>
      <c r="I4735" s="382"/>
      <c r="J4735" s="395"/>
      <c r="K4735" s="380"/>
      <c r="L4735" s="378"/>
      <c r="M4735" s="380"/>
      <c r="N4735" s="380"/>
      <c r="O4735" s="380"/>
      <c r="P4735" s="380"/>
      <c r="Q4735" s="380"/>
    </row>
    <row r="4736" spans="1:17" x14ac:dyDescent="0.2">
      <c r="A4736" s="380"/>
      <c r="B4736" s="380"/>
      <c r="C4736" s="380"/>
      <c r="D4736" s="380"/>
      <c r="E4736" s="377"/>
      <c r="F4736" s="378"/>
      <c r="G4736" s="377"/>
      <c r="H4736" s="377"/>
      <c r="I4736" s="399"/>
      <c r="J4736" s="380"/>
      <c r="K4736" s="377"/>
      <c r="L4736" s="378"/>
      <c r="M4736" s="377"/>
      <c r="N4736" s="377"/>
      <c r="O4736" s="380"/>
      <c r="P4736" s="380"/>
      <c r="Q4736" s="380"/>
    </row>
    <row r="4737" spans="1:17" x14ac:dyDescent="0.2">
      <c r="A4737" s="377"/>
      <c r="B4737" s="377"/>
      <c r="C4737" s="377"/>
      <c r="D4737" s="377"/>
      <c r="E4737" s="380"/>
      <c r="F4737" s="378"/>
      <c r="G4737" s="380"/>
      <c r="H4737" s="380"/>
      <c r="I4737" s="385"/>
      <c r="J4737" s="377"/>
      <c r="K4737" s="382"/>
      <c r="L4737" s="380"/>
      <c r="M4737" s="380"/>
      <c r="N4737" s="380"/>
      <c r="O4737" s="380"/>
      <c r="P4737" s="380"/>
      <c r="Q4737" s="380"/>
    </row>
    <row r="4738" spans="1:17" x14ac:dyDescent="0.2">
      <c r="A4738" s="334" t="s">
        <v>1982</v>
      </c>
      <c r="B4738" s="380"/>
      <c r="C4738" s="380"/>
      <c r="D4738" s="334" t="s">
        <v>137</v>
      </c>
      <c r="E4738" s="334" t="s">
        <v>138</v>
      </c>
      <c r="F4738" s="378"/>
      <c r="G4738" s="380"/>
      <c r="H4738" s="380"/>
      <c r="I4738" s="382"/>
      <c r="J4738" s="334" t="s">
        <v>137</v>
      </c>
      <c r="K4738" s="334" t="s">
        <v>138</v>
      </c>
      <c r="L4738" s="378"/>
      <c r="M4738" s="380"/>
      <c r="N4738" s="380"/>
      <c r="O4738" s="380"/>
      <c r="P4738" s="380"/>
      <c r="Q4738" s="380"/>
    </row>
    <row r="4739" spans="1:17" x14ac:dyDescent="0.2">
      <c r="A4739" s="334" t="s">
        <v>342</v>
      </c>
      <c r="B4739" s="380"/>
      <c r="C4739" s="384" t="s">
        <v>2079</v>
      </c>
      <c r="D4739" s="380"/>
      <c r="E4739" s="334" t="s">
        <v>235</v>
      </c>
      <c r="F4739" s="378"/>
      <c r="G4739" s="380"/>
      <c r="H4739" s="380"/>
      <c r="I4739" s="385"/>
      <c r="J4739" s="380"/>
      <c r="K4739" s="334" t="s">
        <v>235</v>
      </c>
      <c r="L4739" s="378"/>
      <c r="M4739" s="380"/>
      <c r="N4739" s="380"/>
      <c r="O4739" s="380"/>
      <c r="P4739" s="380"/>
      <c r="Q4739" s="380"/>
    </row>
    <row r="4740" spans="1:17" x14ac:dyDescent="0.2">
      <c r="A4740" s="334" t="s">
        <v>342</v>
      </c>
      <c r="B4740" s="380"/>
      <c r="C4740" s="334" t="s">
        <v>342</v>
      </c>
      <c r="D4740" s="334" t="s">
        <v>847</v>
      </c>
      <c r="E4740" s="334" t="s">
        <v>848</v>
      </c>
      <c r="F4740" s="378" t="s">
        <v>1714</v>
      </c>
      <c r="G4740" s="380"/>
      <c r="H4740" s="380"/>
      <c r="I4740" s="385"/>
      <c r="J4740" s="334" t="s">
        <v>847</v>
      </c>
      <c r="K4740" s="334" t="s">
        <v>848</v>
      </c>
      <c r="L4740" s="378" t="s">
        <v>1714</v>
      </c>
      <c r="M4740" s="380"/>
      <c r="N4740" s="380"/>
      <c r="O4740" s="380"/>
      <c r="P4740" s="380"/>
      <c r="Q4740" s="380"/>
    </row>
    <row r="4741" spans="1:17" x14ac:dyDescent="0.2">
      <c r="A4741" s="334" t="s">
        <v>1723</v>
      </c>
      <c r="B4741" s="380"/>
      <c r="C4741" s="334" t="s">
        <v>1880</v>
      </c>
      <c r="D4741" s="334" t="s">
        <v>181</v>
      </c>
      <c r="E4741" s="334" t="s">
        <v>181</v>
      </c>
      <c r="F4741" s="378" t="s">
        <v>181</v>
      </c>
      <c r="G4741" s="380"/>
      <c r="H4741" s="334" t="s">
        <v>343</v>
      </c>
      <c r="I4741" s="382"/>
      <c r="J4741" s="334" t="s">
        <v>181</v>
      </c>
      <c r="K4741" s="334" t="s">
        <v>181</v>
      </c>
      <c r="L4741" s="378" t="s">
        <v>181</v>
      </c>
      <c r="M4741" s="380"/>
      <c r="N4741" s="334" t="s">
        <v>343</v>
      </c>
      <c r="O4741" s="380"/>
      <c r="P4741" s="380"/>
      <c r="Q4741" s="380"/>
    </row>
    <row r="4742" spans="1:17" x14ac:dyDescent="0.2">
      <c r="A4742" s="380"/>
      <c r="B4742" s="380"/>
      <c r="C4742" s="380"/>
      <c r="D4742" s="380"/>
      <c r="E4742" s="377"/>
      <c r="F4742" s="378"/>
      <c r="G4742" s="380"/>
      <c r="H4742" s="377"/>
      <c r="I4742" s="399"/>
      <c r="J4742" s="380"/>
      <c r="K4742" s="380"/>
      <c r="L4742" s="378"/>
      <c r="M4742" s="380"/>
      <c r="N4742" s="380"/>
      <c r="O4742" s="380"/>
      <c r="P4742" s="380"/>
      <c r="Q4742" s="380"/>
    </row>
    <row r="4743" spans="1:17" x14ac:dyDescent="0.2">
      <c r="A4743" s="334" t="s">
        <v>1568</v>
      </c>
      <c r="B4743" s="380"/>
      <c r="C4743" s="380" t="s">
        <v>1817</v>
      </c>
      <c r="D4743" s="377"/>
      <c r="E4743" s="377"/>
      <c r="F4743" s="378"/>
      <c r="G4743" s="380"/>
      <c r="H4743" s="377"/>
      <c r="I4743" s="399"/>
      <c r="J4743" s="377"/>
      <c r="K4743" s="377"/>
      <c r="L4743" s="378"/>
      <c r="M4743" s="380"/>
      <c r="N4743" s="377"/>
      <c r="O4743" s="380"/>
      <c r="P4743" s="380"/>
      <c r="Q4743" s="380"/>
    </row>
    <row r="4744" spans="1:17" x14ac:dyDescent="0.2">
      <c r="A4744" s="334" t="s">
        <v>1724</v>
      </c>
      <c r="B4744" s="380"/>
      <c r="C4744" s="334" t="s">
        <v>1881</v>
      </c>
      <c r="D4744" s="379">
        <v>49500</v>
      </c>
      <c r="E4744" s="379">
        <v>22500</v>
      </c>
      <c r="F4744" s="378"/>
      <c r="G4744" s="380"/>
      <c r="H4744" s="377"/>
      <c r="I4744" s="399"/>
      <c r="J4744" s="377">
        <v>49500</v>
      </c>
      <c r="K4744" s="377">
        <v>22500</v>
      </c>
      <c r="L4744" s="378"/>
      <c r="M4744" s="380"/>
      <c r="N4744" s="377"/>
      <c r="O4744" s="380"/>
      <c r="P4744" s="380"/>
      <c r="Q4744" s="380"/>
    </row>
    <row r="4745" spans="1:17" x14ac:dyDescent="0.2">
      <c r="A4745" s="334" t="s">
        <v>1726</v>
      </c>
      <c r="B4745" s="380"/>
      <c r="C4745" s="334" t="s">
        <v>1117</v>
      </c>
      <c r="D4745" s="379"/>
      <c r="E4745" s="379"/>
      <c r="F4745" s="378"/>
      <c r="G4745" s="380"/>
      <c r="H4745" s="377"/>
      <c r="I4745" s="399"/>
      <c r="J4745" s="377"/>
      <c r="K4745" s="377"/>
      <c r="L4745" s="378"/>
      <c r="M4745" s="380"/>
      <c r="N4745" s="377"/>
      <c r="O4745" s="380"/>
      <c r="P4745" s="380"/>
      <c r="Q4745" s="380"/>
    </row>
    <row r="4746" spans="1:17" x14ac:dyDescent="0.2">
      <c r="A4746" s="334" t="s">
        <v>1734</v>
      </c>
      <c r="B4746" s="380"/>
      <c r="C4746" s="334" t="s">
        <v>1746</v>
      </c>
      <c r="D4746" s="379"/>
      <c r="E4746" s="379"/>
      <c r="F4746" s="412"/>
      <c r="G4746" s="334"/>
      <c r="H4746" s="377"/>
      <c r="I4746" s="399"/>
      <c r="J4746" s="377"/>
      <c r="K4746" s="377"/>
      <c r="L4746" s="378"/>
      <c r="M4746" s="380"/>
      <c r="N4746" s="377"/>
      <c r="O4746" s="380"/>
      <c r="P4746" s="380"/>
      <c r="Q4746" s="380"/>
    </row>
    <row r="4747" spans="1:17" x14ac:dyDescent="0.2">
      <c r="A4747" s="334" t="s">
        <v>1578</v>
      </c>
      <c r="B4747" s="380"/>
      <c r="C4747" s="334" t="s">
        <v>22</v>
      </c>
      <c r="D4747" s="379">
        <v>30000</v>
      </c>
      <c r="E4747" s="379"/>
      <c r="F4747" s="378"/>
      <c r="G4747" s="380"/>
      <c r="H4747" s="377"/>
      <c r="I4747" s="399"/>
      <c r="J4747" s="377">
        <v>30000</v>
      </c>
      <c r="K4747" s="377"/>
      <c r="L4747" s="412"/>
      <c r="M4747" s="334"/>
      <c r="N4747" s="377"/>
      <c r="O4747" s="380"/>
      <c r="P4747" s="380"/>
      <c r="Q4747" s="380"/>
    </row>
    <row r="4748" spans="1:17" x14ac:dyDescent="0.2">
      <c r="A4748" s="334" t="s">
        <v>1727</v>
      </c>
      <c r="B4748" s="380"/>
      <c r="C4748" s="334" t="s">
        <v>307</v>
      </c>
      <c r="D4748" s="379"/>
      <c r="E4748" s="379"/>
      <c r="F4748" s="378"/>
      <c r="G4748" s="380"/>
      <c r="H4748" s="377"/>
      <c r="I4748" s="399"/>
      <c r="J4748" s="377"/>
      <c r="K4748" s="377"/>
      <c r="L4748" s="378"/>
      <c r="M4748" s="380"/>
      <c r="N4748" s="377"/>
      <c r="O4748" s="380"/>
      <c r="P4748" s="380"/>
      <c r="Q4748" s="380"/>
    </row>
    <row r="4749" spans="1:17" x14ac:dyDescent="0.2">
      <c r="A4749" s="334" t="s">
        <v>1728</v>
      </c>
      <c r="B4749" s="380"/>
      <c r="C4749" s="334" t="s">
        <v>310</v>
      </c>
      <c r="D4749" s="379"/>
      <c r="E4749" s="379"/>
      <c r="F4749" s="378"/>
      <c r="G4749" s="380"/>
      <c r="H4749" s="377"/>
      <c r="I4749" s="399"/>
      <c r="J4749" s="377"/>
      <c r="K4749" s="377"/>
      <c r="L4749" s="378"/>
      <c r="M4749" s="380"/>
      <c r="N4749" s="377"/>
      <c r="O4749" s="380"/>
      <c r="P4749" s="380"/>
      <c r="Q4749" s="380"/>
    </row>
    <row r="4750" spans="1:17" x14ac:dyDescent="0.2">
      <c r="A4750" s="334" t="s">
        <v>1729</v>
      </c>
      <c r="B4750" s="380"/>
      <c r="C4750" s="380" t="s">
        <v>1551</v>
      </c>
      <c r="D4750" s="379">
        <v>-19000</v>
      </c>
      <c r="E4750" s="379">
        <v>-6000</v>
      </c>
      <c r="F4750" s="378"/>
      <c r="G4750" s="380"/>
      <c r="H4750" s="377"/>
      <c r="I4750" s="399"/>
      <c r="J4750" s="377"/>
      <c r="K4750" s="377"/>
      <c r="L4750" s="378"/>
      <c r="M4750" s="380"/>
      <c r="N4750" s="377"/>
      <c r="O4750" s="380"/>
      <c r="P4750" s="380"/>
      <c r="Q4750" s="380"/>
    </row>
    <row r="4751" spans="1:17" x14ac:dyDescent="0.2">
      <c r="A4751" s="334" t="s">
        <v>1735</v>
      </c>
      <c r="B4751" s="380"/>
      <c r="C4751" s="380" t="s">
        <v>194</v>
      </c>
      <c r="D4751" s="379"/>
      <c r="E4751" s="379"/>
      <c r="F4751" s="378"/>
      <c r="G4751" s="380"/>
      <c r="H4751" s="377"/>
      <c r="I4751" s="399"/>
      <c r="J4751" s="377"/>
      <c r="K4751" s="377"/>
      <c r="L4751" s="378"/>
      <c r="M4751" s="380"/>
      <c r="N4751" s="377"/>
      <c r="O4751" s="380"/>
      <c r="P4751" s="380"/>
      <c r="Q4751" s="380"/>
    </row>
    <row r="4752" spans="1:17" x14ac:dyDescent="0.2">
      <c r="A4752" s="334" t="s">
        <v>1572</v>
      </c>
      <c r="B4752" s="380"/>
      <c r="C4752" s="334" t="s">
        <v>3134</v>
      </c>
      <c r="D4752" s="379"/>
      <c r="E4752" s="379"/>
      <c r="F4752" s="378"/>
      <c r="G4752" s="380"/>
      <c r="H4752" s="377"/>
      <c r="I4752" s="399"/>
      <c r="J4752" s="377"/>
      <c r="K4752" s="377"/>
      <c r="L4752" s="378"/>
      <c r="M4752" s="380"/>
      <c r="N4752" s="377"/>
      <c r="O4752" s="380"/>
      <c r="P4752" s="380"/>
      <c r="Q4752" s="380"/>
    </row>
    <row r="4753" spans="1:17" x14ac:dyDescent="0.2">
      <c r="A4753" s="334" t="s">
        <v>1730</v>
      </c>
      <c r="B4753" s="380"/>
      <c r="C4753" s="334" t="s">
        <v>1985</v>
      </c>
      <c r="D4753" s="379"/>
      <c r="E4753" s="379"/>
      <c r="F4753" s="378"/>
      <c r="G4753" s="380"/>
      <c r="H4753" s="377"/>
      <c r="I4753" s="399"/>
      <c r="J4753" s="377"/>
      <c r="K4753" s="377"/>
      <c r="L4753" s="378"/>
      <c r="M4753" s="380"/>
      <c r="N4753" s="377"/>
      <c r="O4753" s="380"/>
      <c r="P4753" s="380"/>
      <c r="Q4753" s="380"/>
    </row>
    <row r="4754" spans="1:17" x14ac:dyDescent="0.2">
      <c r="A4754" s="334" t="s">
        <v>1958</v>
      </c>
      <c r="B4754" s="380"/>
      <c r="C4754" s="380" t="s">
        <v>33</v>
      </c>
      <c r="D4754" s="379">
        <v>45600</v>
      </c>
      <c r="E4754" s="379">
        <v>26400</v>
      </c>
      <c r="F4754" s="378"/>
      <c r="G4754" s="380"/>
      <c r="H4754" s="380"/>
      <c r="I4754" s="399"/>
      <c r="J4754" s="377">
        <v>45600</v>
      </c>
      <c r="K4754" s="377">
        <v>26400</v>
      </c>
      <c r="L4754" s="378"/>
      <c r="M4754" s="380"/>
      <c r="N4754" s="377"/>
      <c r="O4754" s="380"/>
      <c r="P4754" s="380"/>
      <c r="Q4754" s="380"/>
    </row>
    <row r="4755" spans="1:17" x14ac:dyDescent="0.2">
      <c r="A4755" s="334" t="s">
        <v>1567</v>
      </c>
      <c r="B4755" s="380"/>
      <c r="C4755" s="334" t="s">
        <v>3142</v>
      </c>
      <c r="D4755" s="377"/>
      <c r="E4755" s="377"/>
      <c r="F4755" s="422"/>
      <c r="G4755" s="382"/>
      <c r="H4755" s="334"/>
      <c r="I4755" s="385"/>
      <c r="J4755" s="377"/>
      <c r="K4755" s="377"/>
      <c r="L4755" s="422"/>
      <c r="M4755" s="382"/>
      <c r="N4755" s="334"/>
      <c r="O4755" s="380"/>
      <c r="P4755" s="380"/>
      <c r="Q4755" s="380"/>
    </row>
    <row r="4756" spans="1:17" x14ac:dyDescent="0.2">
      <c r="A4756" s="380"/>
      <c r="B4756" s="380"/>
      <c r="C4756" s="380"/>
      <c r="D4756" s="410" t="s">
        <v>342</v>
      </c>
      <c r="E4756" s="410" t="s">
        <v>342</v>
      </c>
      <c r="F4756" s="378"/>
      <c r="G4756" s="380"/>
      <c r="H4756" s="410" t="s">
        <v>342</v>
      </c>
      <c r="I4756" s="385"/>
      <c r="J4756" s="410" t="s">
        <v>342</v>
      </c>
      <c r="K4756" s="410" t="s">
        <v>342</v>
      </c>
      <c r="L4756" s="378"/>
      <c r="M4756" s="380"/>
      <c r="N4756" s="410" t="s">
        <v>342</v>
      </c>
      <c r="O4756" s="380"/>
      <c r="P4756" s="380"/>
      <c r="Q4756" s="380"/>
    </row>
    <row r="4757" spans="1:17" ht="15.75" thickBot="1" x14ac:dyDescent="0.25">
      <c r="A4757" s="380"/>
      <c r="B4757" s="380"/>
      <c r="C4757" s="380"/>
      <c r="D4757" s="334">
        <f>SUM(D4743:D4755)</f>
        <v>106100</v>
      </c>
      <c r="E4757" s="334">
        <f>SUM(E4742:E4755)</f>
        <v>42900</v>
      </c>
      <c r="F4757" s="461">
        <f>SUM(F4742:F4755)</f>
        <v>0</v>
      </c>
      <c r="G4757" s="382"/>
      <c r="H4757" s="334">
        <f>SUM(H4742:H4755)</f>
        <v>0</v>
      </c>
      <c r="I4757" s="399"/>
      <c r="J4757" s="334">
        <f>SUM(J4743:J4755)</f>
        <v>125100</v>
      </c>
      <c r="K4757" s="334">
        <f>SUM(K4743:K4755)</f>
        <v>48900</v>
      </c>
      <c r="L4757" s="461">
        <f>SUM(L4743:L4755)</f>
        <v>0</v>
      </c>
      <c r="M4757" s="382"/>
      <c r="N4757" s="334">
        <f>SUM(N4743:N4755)</f>
        <v>0</v>
      </c>
      <c r="O4757" s="380"/>
      <c r="P4757" s="380"/>
      <c r="Q4757" s="380"/>
    </row>
    <row r="4758" spans="1:17" ht="15.75" thickTop="1" x14ac:dyDescent="0.2">
      <c r="A4758" s="380"/>
      <c r="B4758" s="380"/>
      <c r="C4758" s="380"/>
      <c r="D4758" s="395">
        <f>D4757-D4743</f>
        <v>106100</v>
      </c>
      <c r="E4758" s="395">
        <f>E4757-E4742</f>
        <v>42900</v>
      </c>
      <c r="F4758" s="378">
        <f>F4757</f>
        <v>0</v>
      </c>
      <c r="G4758" s="380"/>
      <c r="H4758" s="395">
        <f>H4757-H4742</f>
        <v>0</v>
      </c>
      <c r="I4758" s="382"/>
      <c r="J4758" s="395">
        <f>J4757-J4743</f>
        <v>125100</v>
      </c>
      <c r="K4758" s="395">
        <f>K4757-K4743</f>
        <v>48900</v>
      </c>
      <c r="L4758" s="378">
        <f>L4757</f>
        <v>0</v>
      </c>
      <c r="M4758" s="380"/>
      <c r="N4758" s="395">
        <f>N4757-N4743</f>
        <v>0</v>
      </c>
      <c r="O4758" s="380"/>
      <c r="P4758" s="380"/>
      <c r="Q4758" s="380"/>
    </row>
    <row r="4759" spans="1:17" x14ac:dyDescent="0.2">
      <c r="A4759" s="380"/>
      <c r="B4759" s="380"/>
      <c r="C4759" s="380"/>
      <c r="D4759" s="380"/>
      <c r="E4759" s="377"/>
      <c r="F4759" s="378"/>
      <c r="G4759" s="377"/>
      <c r="H4759" s="377"/>
      <c r="I4759" s="399"/>
      <c r="J4759" s="380"/>
      <c r="K4759" s="377"/>
      <c r="L4759" s="378"/>
      <c r="M4759" s="377"/>
      <c r="N4759" s="377"/>
      <c r="O4759" s="380"/>
      <c r="P4759" s="380"/>
      <c r="Q4759" s="380"/>
    </row>
    <row r="4760" spans="1:17" x14ac:dyDescent="0.2">
      <c r="A4760" s="377"/>
      <c r="B4760" s="377"/>
      <c r="C4760" s="377"/>
      <c r="D4760" s="377"/>
      <c r="E4760" s="380"/>
      <c r="F4760" s="378"/>
      <c r="G4760" s="380"/>
      <c r="H4760" s="380"/>
      <c r="I4760" s="385"/>
      <c r="J4760" s="377"/>
      <c r="K4760" s="380"/>
      <c r="L4760" s="378"/>
      <c r="M4760" s="380"/>
      <c r="N4760" s="380"/>
      <c r="O4760" s="380"/>
      <c r="P4760" s="380"/>
      <c r="Q4760" s="380"/>
    </row>
    <row r="4761" spans="1:17" x14ac:dyDescent="0.2">
      <c r="A4761" s="334" t="s">
        <v>1983</v>
      </c>
      <c r="B4761" s="380"/>
      <c r="C4761" s="380"/>
      <c r="D4761" s="334" t="s">
        <v>342</v>
      </c>
      <c r="E4761" s="380"/>
      <c r="F4761" s="378"/>
      <c r="G4761" s="380"/>
      <c r="H4761" s="380"/>
      <c r="I4761" s="382"/>
      <c r="J4761" s="334" t="s">
        <v>342</v>
      </c>
      <c r="K4761" s="380"/>
      <c r="L4761" s="378"/>
      <c r="M4761" s="380"/>
      <c r="N4761" s="380"/>
      <c r="O4761" s="380"/>
      <c r="P4761" s="380"/>
      <c r="Q4761" s="380"/>
    </row>
    <row r="4762" spans="1:17" x14ac:dyDescent="0.2">
      <c r="A4762" s="334" t="s">
        <v>342</v>
      </c>
      <c r="B4762" s="380"/>
      <c r="C4762" s="384" t="s">
        <v>2080</v>
      </c>
      <c r="D4762" s="380"/>
      <c r="E4762" s="380"/>
      <c r="F4762" s="378"/>
      <c r="G4762" s="380"/>
      <c r="H4762" s="380"/>
      <c r="I4762" s="385"/>
      <c r="J4762" s="380"/>
      <c r="K4762" s="380"/>
      <c r="L4762" s="378"/>
      <c r="M4762" s="380"/>
      <c r="N4762" s="380"/>
      <c r="O4762" s="380"/>
      <c r="P4762" s="380"/>
      <c r="Q4762" s="380"/>
    </row>
    <row r="4763" spans="1:17" x14ac:dyDescent="0.2">
      <c r="A4763" s="334" t="s">
        <v>342</v>
      </c>
      <c r="B4763" s="380"/>
      <c r="C4763" s="334" t="s">
        <v>342</v>
      </c>
      <c r="D4763" s="334" t="s">
        <v>342</v>
      </c>
      <c r="E4763" s="380"/>
      <c r="F4763" s="378"/>
      <c r="G4763" s="380"/>
      <c r="H4763" s="380"/>
      <c r="I4763" s="385"/>
      <c r="J4763" s="334" t="s">
        <v>342</v>
      </c>
      <c r="K4763" s="380"/>
      <c r="L4763" s="378"/>
      <c r="M4763" s="380"/>
      <c r="N4763" s="380"/>
      <c r="O4763" s="380"/>
      <c r="P4763" s="380"/>
      <c r="Q4763" s="380"/>
    </row>
    <row r="4764" spans="1:17" x14ac:dyDescent="0.2">
      <c r="A4764" s="334" t="s">
        <v>1723</v>
      </c>
      <c r="B4764" s="380"/>
      <c r="C4764" s="334" t="s">
        <v>1880</v>
      </c>
      <c r="D4764" s="334" t="s">
        <v>181</v>
      </c>
      <c r="E4764" s="380"/>
      <c r="F4764" s="378"/>
      <c r="G4764" s="380"/>
      <c r="H4764" s="380"/>
      <c r="I4764" s="382"/>
      <c r="J4764" s="334" t="s">
        <v>181</v>
      </c>
      <c r="K4764" s="380"/>
      <c r="L4764" s="378"/>
      <c r="M4764" s="380"/>
      <c r="N4764" s="380"/>
      <c r="O4764" s="380"/>
      <c r="P4764" s="380"/>
      <c r="Q4764" s="380"/>
    </row>
    <row r="4765" spans="1:17" x14ac:dyDescent="0.2">
      <c r="A4765" s="380"/>
      <c r="B4765" s="380"/>
      <c r="C4765" s="380"/>
      <c r="D4765" s="380"/>
      <c r="E4765" s="380"/>
      <c r="F4765" s="378"/>
      <c r="G4765" s="380"/>
      <c r="H4765" s="380"/>
      <c r="I4765" s="399"/>
      <c r="J4765" s="380"/>
      <c r="K4765" s="380"/>
      <c r="L4765" s="378"/>
      <c r="M4765" s="380"/>
      <c r="N4765" s="380"/>
      <c r="O4765" s="380"/>
      <c r="P4765" s="380"/>
      <c r="Q4765" s="380"/>
    </row>
    <row r="4766" spans="1:17" x14ac:dyDescent="0.2">
      <c r="A4766" s="334" t="s">
        <v>1737</v>
      </c>
      <c r="B4766" s="380"/>
      <c r="C4766" s="334" t="s">
        <v>1984</v>
      </c>
      <c r="D4766" s="377"/>
      <c r="E4766" s="380"/>
      <c r="F4766" s="378"/>
      <c r="G4766" s="380"/>
      <c r="H4766" s="380"/>
      <c r="I4766" s="399"/>
      <c r="J4766" s="377"/>
      <c r="K4766" s="380"/>
      <c r="L4766" s="378"/>
      <c r="M4766" s="380"/>
      <c r="N4766" s="380"/>
      <c r="O4766" s="380"/>
      <c r="P4766" s="380"/>
      <c r="Q4766" s="380"/>
    </row>
    <row r="4767" spans="1:17" x14ac:dyDescent="0.2">
      <c r="A4767" s="334" t="s">
        <v>1726</v>
      </c>
      <c r="B4767" s="380"/>
      <c r="C4767" s="334" t="s">
        <v>1117</v>
      </c>
      <c r="D4767" s="377"/>
      <c r="E4767" s="380"/>
      <c r="F4767" s="378"/>
      <c r="G4767" s="380"/>
      <c r="H4767" s="380"/>
      <c r="I4767" s="399"/>
      <c r="J4767" s="377"/>
      <c r="K4767" s="380"/>
      <c r="L4767" s="378"/>
      <c r="M4767" s="380"/>
      <c r="N4767" s="380"/>
      <c r="O4767" s="380"/>
      <c r="P4767" s="380"/>
      <c r="Q4767" s="380"/>
    </row>
    <row r="4768" spans="1:17" x14ac:dyDescent="0.2">
      <c r="A4768" s="334" t="s">
        <v>1728</v>
      </c>
      <c r="B4768" s="380"/>
      <c r="C4768" s="334" t="s">
        <v>310</v>
      </c>
      <c r="D4768" s="377"/>
      <c r="E4768" s="380"/>
      <c r="F4768" s="378"/>
      <c r="G4768" s="380"/>
      <c r="H4768" s="380"/>
      <c r="I4768" s="399"/>
      <c r="J4768" s="377"/>
      <c r="K4768" s="380"/>
      <c r="L4768" s="378"/>
      <c r="M4768" s="380"/>
      <c r="N4768" s="380"/>
      <c r="O4768" s="380"/>
      <c r="P4768" s="380"/>
      <c r="Q4768" s="380"/>
    </row>
    <row r="4769" spans="1:17" x14ac:dyDescent="0.2">
      <c r="A4769" s="334" t="s">
        <v>1729</v>
      </c>
      <c r="B4769" s="380"/>
      <c r="C4769" s="380" t="s">
        <v>1551</v>
      </c>
      <c r="D4769" s="377"/>
      <c r="E4769" s="380"/>
      <c r="F4769" s="378"/>
      <c r="G4769" s="380"/>
      <c r="H4769" s="380"/>
      <c r="I4769" s="399"/>
      <c r="J4769" s="377"/>
      <c r="K4769" s="380"/>
      <c r="L4769" s="378"/>
      <c r="M4769" s="380"/>
      <c r="N4769" s="380"/>
      <c r="O4769" s="380"/>
      <c r="P4769" s="380"/>
      <c r="Q4769" s="380"/>
    </row>
    <row r="4770" spans="1:17" x14ac:dyDescent="0.2">
      <c r="A4770" s="334" t="s">
        <v>1735</v>
      </c>
      <c r="B4770" s="380"/>
      <c r="C4770" s="380" t="s">
        <v>194</v>
      </c>
      <c r="D4770" s="377"/>
      <c r="E4770" s="380"/>
      <c r="F4770" s="378"/>
      <c r="G4770" s="380"/>
      <c r="H4770" s="380"/>
      <c r="I4770" s="399"/>
      <c r="J4770" s="377"/>
      <c r="K4770" s="380"/>
      <c r="L4770" s="378"/>
      <c r="M4770" s="380"/>
      <c r="N4770" s="380"/>
      <c r="O4770" s="380"/>
      <c r="P4770" s="380"/>
      <c r="Q4770" s="380"/>
    </row>
    <row r="4771" spans="1:17" x14ac:dyDescent="0.2">
      <c r="A4771" s="334" t="s">
        <v>1572</v>
      </c>
      <c r="B4771" s="380"/>
      <c r="C4771" s="334" t="s">
        <v>3134</v>
      </c>
      <c r="D4771" s="377"/>
      <c r="E4771" s="380"/>
      <c r="F4771" s="378"/>
      <c r="G4771" s="380"/>
      <c r="H4771" s="380"/>
      <c r="I4771" s="399"/>
      <c r="J4771" s="377"/>
      <c r="K4771" s="380"/>
      <c r="L4771" s="378"/>
      <c r="M4771" s="380"/>
      <c r="N4771" s="380"/>
      <c r="O4771" s="380"/>
      <c r="P4771" s="380"/>
      <c r="Q4771" s="380"/>
    </row>
    <row r="4772" spans="1:17" x14ac:dyDescent="0.2">
      <c r="A4772" s="334" t="s">
        <v>1730</v>
      </c>
      <c r="B4772" s="380"/>
      <c r="C4772" s="334" t="s">
        <v>1985</v>
      </c>
      <c r="D4772" s="377"/>
      <c r="E4772" s="380"/>
      <c r="F4772" s="378"/>
      <c r="G4772" s="380"/>
      <c r="H4772" s="380"/>
      <c r="I4772" s="399"/>
      <c r="J4772" s="377"/>
      <c r="K4772" s="380"/>
      <c r="L4772" s="378"/>
      <c r="M4772" s="380"/>
      <c r="N4772" s="380"/>
      <c r="O4772" s="380"/>
      <c r="P4772" s="380"/>
      <c r="Q4772" s="380"/>
    </row>
    <row r="4773" spans="1:17" x14ac:dyDescent="0.2">
      <c r="A4773" s="334" t="s">
        <v>1566</v>
      </c>
      <c r="B4773" s="380"/>
      <c r="C4773" s="334" t="s">
        <v>366</v>
      </c>
      <c r="D4773" s="379">
        <v>5000</v>
      </c>
      <c r="E4773" s="380"/>
      <c r="F4773" s="378"/>
      <c r="G4773" s="380"/>
      <c r="H4773" s="380"/>
      <c r="I4773" s="399"/>
      <c r="J4773" s="377">
        <v>5000</v>
      </c>
      <c r="K4773" s="380"/>
      <c r="L4773" s="378"/>
      <c r="M4773" s="380"/>
      <c r="N4773" s="380"/>
      <c r="O4773" s="380"/>
      <c r="P4773" s="380"/>
      <c r="Q4773" s="380"/>
    </row>
    <row r="4774" spans="1:17" x14ac:dyDescent="0.2">
      <c r="A4774" s="334" t="s">
        <v>1755</v>
      </c>
      <c r="B4774" s="380"/>
      <c r="C4774" s="380" t="s">
        <v>1986</v>
      </c>
      <c r="D4774" s="379"/>
      <c r="E4774" s="380"/>
      <c r="F4774" s="378"/>
      <c r="G4774" s="380"/>
      <c r="H4774" s="380"/>
      <c r="I4774" s="399"/>
      <c r="J4774" s="377"/>
      <c r="K4774" s="380"/>
      <c r="L4774" s="378"/>
      <c r="M4774" s="380"/>
      <c r="N4774" s="380"/>
      <c r="O4774" s="380"/>
      <c r="P4774" s="380"/>
      <c r="Q4774" s="380"/>
    </row>
    <row r="4775" spans="1:17" x14ac:dyDescent="0.2">
      <c r="A4775" s="391" t="s">
        <v>765</v>
      </c>
      <c r="B4775" s="380"/>
      <c r="C4775" s="392" t="s">
        <v>767</v>
      </c>
      <c r="D4775" s="379">
        <v>165000</v>
      </c>
      <c r="E4775" s="380"/>
      <c r="F4775" s="378"/>
      <c r="G4775" s="380"/>
      <c r="H4775" s="380"/>
      <c r="I4775" s="399"/>
      <c r="J4775" s="377">
        <v>165000</v>
      </c>
      <c r="K4775" s="380"/>
      <c r="L4775" s="378"/>
      <c r="M4775" s="380"/>
      <c r="N4775" s="380"/>
      <c r="O4775" s="380"/>
      <c r="P4775" s="380"/>
      <c r="Q4775" s="380"/>
    </row>
    <row r="4776" spans="1:17" x14ac:dyDescent="0.2">
      <c r="A4776" s="391" t="s">
        <v>766</v>
      </c>
      <c r="B4776" s="380"/>
      <c r="C4776" s="392" t="s">
        <v>768</v>
      </c>
      <c r="D4776" s="377"/>
      <c r="E4776" s="380"/>
      <c r="F4776" s="378"/>
      <c r="G4776" s="380"/>
      <c r="H4776" s="380"/>
      <c r="I4776" s="399"/>
      <c r="J4776" s="377"/>
      <c r="K4776" s="380"/>
      <c r="L4776" s="378"/>
      <c r="M4776" s="380"/>
      <c r="N4776" s="380"/>
      <c r="O4776" s="380"/>
      <c r="P4776" s="380"/>
      <c r="Q4776" s="380"/>
    </row>
    <row r="4777" spans="1:17" x14ac:dyDescent="0.2">
      <c r="A4777" s="391" t="s">
        <v>1261</v>
      </c>
      <c r="B4777" s="380"/>
      <c r="C4777" s="334" t="s">
        <v>3141</v>
      </c>
      <c r="D4777" s="377"/>
      <c r="E4777" s="380"/>
      <c r="F4777" s="378"/>
      <c r="G4777" s="380"/>
      <c r="H4777" s="380"/>
      <c r="I4777" s="399"/>
      <c r="J4777" s="377"/>
      <c r="K4777" s="380"/>
      <c r="L4777" s="378"/>
      <c r="M4777" s="380"/>
      <c r="N4777" s="380"/>
      <c r="O4777" s="380"/>
      <c r="P4777" s="380"/>
      <c r="Q4777" s="380"/>
    </row>
    <row r="4778" spans="1:17" x14ac:dyDescent="0.2">
      <c r="A4778" s="334"/>
      <c r="B4778" s="380"/>
      <c r="C4778" s="334"/>
      <c r="D4778" s="377"/>
      <c r="E4778" s="380"/>
      <c r="F4778" s="378"/>
      <c r="G4778" s="380"/>
      <c r="H4778" s="380"/>
      <c r="I4778" s="385"/>
      <c r="J4778" s="377"/>
      <c r="K4778" s="380"/>
      <c r="L4778" s="378"/>
      <c r="M4778" s="380"/>
      <c r="N4778" s="380"/>
      <c r="O4778" s="380"/>
      <c r="P4778" s="380"/>
      <c r="Q4778" s="380"/>
    </row>
    <row r="4779" spans="1:17" x14ac:dyDescent="0.2">
      <c r="A4779" s="334" t="s">
        <v>436</v>
      </c>
      <c r="B4779" s="380"/>
      <c r="C4779" s="380"/>
      <c r="D4779" s="410" t="s">
        <v>342</v>
      </c>
      <c r="E4779" s="380"/>
      <c r="F4779" s="378"/>
      <c r="G4779" s="380"/>
      <c r="H4779" s="380"/>
      <c r="I4779" s="385"/>
      <c r="J4779" s="410" t="s">
        <v>342</v>
      </c>
      <c r="K4779" s="380"/>
      <c r="L4779" s="378"/>
      <c r="M4779" s="380"/>
      <c r="N4779" s="380"/>
      <c r="O4779" s="380"/>
      <c r="P4779" s="380"/>
      <c r="Q4779" s="380"/>
    </row>
    <row r="4780" spans="1:17" x14ac:dyDescent="0.2">
      <c r="A4780" s="380"/>
      <c r="B4780" s="380"/>
      <c r="C4780" s="380"/>
      <c r="D4780" s="334">
        <f>SUM(D4766:D4778)</f>
        <v>170000</v>
      </c>
      <c r="E4780" s="380"/>
      <c r="F4780" s="378"/>
      <c r="G4780" s="380"/>
      <c r="H4780" s="380"/>
      <c r="I4780" s="399"/>
      <c r="J4780" s="334">
        <f>SUM(J4766:J4778)</f>
        <v>170000</v>
      </c>
      <c r="K4780" s="380"/>
      <c r="L4780" s="378"/>
      <c r="M4780" s="380"/>
      <c r="N4780" s="380"/>
      <c r="O4780" s="380"/>
      <c r="P4780" s="380"/>
      <c r="Q4780" s="380"/>
    </row>
    <row r="4781" spans="1:17" ht="15.75" thickTop="1" x14ac:dyDescent="0.2">
      <c r="A4781" s="380"/>
      <c r="B4781" s="380"/>
      <c r="C4781" s="380"/>
      <c r="D4781" s="395"/>
      <c r="E4781" s="380"/>
      <c r="F4781" s="378"/>
      <c r="G4781" s="380"/>
      <c r="H4781" s="380"/>
      <c r="I4781" s="382"/>
      <c r="J4781" s="395"/>
      <c r="K4781" s="380"/>
      <c r="L4781" s="378"/>
      <c r="M4781" s="380"/>
      <c r="N4781" s="380"/>
      <c r="O4781" s="380"/>
      <c r="P4781" s="380"/>
      <c r="Q4781" s="380"/>
    </row>
    <row r="4782" spans="1:17" x14ac:dyDescent="0.2">
      <c r="A4782" s="380"/>
      <c r="B4782" s="380"/>
      <c r="C4782" s="380"/>
      <c r="D4782" s="380"/>
      <c r="E4782" s="377"/>
      <c r="F4782" s="378"/>
      <c r="G4782" s="377"/>
      <c r="H4782" s="377"/>
      <c r="I4782" s="399"/>
      <c r="J4782" s="380"/>
      <c r="K4782" s="377"/>
      <c r="L4782" s="378"/>
      <c r="M4782" s="377"/>
      <c r="N4782" s="377"/>
      <c r="O4782" s="380"/>
      <c r="P4782" s="380"/>
      <c r="Q4782" s="380"/>
    </row>
    <row r="4783" spans="1:17" x14ac:dyDescent="0.2">
      <c r="A4783" s="377"/>
      <c r="B4783" s="377"/>
      <c r="C4783" s="377"/>
      <c r="D4783" s="377"/>
      <c r="E4783" s="380"/>
      <c r="F4783" s="378"/>
      <c r="G4783" s="380"/>
      <c r="H4783" s="380"/>
      <c r="I4783" s="385"/>
      <c r="J4783" s="377"/>
      <c r="K4783" s="380"/>
      <c r="L4783" s="378"/>
      <c r="M4783" s="380"/>
      <c r="N4783" s="380"/>
      <c r="O4783" s="380"/>
      <c r="P4783" s="380"/>
      <c r="Q4783" s="380"/>
    </row>
    <row r="4784" spans="1:17" x14ac:dyDescent="0.2">
      <c r="A4784" s="334" t="s">
        <v>1863</v>
      </c>
      <c r="B4784" s="380"/>
      <c r="C4784" s="380"/>
      <c r="D4784" s="334" t="s">
        <v>342</v>
      </c>
      <c r="E4784" s="380"/>
      <c r="F4784" s="378"/>
      <c r="G4784" s="380"/>
      <c r="H4784" s="380"/>
      <c r="I4784" s="382"/>
      <c r="J4784" s="334" t="s">
        <v>342</v>
      </c>
      <c r="K4784" s="380"/>
      <c r="L4784" s="378"/>
      <c r="M4784" s="380"/>
      <c r="N4784" s="380"/>
      <c r="O4784" s="380"/>
      <c r="P4784" s="380"/>
      <c r="Q4784" s="380"/>
    </row>
    <row r="4785" spans="1:17" x14ac:dyDescent="0.2">
      <c r="A4785" s="334" t="s">
        <v>342</v>
      </c>
      <c r="B4785" s="380"/>
      <c r="C4785" s="384" t="s">
        <v>2081</v>
      </c>
      <c r="D4785" s="380"/>
      <c r="E4785" s="380"/>
      <c r="F4785" s="378"/>
      <c r="G4785" s="380"/>
      <c r="H4785" s="380"/>
      <c r="I4785" s="385"/>
      <c r="J4785" s="380"/>
      <c r="K4785" s="380"/>
      <c r="L4785" s="378"/>
      <c r="M4785" s="380"/>
      <c r="N4785" s="380"/>
      <c r="O4785" s="380"/>
      <c r="P4785" s="380"/>
      <c r="Q4785" s="380"/>
    </row>
    <row r="4786" spans="1:17" x14ac:dyDescent="0.2">
      <c r="A4786" s="334" t="s">
        <v>342</v>
      </c>
      <c r="B4786" s="380"/>
      <c r="C4786" s="334" t="s">
        <v>342</v>
      </c>
      <c r="D4786" s="334" t="s">
        <v>342</v>
      </c>
      <c r="E4786" s="380"/>
      <c r="F4786" s="378"/>
      <c r="G4786" s="380"/>
      <c r="H4786" s="380"/>
      <c r="I4786" s="385"/>
      <c r="J4786" s="334" t="s">
        <v>342</v>
      </c>
      <c r="K4786" s="380"/>
      <c r="L4786" s="378"/>
      <c r="M4786" s="380"/>
      <c r="N4786" s="380"/>
      <c r="O4786" s="380"/>
      <c r="P4786" s="380"/>
      <c r="Q4786" s="380"/>
    </row>
    <row r="4787" spans="1:17" x14ac:dyDescent="0.2">
      <c r="A4787" s="334" t="s">
        <v>1723</v>
      </c>
      <c r="B4787" s="380"/>
      <c r="C4787" s="334" t="s">
        <v>1880</v>
      </c>
      <c r="D4787" s="334" t="s">
        <v>181</v>
      </c>
      <c r="E4787" s="380"/>
      <c r="F4787" s="378"/>
      <c r="G4787" s="380"/>
      <c r="H4787" s="380"/>
      <c r="I4787" s="382"/>
      <c r="J4787" s="334" t="s">
        <v>181</v>
      </c>
      <c r="K4787" s="380"/>
      <c r="L4787" s="378"/>
      <c r="M4787" s="380"/>
      <c r="N4787" s="380"/>
      <c r="O4787" s="380"/>
      <c r="P4787" s="380"/>
      <c r="Q4787" s="380"/>
    </row>
    <row r="4788" spans="1:17" x14ac:dyDescent="0.2">
      <c r="A4788" s="380"/>
      <c r="B4788" s="380"/>
      <c r="C4788" s="380"/>
      <c r="D4788" s="380"/>
      <c r="E4788" s="380"/>
      <c r="F4788" s="378"/>
      <c r="G4788" s="380"/>
      <c r="H4788" s="380"/>
      <c r="I4788" s="399"/>
      <c r="J4788" s="380"/>
      <c r="K4788" s="380"/>
      <c r="L4788" s="378"/>
      <c r="M4788" s="380"/>
      <c r="N4788" s="380"/>
      <c r="O4788" s="380"/>
      <c r="P4788" s="380"/>
      <c r="Q4788" s="380"/>
    </row>
    <row r="4789" spans="1:17" x14ac:dyDescent="0.2">
      <c r="A4789" s="334" t="s">
        <v>1724</v>
      </c>
      <c r="B4789" s="380"/>
      <c r="C4789" s="334" t="s">
        <v>1881</v>
      </c>
      <c r="D4789" s="377"/>
      <c r="E4789" s="380"/>
      <c r="F4789" s="378"/>
      <c r="G4789" s="380"/>
      <c r="H4789" s="380"/>
      <c r="I4789" s="399"/>
      <c r="J4789" s="377"/>
      <c r="K4789" s="380"/>
      <c r="L4789" s="378"/>
      <c r="M4789" s="380"/>
      <c r="N4789" s="380"/>
      <c r="O4789" s="380"/>
      <c r="P4789" s="380"/>
      <c r="Q4789" s="380"/>
    </row>
    <row r="4790" spans="1:17" x14ac:dyDescent="0.2">
      <c r="A4790" s="334" t="s">
        <v>1565</v>
      </c>
      <c r="B4790" s="380"/>
      <c r="C4790" s="334" t="s">
        <v>1927</v>
      </c>
      <c r="D4790" s="377"/>
      <c r="E4790" s="380"/>
      <c r="F4790" s="378"/>
      <c r="G4790" s="380"/>
      <c r="H4790" s="380"/>
      <c r="I4790" s="399"/>
      <c r="J4790" s="377"/>
      <c r="K4790" s="380"/>
      <c r="L4790" s="378"/>
      <c r="M4790" s="380"/>
      <c r="N4790" s="380"/>
      <c r="O4790" s="380"/>
      <c r="P4790" s="380"/>
      <c r="Q4790" s="380"/>
    </row>
    <row r="4791" spans="1:17" x14ac:dyDescent="0.2">
      <c r="A4791" s="334" t="s">
        <v>1737</v>
      </c>
      <c r="B4791" s="380"/>
      <c r="C4791" s="334" t="s">
        <v>1984</v>
      </c>
      <c r="D4791" s="377"/>
      <c r="E4791" s="380"/>
      <c r="F4791" s="378"/>
      <c r="G4791" s="380"/>
      <c r="H4791" s="380"/>
      <c r="I4791" s="399"/>
      <c r="J4791" s="377"/>
      <c r="K4791" s="380"/>
      <c r="L4791" s="378"/>
      <c r="M4791" s="380"/>
      <c r="N4791" s="380"/>
      <c r="O4791" s="380"/>
      <c r="P4791" s="380"/>
      <c r="Q4791" s="380"/>
    </row>
    <row r="4792" spans="1:17" x14ac:dyDescent="0.2">
      <c r="A4792" s="334" t="s">
        <v>1730</v>
      </c>
      <c r="B4792" s="380"/>
      <c r="C4792" s="334" t="s">
        <v>1985</v>
      </c>
      <c r="D4792" s="377"/>
      <c r="E4792" s="380"/>
      <c r="F4792" s="378"/>
      <c r="G4792" s="380"/>
      <c r="H4792" s="380"/>
      <c r="I4792" s="399"/>
      <c r="J4792" s="377"/>
      <c r="K4792" s="380"/>
      <c r="L4792" s="378"/>
      <c r="M4792" s="380"/>
      <c r="N4792" s="380"/>
      <c r="O4792" s="380"/>
      <c r="P4792" s="380"/>
      <c r="Q4792" s="380"/>
    </row>
    <row r="4793" spans="1:17" x14ac:dyDescent="0.2">
      <c r="A4793" s="334" t="s">
        <v>1567</v>
      </c>
      <c r="B4793" s="380"/>
      <c r="C4793" s="334" t="s">
        <v>3142</v>
      </c>
      <c r="D4793" s="377"/>
      <c r="E4793" s="380"/>
      <c r="F4793" s="378"/>
      <c r="G4793" s="380"/>
      <c r="H4793" s="380"/>
      <c r="I4793" s="399"/>
      <c r="J4793" s="377"/>
      <c r="K4793" s="380"/>
      <c r="L4793" s="378"/>
      <c r="M4793" s="380"/>
      <c r="N4793" s="380"/>
      <c r="O4793" s="380"/>
      <c r="P4793" s="380"/>
      <c r="Q4793" s="380"/>
    </row>
    <row r="4794" spans="1:17" x14ac:dyDescent="0.2">
      <c r="A4794" s="391" t="s">
        <v>1753</v>
      </c>
      <c r="B4794" s="380"/>
      <c r="C4794" s="334" t="s">
        <v>1816</v>
      </c>
      <c r="D4794" s="379">
        <v>30000</v>
      </c>
      <c r="E4794" s="380"/>
      <c r="F4794" s="378"/>
      <c r="G4794" s="380"/>
      <c r="H4794" s="380"/>
      <c r="I4794" s="399"/>
      <c r="J4794" s="377">
        <v>30000</v>
      </c>
      <c r="K4794" s="380"/>
      <c r="L4794" s="378"/>
      <c r="M4794" s="380"/>
      <c r="N4794" s="380"/>
      <c r="O4794" s="380"/>
      <c r="P4794" s="380"/>
      <c r="Q4794" s="380"/>
    </row>
    <row r="4795" spans="1:17" x14ac:dyDescent="0.2">
      <c r="A4795" s="384" t="s">
        <v>1743</v>
      </c>
      <c r="B4795" s="380"/>
      <c r="C4795" s="334" t="s">
        <v>1886</v>
      </c>
      <c r="D4795" s="379">
        <v>7500</v>
      </c>
      <c r="E4795" s="380"/>
      <c r="F4795" s="378"/>
      <c r="G4795" s="380"/>
      <c r="H4795" s="380"/>
      <c r="I4795" s="399"/>
      <c r="J4795" s="377">
        <v>7500</v>
      </c>
      <c r="K4795" s="380"/>
      <c r="L4795" s="378"/>
      <c r="M4795" s="380"/>
      <c r="N4795" s="380"/>
      <c r="O4795" s="380"/>
      <c r="P4795" s="380"/>
      <c r="Q4795" s="380"/>
    </row>
    <row r="4796" spans="1:17" x14ac:dyDescent="0.2">
      <c r="A4796" s="334" t="s">
        <v>1864</v>
      </c>
      <c r="B4796" s="380"/>
      <c r="C4796" s="334" t="s">
        <v>173</v>
      </c>
      <c r="D4796" s="377"/>
      <c r="E4796" s="380"/>
      <c r="F4796" s="378"/>
      <c r="G4796" s="380"/>
      <c r="H4796" s="380"/>
      <c r="I4796" s="399"/>
      <c r="J4796" s="377"/>
      <c r="K4796" s="380"/>
      <c r="L4796" s="378"/>
      <c r="M4796" s="380"/>
      <c r="N4796" s="380"/>
      <c r="O4796" s="380"/>
      <c r="P4796" s="380"/>
      <c r="Q4796" s="380"/>
    </row>
    <row r="4797" spans="1:17" x14ac:dyDescent="0.2">
      <c r="A4797" s="334"/>
      <c r="B4797" s="380"/>
      <c r="C4797" s="334"/>
      <c r="D4797" s="377"/>
      <c r="E4797" s="380"/>
      <c r="F4797" s="378"/>
      <c r="G4797" s="380"/>
      <c r="H4797" s="380"/>
      <c r="I4797" s="385"/>
      <c r="J4797" s="377"/>
      <c r="K4797" s="380"/>
      <c r="L4797" s="378"/>
      <c r="M4797" s="380"/>
      <c r="N4797" s="380"/>
      <c r="O4797" s="380"/>
      <c r="P4797" s="380"/>
      <c r="Q4797" s="380"/>
    </row>
    <row r="4798" spans="1:17" x14ac:dyDescent="0.2">
      <c r="A4798" s="380"/>
      <c r="B4798" s="380"/>
      <c r="C4798" s="380"/>
      <c r="D4798" s="410" t="s">
        <v>342</v>
      </c>
      <c r="E4798" s="380"/>
      <c r="F4798" s="378"/>
      <c r="G4798" s="380"/>
      <c r="H4798" s="380"/>
      <c r="I4798" s="385"/>
      <c r="J4798" s="410" t="s">
        <v>342</v>
      </c>
      <c r="K4798" s="380"/>
      <c r="L4798" s="378"/>
      <c r="M4798" s="380"/>
      <c r="N4798" s="380"/>
      <c r="O4798" s="380"/>
      <c r="P4798" s="380"/>
      <c r="Q4798" s="380"/>
    </row>
    <row r="4799" spans="1:17" x14ac:dyDescent="0.2">
      <c r="A4799" s="380"/>
      <c r="B4799" s="380"/>
      <c r="C4799" s="380"/>
      <c r="D4799" s="334">
        <f>SUM(D4789:D4797)</f>
        <v>37500</v>
      </c>
      <c r="E4799" s="380"/>
      <c r="F4799" s="378"/>
      <c r="G4799" s="380"/>
      <c r="H4799" s="380"/>
      <c r="I4799" s="399"/>
      <c r="J4799" s="334">
        <f>SUM(J4789:J4797)</f>
        <v>37500</v>
      </c>
      <c r="K4799" s="380"/>
      <c r="L4799" s="378"/>
      <c r="M4799" s="380"/>
      <c r="N4799" s="380"/>
      <c r="O4799" s="380"/>
      <c r="P4799" s="380"/>
      <c r="Q4799" s="380"/>
    </row>
    <row r="4800" spans="1:17" ht="15.75" thickTop="1" x14ac:dyDescent="0.2">
      <c r="A4800" s="380"/>
      <c r="B4800" s="380"/>
      <c r="C4800" s="380"/>
      <c r="D4800" s="395"/>
      <c r="E4800" s="380"/>
      <c r="F4800" s="378"/>
      <c r="G4800" s="380"/>
      <c r="H4800" s="380"/>
      <c r="I4800" s="382"/>
      <c r="J4800" s="395"/>
      <c r="K4800" s="380"/>
      <c r="L4800" s="378"/>
      <c r="M4800" s="380"/>
      <c r="N4800" s="380"/>
      <c r="O4800" s="380"/>
      <c r="P4800" s="380"/>
      <c r="Q4800" s="380"/>
    </row>
    <row r="4801" spans="1:17" x14ac:dyDescent="0.2">
      <c r="A4801" s="380"/>
      <c r="B4801" s="380"/>
      <c r="C4801" s="380"/>
      <c r="D4801" s="380"/>
      <c r="E4801" s="377"/>
      <c r="F4801" s="378"/>
      <c r="G4801" s="377"/>
      <c r="H4801" s="377"/>
      <c r="I4801" s="399"/>
      <c r="J4801" s="380"/>
      <c r="K4801" s="377"/>
      <c r="L4801" s="378"/>
      <c r="M4801" s="377"/>
      <c r="N4801" s="377"/>
      <c r="O4801" s="380"/>
      <c r="P4801" s="380"/>
      <c r="Q4801" s="380"/>
    </row>
    <row r="4802" spans="1:17" x14ac:dyDescent="0.2">
      <c r="A4802" s="377"/>
      <c r="B4802" s="377"/>
      <c r="C4802" s="377"/>
      <c r="D4802" s="377"/>
      <c r="E4802" s="380"/>
      <c r="F4802" s="378"/>
      <c r="G4802" s="380"/>
      <c r="H4802" s="380"/>
      <c r="I4802" s="385"/>
      <c r="J4802" s="377"/>
      <c r="K4802" s="380"/>
      <c r="L4802" s="378"/>
      <c r="M4802" s="380"/>
      <c r="N4802" s="380"/>
      <c r="O4802" s="380"/>
      <c r="P4802" s="380"/>
      <c r="Q4802" s="380"/>
    </row>
    <row r="4803" spans="1:17" x14ac:dyDescent="0.2">
      <c r="A4803" s="334" t="s">
        <v>1865</v>
      </c>
      <c r="B4803" s="380"/>
      <c r="C4803" s="380"/>
      <c r="D4803" s="334" t="s">
        <v>342</v>
      </c>
      <c r="E4803" s="380"/>
      <c r="F4803" s="378"/>
      <c r="G4803" s="380"/>
      <c r="H4803" s="380"/>
      <c r="I4803" s="382"/>
      <c r="J4803" s="334" t="s">
        <v>342</v>
      </c>
      <c r="K4803" s="380"/>
      <c r="L4803" s="378"/>
      <c r="M4803" s="380"/>
      <c r="N4803" s="380"/>
      <c r="O4803" s="380"/>
      <c r="P4803" s="380"/>
      <c r="Q4803" s="380"/>
    </row>
    <row r="4804" spans="1:17" x14ac:dyDescent="0.2">
      <c r="A4804" s="334" t="s">
        <v>342</v>
      </c>
      <c r="B4804" s="380"/>
      <c r="C4804" s="384" t="s">
        <v>2082</v>
      </c>
      <c r="D4804" s="380"/>
      <c r="E4804" s="380"/>
      <c r="F4804" s="378"/>
      <c r="G4804" s="380"/>
      <c r="H4804" s="380"/>
      <c r="I4804" s="385"/>
      <c r="J4804" s="380"/>
      <c r="K4804" s="380"/>
      <c r="L4804" s="378"/>
      <c r="M4804" s="380"/>
      <c r="N4804" s="380"/>
      <c r="O4804" s="380"/>
      <c r="P4804" s="380"/>
      <c r="Q4804" s="380"/>
    </row>
    <row r="4805" spans="1:17" x14ac:dyDescent="0.2">
      <c r="A4805" s="334" t="s">
        <v>342</v>
      </c>
      <c r="B4805" s="380"/>
      <c r="C4805" s="334" t="s">
        <v>342</v>
      </c>
      <c r="D4805" s="334" t="s">
        <v>342</v>
      </c>
      <c r="E4805" s="380"/>
      <c r="F4805" s="378"/>
      <c r="G4805" s="380"/>
      <c r="H4805" s="380"/>
      <c r="I4805" s="385"/>
      <c r="J4805" s="334" t="s">
        <v>342</v>
      </c>
      <c r="K4805" s="380"/>
      <c r="L4805" s="378"/>
      <c r="M4805" s="380"/>
      <c r="N4805" s="380"/>
      <c r="O4805" s="380"/>
      <c r="P4805" s="380"/>
      <c r="Q4805" s="380"/>
    </row>
    <row r="4806" spans="1:17" x14ac:dyDescent="0.2">
      <c r="A4806" s="334" t="s">
        <v>1723</v>
      </c>
      <c r="B4806" s="380"/>
      <c r="C4806" s="334" t="s">
        <v>1880</v>
      </c>
      <c r="D4806" s="334" t="s">
        <v>181</v>
      </c>
      <c r="E4806" s="380"/>
      <c r="F4806" s="378"/>
      <c r="G4806" s="380"/>
      <c r="H4806" s="380"/>
      <c r="I4806" s="382"/>
      <c r="J4806" s="334" t="s">
        <v>181</v>
      </c>
      <c r="K4806" s="380"/>
      <c r="L4806" s="378"/>
      <c r="M4806" s="380"/>
      <c r="N4806" s="380"/>
      <c r="O4806" s="380"/>
      <c r="P4806" s="380"/>
      <c r="Q4806" s="380"/>
    </row>
    <row r="4807" spans="1:17" x14ac:dyDescent="0.2">
      <c r="A4807" s="380"/>
      <c r="B4807" s="380"/>
      <c r="C4807" s="380"/>
      <c r="D4807" s="380"/>
      <c r="E4807" s="380"/>
      <c r="F4807" s="378"/>
      <c r="G4807" s="380"/>
      <c r="H4807" s="380"/>
      <c r="I4807" s="399"/>
      <c r="J4807" s="380"/>
      <c r="K4807" s="380"/>
      <c r="L4807" s="378"/>
      <c r="M4807" s="380"/>
      <c r="N4807" s="380"/>
      <c r="O4807" s="380"/>
      <c r="P4807" s="380"/>
      <c r="Q4807" s="380"/>
    </row>
    <row r="4808" spans="1:17" x14ac:dyDescent="0.2">
      <c r="A4808" s="334" t="s">
        <v>1568</v>
      </c>
      <c r="B4808" s="380"/>
      <c r="C4808" s="380" t="s">
        <v>1817</v>
      </c>
      <c r="D4808" s="377">
        <v>185800</v>
      </c>
      <c r="E4808" s="380"/>
      <c r="F4808" s="378"/>
      <c r="G4808" s="380"/>
      <c r="H4808" s="380"/>
      <c r="I4808" s="399"/>
      <c r="J4808" s="377">
        <v>125000</v>
      </c>
      <c r="K4808" s="380"/>
      <c r="L4808" s="378"/>
      <c r="M4808" s="380"/>
      <c r="N4808" s="380"/>
      <c r="O4808" s="380"/>
      <c r="P4808" s="380"/>
      <c r="Q4808" s="380"/>
    </row>
    <row r="4809" spans="1:17" x14ac:dyDescent="0.2">
      <c r="A4809" s="391" t="s">
        <v>1743</v>
      </c>
      <c r="B4809" s="380"/>
      <c r="C4809" s="334" t="s">
        <v>1886</v>
      </c>
      <c r="D4809" s="377">
        <v>6000</v>
      </c>
      <c r="E4809" s="380"/>
      <c r="F4809" s="378"/>
      <c r="G4809" s="380"/>
      <c r="H4809" s="380"/>
      <c r="I4809" s="399"/>
      <c r="J4809" s="377">
        <v>6000</v>
      </c>
      <c r="K4809" s="380"/>
      <c r="L4809" s="378"/>
      <c r="M4809" s="380"/>
      <c r="N4809" s="380"/>
      <c r="O4809" s="380"/>
      <c r="P4809" s="380"/>
      <c r="Q4809" s="380"/>
    </row>
    <row r="4810" spans="1:17" x14ac:dyDescent="0.2">
      <c r="A4810" s="334" t="s">
        <v>1724</v>
      </c>
      <c r="B4810" s="380"/>
      <c r="C4810" s="334" t="s">
        <v>1881</v>
      </c>
      <c r="D4810" s="377">
        <v>10000</v>
      </c>
      <c r="E4810" s="380"/>
      <c r="F4810" s="378"/>
      <c r="G4810" s="380"/>
      <c r="H4810" s="380"/>
      <c r="I4810" s="399"/>
      <c r="J4810" s="377">
        <v>15000</v>
      </c>
      <c r="K4810" s="380"/>
      <c r="L4810" s="378"/>
      <c r="M4810" s="380"/>
      <c r="N4810" s="380"/>
      <c r="O4810" s="380"/>
      <c r="P4810" s="380"/>
      <c r="Q4810" s="380"/>
    </row>
    <row r="4811" spans="1:17" x14ac:dyDescent="0.2">
      <c r="A4811" s="334" t="s">
        <v>1575</v>
      </c>
      <c r="B4811" s="380"/>
      <c r="C4811" s="334" t="s">
        <v>1889</v>
      </c>
      <c r="D4811" s="377"/>
      <c r="E4811" s="380"/>
      <c r="F4811" s="378"/>
      <c r="G4811" s="380"/>
      <c r="H4811" s="380"/>
      <c r="I4811" s="399"/>
      <c r="J4811" s="377"/>
      <c r="K4811" s="380"/>
      <c r="L4811" s="378"/>
      <c r="M4811" s="380"/>
      <c r="N4811" s="380"/>
      <c r="O4811" s="380"/>
      <c r="P4811" s="380"/>
      <c r="Q4811" s="380"/>
    </row>
    <row r="4812" spans="1:17" x14ac:dyDescent="0.2">
      <c r="A4812" s="334" t="s">
        <v>1725</v>
      </c>
      <c r="B4812" s="380"/>
      <c r="C4812" s="334" t="s">
        <v>1890</v>
      </c>
      <c r="D4812" s="377"/>
      <c r="E4812" s="380"/>
      <c r="F4812" s="378"/>
      <c r="G4812" s="380"/>
      <c r="H4812" s="380"/>
      <c r="I4812" s="399"/>
      <c r="J4812" s="377"/>
      <c r="K4812" s="380"/>
      <c r="L4812" s="378"/>
      <c r="M4812" s="380"/>
      <c r="N4812" s="380"/>
      <c r="O4812" s="380"/>
      <c r="P4812" s="380"/>
      <c r="Q4812" s="380"/>
    </row>
    <row r="4813" spans="1:17" x14ac:dyDescent="0.2">
      <c r="A4813" s="334" t="s">
        <v>1906</v>
      </c>
      <c r="B4813" s="380"/>
      <c r="C4813" s="334" t="s">
        <v>39</v>
      </c>
      <c r="D4813" s="377">
        <v>2000</v>
      </c>
      <c r="E4813" s="380"/>
      <c r="F4813" s="378"/>
      <c r="G4813" s="380"/>
      <c r="H4813" s="380"/>
      <c r="I4813" s="399"/>
      <c r="J4813" s="377">
        <v>1500</v>
      </c>
      <c r="K4813" s="380"/>
      <c r="L4813" s="378"/>
      <c r="M4813" s="380"/>
      <c r="N4813" s="380"/>
      <c r="O4813" s="380"/>
      <c r="P4813" s="380"/>
      <c r="Q4813" s="380"/>
    </row>
    <row r="4814" spans="1:17" x14ac:dyDescent="0.2">
      <c r="A4814" s="334" t="s">
        <v>1565</v>
      </c>
      <c r="B4814" s="380"/>
      <c r="C4814" s="334" t="s">
        <v>1927</v>
      </c>
      <c r="D4814" s="377">
        <v>160</v>
      </c>
      <c r="E4814" s="380"/>
      <c r="F4814" s="378"/>
      <c r="G4814" s="380"/>
      <c r="H4814" s="380"/>
      <c r="I4814" s="399"/>
      <c r="J4814" s="377">
        <v>160</v>
      </c>
      <c r="K4814" s="380"/>
      <c r="L4814" s="378"/>
      <c r="M4814" s="380"/>
      <c r="N4814" s="380"/>
      <c r="O4814" s="380"/>
      <c r="P4814" s="380"/>
      <c r="Q4814" s="380"/>
    </row>
    <row r="4815" spans="1:17" x14ac:dyDescent="0.2">
      <c r="A4815" s="334" t="s">
        <v>1737</v>
      </c>
      <c r="B4815" s="380"/>
      <c r="C4815" s="334" t="s">
        <v>1984</v>
      </c>
      <c r="D4815" s="377"/>
      <c r="E4815" s="380"/>
      <c r="F4815" s="378"/>
      <c r="G4815" s="380"/>
      <c r="H4815" s="380"/>
      <c r="I4815" s="399"/>
      <c r="J4815" s="377"/>
      <c r="K4815" s="380"/>
      <c r="L4815" s="378"/>
      <c r="M4815" s="380"/>
      <c r="N4815" s="380"/>
      <c r="O4815" s="380"/>
      <c r="P4815" s="380"/>
      <c r="Q4815" s="380"/>
    </row>
    <row r="4816" spans="1:17" x14ac:dyDescent="0.2">
      <c r="A4816" s="334" t="s">
        <v>1909</v>
      </c>
      <c r="B4816" s="380"/>
      <c r="C4816" s="334" t="s">
        <v>700</v>
      </c>
      <c r="D4816" s="377"/>
      <c r="E4816" s="380"/>
      <c r="F4816" s="378"/>
      <c r="G4816" s="380"/>
      <c r="H4816" s="380"/>
      <c r="I4816" s="399"/>
      <c r="J4816" s="377"/>
      <c r="K4816" s="380"/>
      <c r="L4816" s="378"/>
      <c r="M4816" s="380"/>
      <c r="N4816" s="380"/>
      <c r="O4816" s="380"/>
      <c r="P4816" s="380"/>
      <c r="Q4816" s="380"/>
    </row>
    <row r="4817" spans="1:17" x14ac:dyDescent="0.2">
      <c r="A4817" s="334" t="s">
        <v>1579</v>
      </c>
      <c r="B4817" s="380"/>
      <c r="C4817" s="334" t="s">
        <v>1934</v>
      </c>
      <c r="D4817" s="377"/>
      <c r="E4817" s="380"/>
      <c r="F4817" s="378"/>
      <c r="G4817" s="380"/>
      <c r="H4817" s="380"/>
      <c r="I4817" s="399"/>
      <c r="J4817" s="377"/>
      <c r="K4817" s="380"/>
      <c r="L4817" s="378"/>
      <c r="M4817" s="380"/>
      <c r="N4817" s="380"/>
      <c r="O4817" s="380"/>
      <c r="P4817" s="380"/>
      <c r="Q4817" s="380"/>
    </row>
    <row r="4818" spans="1:17" x14ac:dyDescent="0.2">
      <c r="A4818" s="334" t="s">
        <v>1734</v>
      </c>
      <c r="B4818" s="380"/>
      <c r="C4818" s="334" t="s">
        <v>1746</v>
      </c>
      <c r="D4818" s="377">
        <v>300</v>
      </c>
      <c r="E4818" s="380"/>
      <c r="F4818" s="378"/>
      <c r="G4818" s="380"/>
      <c r="H4818" s="380"/>
      <c r="I4818" s="399"/>
      <c r="J4818" s="377">
        <v>300</v>
      </c>
      <c r="K4818" s="380"/>
      <c r="L4818" s="378"/>
      <c r="M4818" s="380"/>
      <c r="N4818" s="380"/>
      <c r="O4818" s="380"/>
      <c r="P4818" s="380"/>
      <c r="Q4818" s="380"/>
    </row>
    <row r="4819" spans="1:17" x14ac:dyDescent="0.2">
      <c r="A4819" s="334" t="s">
        <v>1578</v>
      </c>
      <c r="B4819" s="380"/>
      <c r="C4819" s="334" t="s">
        <v>22</v>
      </c>
      <c r="D4819" s="377">
        <v>300</v>
      </c>
      <c r="E4819" s="380"/>
      <c r="F4819" s="378"/>
      <c r="G4819" s="380"/>
      <c r="H4819" s="380"/>
      <c r="I4819" s="399"/>
      <c r="J4819" s="377">
        <v>300</v>
      </c>
      <c r="K4819" s="380"/>
      <c r="L4819" s="378"/>
      <c r="M4819" s="380"/>
      <c r="N4819" s="380"/>
      <c r="O4819" s="380"/>
      <c r="P4819" s="380"/>
      <c r="Q4819" s="380"/>
    </row>
    <row r="4820" spans="1:17" x14ac:dyDescent="0.2">
      <c r="A4820" s="334" t="s">
        <v>1738</v>
      </c>
      <c r="B4820" s="380"/>
      <c r="C4820" s="334" t="s">
        <v>1591</v>
      </c>
      <c r="D4820" s="377">
        <v>300</v>
      </c>
      <c r="E4820" s="380"/>
      <c r="F4820" s="378"/>
      <c r="G4820" s="380"/>
      <c r="H4820" s="380"/>
      <c r="I4820" s="399"/>
      <c r="J4820" s="377">
        <v>300</v>
      </c>
      <c r="K4820" s="380"/>
      <c r="L4820" s="378"/>
      <c r="M4820" s="380"/>
      <c r="N4820" s="380"/>
      <c r="O4820" s="380"/>
      <c r="P4820" s="380"/>
      <c r="Q4820" s="380"/>
    </row>
    <row r="4821" spans="1:17" x14ac:dyDescent="0.2">
      <c r="A4821" s="334" t="s">
        <v>1727</v>
      </c>
      <c r="B4821" s="380"/>
      <c r="C4821" s="334" t="s">
        <v>307</v>
      </c>
      <c r="D4821" s="377">
        <v>250</v>
      </c>
      <c r="E4821" s="380"/>
      <c r="F4821" s="378"/>
      <c r="G4821" s="380"/>
      <c r="H4821" s="380"/>
      <c r="I4821" s="399"/>
      <c r="J4821" s="377">
        <v>250</v>
      </c>
      <c r="K4821" s="380"/>
      <c r="L4821" s="378"/>
      <c r="M4821" s="380"/>
      <c r="N4821" s="380"/>
      <c r="O4821" s="380"/>
      <c r="P4821" s="380"/>
      <c r="Q4821" s="380"/>
    </row>
    <row r="4822" spans="1:17" x14ac:dyDescent="0.2">
      <c r="A4822" s="334" t="s">
        <v>1728</v>
      </c>
      <c r="B4822" s="380"/>
      <c r="C4822" s="334" t="s">
        <v>310</v>
      </c>
      <c r="D4822" s="377">
        <v>125</v>
      </c>
      <c r="E4822" s="380"/>
      <c r="F4822" s="378"/>
      <c r="G4822" s="380"/>
      <c r="H4822" s="380"/>
      <c r="I4822" s="399"/>
      <c r="J4822" s="377">
        <v>125</v>
      </c>
      <c r="K4822" s="380"/>
      <c r="L4822" s="378"/>
      <c r="M4822" s="380"/>
      <c r="N4822" s="380"/>
      <c r="O4822" s="380"/>
      <c r="P4822" s="380"/>
      <c r="Q4822" s="380"/>
    </row>
    <row r="4823" spans="1:17" x14ac:dyDescent="0.2">
      <c r="A4823" s="334" t="s">
        <v>1729</v>
      </c>
      <c r="B4823" s="380"/>
      <c r="C4823" s="380" t="s">
        <v>1551</v>
      </c>
      <c r="D4823" s="377"/>
      <c r="E4823" s="380"/>
      <c r="F4823" s="378"/>
      <c r="G4823" s="380"/>
      <c r="H4823" s="380"/>
      <c r="I4823" s="399"/>
      <c r="J4823" s="377">
        <v>25</v>
      </c>
      <c r="K4823" s="380"/>
      <c r="L4823" s="378"/>
      <c r="M4823" s="380"/>
      <c r="N4823" s="380"/>
      <c r="O4823" s="380"/>
      <c r="P4823" s="380"/>
      <c r="Q4823" s="380"/>
    </row>
    <row r="4824" spans="1:17" x14ac:dyDescent="0.2">
      <c r="A4824" s="334" t="s">
        <v>1735</v>
      </c>
      <c r="B4824" s="380"/>
      <c r="C4824" s="380" t="s">
        <v>194</v>
      </c>
      <c r="D4824" s="377"/>
      <c r="E4824" s="380"/>
      <c r="F4824" s="378"/>
      <c r="G4824" s="380"/>
      <c r="H4824" s="380"/>
      <c r="I4824" s="399"/>
      <c r="J4824" s="377"/>
      <c r="K4824" s="380"/>
      <c r="L4824" s="378"/>
      <c r="M4824" s="380"/>
      <c r="N4824" s="380"/>
      <c r="O4824" s="380"/>
      <c r="P4824" s="380"/>
      <c r="Q4824" s="380"/>
    </row>
    <row r="4825" spans="1:17" x14ac:dyDescent="0.2">
      <c r="A4825" s="334" t="s">
        <v>1741</v>
      </c>
      <c r="B4825" s="380"/>
      <c r="C4825" s="334" t="s">
        <v>1748</v>
      </c>
      <c r="D4825" s="377">
        <v>500</v>
      </c>
      <c r="E4825" s="380"/>
      <c r="F4825" s="378"/>
      <c r="G4825" s="380"/>
      <c r="H4825" s="380"/>
      <c r="I4825" s="399"/>
      <c r="J4825" s="377">
        <v>400</v>
      </c>
      <c r="K4825" s="380"/>
      <c r="L4825" s="378"/>
      <c r="M4825" s="380"/>
      <c r="N4825" s="380"/>
      <c r="O4825" s="380"/>
      <c r="P4825" s="380"/>
      <c r="Q4825" s="380"/>
    </row>
    <row r="4826" spans="1:17" x14ac:dyDescent="0.2">
      <c r="A4826" s="334" t="s">
        <v>1754</v>
      </c>
      <c r="B4826" s="380"/>
      <c r="C4826" s="334" t="s">
        <v>1929</v>
      </c>
      <c r="D4826" s="377"/>
      <c r="E4826" s="380"/>
      <c r="F4826" s="378"/>
      <c r="G4826" s="380"/>
      <c r="H4826" s="380"/>
      <c r="I4826" s="399"/>
      <c r="J4826" s="377">
        <v>400</v>
      </c>
      <c r="K4826" s="380"/>
      <c r="L4826" s="378"/>
      <c r="M4826" s="380"/>
      <c r="N4826" s="380"/>
      <c r="O4826" s="380"/>
      <c r="P4826" s="380"/>
      <c r="Q4826" s="380"/>
    </row>
    <row r="4827" spans="1:17" x14ac:dyDescent="0.2">
      <c r="A4827" s="334" t="s">
        <v>1730</v>
      </c>
      <c r="B4827" s="380"/>
      <c r="C4827" s="334" t="s">
        <v>1985</v>
      </c>
      <c r="D4827" s="377">
        <v>150</v>
      </c>
      <c r="E4827" s="380"/>
      <c r="F4827" s="378"/>
      <c r="G4827" s="380"/>
      <c r="H4827" s="380"/>
      <c r="I4827" s="399"/>
      <c r="J4827" s="377">
        <v>150</v>
      </c>
      <c r="K4827" s="380"/>
      <c r="L4827" s="378"/>
      <c r="M4827" s="380"/>
      <c r="N4827" s="380"/>
      <c r="O4827" s="380"/>
      <c r="P4827" s="380"/>
      <c r="Q4827" s="380"/>
    </row>
    <row r="4828" spans="1:17" x14ac:dyDescent="0.2">
      <c r="A4828" s="334" t="s">
        <v>1566</v>
      </c>
      <c r="B4828" s="380"/>
      <c r="C4828" s="334" t="s">
        <v>366</v>
      </c>
      <c r="D4828" s="377">
        <v>150</v>
      </c>
      <c r="E4828" s="380"/>
      <c r="F4828" s="378"/>
      <c r="G4828" s="380"/>
      <c r="H4828" s="380"/>
      <c r="I4828" s="399"/>
      <c r="J4828" s="377">
        <v>150</v>
      </c>
      <c r="K4828" s="380"/>
      <c r="L4828" s="378"/>
      <c r="M4828" s="380"/>
      <c r="N4828" s="380"/>
      <c r="O4828" s="380"/>
      <c r="P4828" s="380"/>
      <c r="Q4828" s="380"/>
    </row>
    <row r="4829" spans="1:17" x14ac:dyDescent="0.2">
      <c r="A4829" s="334" t="s">
        <v>1587</v>
      </c>
      <c r="B4829" s="380"/>
      <c r="C4829" s="334" t="s">
        <v>34</v>
      </c>
      <c r="D4829" s="377">
        <v>1000</v>
      </c>
      <c r="E4829" s="380"/>
      <c r="F4829" s="378"/>
      <c r="G4829" s="380"/>
      <c r="H4829" s="380"/>
      <c r="I4829" s="399"/>
      <c r="J4829" s="377">
        <v>1000</v>
      </c>
      <c r="K4829" s="380"/>
      <c r="L4829" s="378"/>
      <c r="M4829" s="380"/>
      <c r="N4829" s="380"/>
      <c r="O4829" s="380"/>
      <c r="P4829" s="380"/>
      <c r="Q4829" s="380"/>
    </row>
    <row r="4830" spans="1:17" x14ac:dyDescent="0.2">
      <c r="A4830" s="391" t="s">
        <v>1973</v>
      </c>
      <c r="B4830" s="380"/>
      <c r="C4830" s="380" t="s">
        <v>31</v>
      </c>
      <c r="D4830" s="377">
        <v>3500</v>
      </c>
      <c r="E4830" s="380"/>
      <c r="F4830" s="378"/>
      <c r="G4830" s="380"/>
      <c r="H4830" s="380"/>
      <c r="I4830" s="399"/>
      <c r="J4830" s="377">
        <v>3500</v>
      </c>
      <c r="K4830" s="380"/>
      <c r="L4830" s="378"/>
      <c r="M4830" s="380"/>
      <c r="N4830" s="380"/>
      <c r="O4830" s="380"/>
      <c r="P4830" s="380"/>
      <c r="Q4830" s="380"/>
    </row>
    <row r="4831" spans="1:17" x14ac:dyDescent="0.2">
      <c r="A4831" s="334" t="s">
        <v>1979</v>
      </c>
      <c r="B4831" s="380"/>
      <c r="C4831" s="380" t="s">
        <v>32</v>
      </c>
      <c r="D4831" s="377"/>
      <c r="E4831" s="380"/>
      <c r="F4831" s="378"/>
      <c r="G4831" s="380"/>
      <c r="H4831" s="380"/>
      <c r="I4831" s="399"/>
      <c r="J4831" s="377"/>
      <c r="K4831" s="380"/>
      <c r="L4831" s="378"/>
      <c r="M4831" s="380"/>
      <c r="N4831" s="380"/>
      <c r="O4831" s="380"/>
      <c r="P4831" s="380"/>
      <c r="Q4831" s="380"/>
    </row>
    <row r="4832" spans="1:17" x14ac:dyDescent="0.2">
      <c r="A4832" s="391" t="s">
        <v>1958</v>
      </c>
      <c r="B4832" s="380"/>
      <c r="C4832" s="380" t="s">
        <v>33</v>
      </c>
      <c r="D4832" s="377">
        <v>10000</v>
      </c>
      <c r="E4832" s="380"/>
      <c r="F4832" s="378"/>
      <c r="G4832" s="380"/>
      <c r="H4832" s="380"/>
      <c r="I4832" s="399"/>
      <c r="J4832" s="377">
        <v>10000</v>
      </c>
      <c r="K4832" s="380"/>
      <c r="L4832" s="378"/>
      <c r="M4832" s="380"/>
      <c r="N4832" s="380"/>
      <c r="O4832" s="380"/>
      <c r="P4832" s="380"/>
      <c r="Q4832" s="380"/>
    </row>
    <row r="4833" spans="1:17" x14ac:dyDescent="0.2">
      <c r="A4833" s="334" t="s">
        <v>1866</v>
      </c>
      <c r="B4833" s="380"/>
      <c r="C4833" s="334" t="s">
        <v>174</v>
      </c>
      <c r="D4833" s="377">
        <v>40000</v>
      </c>
      <c r="E4833" s="380"/>
      <c r="F4833" s="378"/>
      <c r="G4833" s="380"/>
      <c r="H4833" s="380"/>
      <c r="I4833" s="385"/>
      <c r="J4833" s="377">
        <v>40000</v>
      </c>
      <c r="K4833" s="380"/>
      <c r="L4833" s="378"/>
      <c r="M4833" s="380"/>
      <c r="N4833" s="380"/>
      <c r="O4833" s="380"/>
      <c r="P4833" s="380"/>
      <c r="Q4833" s="380"/>
    </row>
    <row r="4834" spans="1:17" x14ac:dyDescent="0.2">
      <c r="A4834" s="384" t="s">
        <v>1903</v>
      </c>
      <c r="B4834" s="380"/>
      <c r="C4834" s="334" t="s">
        <v>35</v>
      </c>
      <c r="D4834" s="334">
        <v>10000</v>
      </c>
      <c r="E4834" s="380"/>
      <c r="F4834" s="378"/>
      <c r="G4834" s="380"/>
      <c r="H4834" s="380"/>
      <c r="I4834" s="385"/>
      <c r="J4834" s="334">
        <v>10000</v>
      </c>
      <c r="K4834" s="380"/>
      <c r="L4834" s="378"/>
      <c r="M4834" s="380"/>
      <c r="N4834" s="380"/>
      <c r="O4834" s="380"/>
      <c r="P4834" s="380"/>
      <c r="Q4834" s="380"/>
    </row>
    <row r="4835" spans="1:17" x14ac:dyDescent="0.2">
      <c r="A4835" s="391" t="s">
        <v>950</v>
      </c>
      <c r="B4835" s="380"/>
      <c r="C4835" s="392" t="s">
        <v>951</v>
      </c>
      <c r="D4835" s="334">
        <v>10000</v>
      </c>
      <c r="E4835" s="380"/>
      <c r="F4835" s="378"/>
      <c r="G4835" s="380"/>
      <c r="H4835" s="380"/>
      <c r="I4835" s="385"/>
      <c r="J4835" s="334">
        <v>10000</v>
      </c>
      <c r="K4835" s="380"/>
      <c r="L4835" s="378"/>
      <c r="M4835" s="380"/>
      <c r="N4835" s="380"/>
      <c r="O4835" s="380"/>
      <c r="P4835" s="380"/>
      <c r="Q4835" s="380"/>
    </row>
    <row r="4836" spans="1:17" x14ac:dyDescent="0.2">
      <c r="A4836" s="380"/>
      <c r="B4836" s="380"/>
      <c r="C4836" s="380"/>
      <c r="D4836" s="410" t="s">
        <v>342</v>
      </c>
      <c r="E4836" s="380"/>
      <c r="F4836" s="378"/>
      <c r="G4836" s="380"/>
      <c r="H4836" s="380"/>
      <c r="I4836" s="385"/>
      <c r="J4836" s="410" t="s">
        <v>342</v>
      </c>
      <c r="K4836" s="380"/>
      <c r="L4836" s="378"/>
      <c r="M4836" s="380"/>
      <c r="N4836" s="380"/>
      <c r="O4836" s="380"/>
      <c r="P4836" s="380"/>
      <c r="Q4836" s="380"/>
    </row>
    <row r="4837" spans="1:17" x14ac:dyDescent="0.2">
      <c r="A4837" s="380"/>
      <c r="B4837" s="380"/>
      <c r="C4837" s="380"/>
      <c r="D4837" s="334">
        <f>SUM(D4808:D4835)</f>
        <v>280535</v>
      </c>
      <c r="E4837" s="380"/>
      <c r="F4837" s="378"/>
      <c r="G4837" s="380"/>
      <c r="H4837" s="380"/>
      <c r="I4837" s="399"/>
      <c r="J4837" s="334">
        <f>SUM(J4808:J4835)</f>
        <v>224560</v>
      </c>
      <c r="K4837" s="380"/>
      <c r="L4837" s="378"/>
      <c r="M4837" s="380"/>
      <c r="N4837" s="380"/>
      <c r="O4837" s="380"/>
      <c r="P4837" s="380"/>
      <c r="Q4837" s="380"/>
    </row>
    <row r="4838" spans="1:17" ht="15.75" thickTop="1" x14ac:dyDescent="0.2">
      <c r="A4838" s="380"/>
      <c r="B4838" s="380"/>
      <c r="C4838" s="380"/>
      <c r="D4838" s="395">
        <f>D4837-D4808</f>
        <v>94735</v>
      </c>
      <c r="E4838" s="380"/>
      <c r="F4838" s="378"/>
      <c r="G4838" s="380"/>
      <c r="H4838" s="380"/>
      <c r="I4838" s="382"/>
      <c r="J4838" s="395">
        <f>J4837-J4808</f>
        <v>99560</v>
      </c>
      <c r="K4838" s="380"/>
      <c r="L4838" s="378"/>
      <c r="M4838" s="380"/>
      <c r="N4838" s="380"/>
      <c r="O4838" s="380"/>
      <c r="P4838" s="380"/>
      <c r="Q4838" s="380"/>
    </row>
    <row r="4839" spans="1:17" x14ac:dyDescent="0.2">
      <c r="A4839" s="380"/>
      <c r="B4839" s="380"/>
      <c r="C4839" s="380"/>
      <c r="D4839" s="380"/>
      <c r="E4839" s="377"/>
      <c r="F4839" s="378"/>
      <c r="G4839" s="377"/>
      <c r="H4839" s="377"/>
      <c r="I4839" s="399"/>
      <c r="J4839" s="380"/>
      <c r="K4839" s="377"/>
      <c r="L4839" s="378"/>
      <c r="M4839" s="377"/>
      <c r="N4839" s="377"/>
      <c r="O4839" s="380"/>
      <c r="P4839" s="380"/>
      <c r="Q4839" s="380"/>
    </row>
    <row r="4840" spans="1:17" x14ac:dyDescent="0.2">
      <c r="A4840" s="377"/>
      <c r="B4840" s="377"/>
      <c r="C4840" s="377"/>
      <c r="D4840" s="377"/>
      <c r="E4840" s="380"/>
      <c r="F4840" s="378"/>
      <c r="G4840" s="380"/>
      <c r="H4840" s="380"/>
      <c r="I4840" s="382"/>
      <c r="J4840" s="377"/>
      <c r="K4840" s="380"/>
      <c r="L4840" s="378"/>
      <c r="M4840" s="380"/>
      <c r="N4840" s="380"/>
      <c r="O4840" s="380"/>
      <c r="P4840" s="380"/>
      <c r="Q4840" s="380"/>
    </row>
    <row r="4841" spans="1:17" x14ac:dyDescent="0.2">
      <c r="A4841" s="334" t="s">
        <v>195</v>
      </c>
      <c r="B4841" s="380"/>
      <c r="C4841" s="380"/>
      <c r="D4841" s="380"/>
      <c r="E4841" s="380"/>
      <c r="F4841" s="378"/>
      <c r="G4841" s="380"/>
      <c r="H4841" s="380"/>
      <c r="I4841" s="382"/>
      <c r="J4841" s="380"/>
      <c r="K4841" s="380"/>
      <c r="L4841" s="378"/>
      <c r="M4841" s="380"/>
      <c r="N4841" s="380"/>
      <c r="O4841" s="380"/>
      <c r="P4841" s="380"/>
      <c r="Q4841" s="380"/>
    </row>
    <row r="4842" spans="1:17" x14ac:dyDescent="0.2">
      <c r="A4842" s="380"/>
      <c r="B4842" s="380"/>
      <c r="C4842" s="442" t="s">
        <v>2083</v>
      </c>
      <c r="D4842" s="380"/>
      <c r="E4842" s="380"/>
      <c r="F4842" s="378"/>
      <c r="G4842" s="380"/>
      <c r="H4842" s="380"/>
      <c r="I4842" s="382"/>
      <c r="J4842" s="380"/>
      <c r="K4842" s="380"/>
      <c r="L4842" s="378"/>
      <c r="M4842" s="380"/>
      <c r="N4842" s="380"/>
      <c r="O4842" s="380"/>
      <c r="P4842" s="380"/>
      <c r="Q4842" s="380"/>
    </row>
    <row r="4843" spans="1:17" x14ac:dyDescent="0.2">
      <c r="A4843" s="380"/>
      <c r="B4843" s="380"/>
      <c r="C4843" s="380"/>
      <c r="D4843" s="380"/>
      <c r="E4843" s="380"/>
      <c r="F4843" s="378"/>
      <c r="G4843" s="380"/>
      <c r="H4843" s="380"/>
      <c r="I4843" s="382"/>
      <c r="J4843" s="380"/>
      <c r="K4843" s="380"/>
      <c r="L4843" s="378"/>
      <c r="M4843" s="380"/>
      <c r="N4843" s="380"/>
      <c r="O4843" s="380"/>
      <c r="P4843" s="380"/>
      <c r="Q4843" s="380"/>
    </row>
    <row r="4844" spans="1:17" x14ac:dyDescent="0.2">
      <c r="A4844" s="380" t="s">
        <v>1723</v>
      </c>
      <c r="B4844" s="380"/>
      <c r="C4844" s="380" t="s">
        <v>1880</v>
      </c>
      <c r="D4844" s="380" t="s">
        <v>181</v>
      </c>
      <c r="E4844" s="380"/>
      <c r="F4844" s="378"/>
      <c r="G4844" s="380"/>
      <c r="H4844" s="380"/>
      <c r="I4844" s="382"/>
      <c r="J4844" s="380" t="s">
        <v>181</v>
      </c>
      <c r="K4844" s="380"/>
      <c r="L4844" s="378"/>
      <c r="M4844" s="380"/>
      <c r="N4844" s="380"/>
      <c r="O4844" s="380"/>
      <c r="P4844" s="380"/>
      <c r="Q4844" s="380"/>
    </row>
    <row r="4845" spans="1:17" x14ac:dyDescent="0.2">
      <c r="A4845" s="380"/>
      <c r="B4845" s="380"/>
      <c r="C4845" s="380"/>
      <c r="D4845" s="380"/>
      <c r="E4845" s="380"/>
      <c r="F4845" s="378"/>
      <c r="G4845" s="380"/>
      <c r="H4845" s="380"/>
      <c r="I4845" s="399"/>
      <c r="J4845" s="380"/>
      <c r="K4845" s="380"/>
      <c r="L4845" s="378"/>
      <c r="M4845" s="380"/>
      <c r="N4845" s="380"/>
      <c r="O4845" s="380"/>
      <c r="P4845" s="380"/>
      <c r="Q4845" s="380"/>
    </row>
    <row r="4846" spans="1:17" x14ac:dyDescent="0.2">
      <c r="A4846" s="334" t="s">
        <v>1568</v>
      </c>
      <c r="B4846" s="380"/>
      <c r="C4846" s="380" t="s">
        <v>1817</v>
      </c>
      <c r="D4846" s="377"/>
      <c r="E4846" s="380"/>
      <c r="F4846" s="378"/>
      <c r="G4846" s="380"/>
      <c r="H4846" s="380"/>
      <c r="I4846" s="399"/>
      <c r="J4846" s="377"/>
      <c r="K4846" s="380"/>
      <c r="L4846" s="378"/>
      <c r="M4846" s="380"/>
      <c r="N4846" s="380"/>
      <c r="O4846" s="380"/>
      <c r="P4846" s="380"/>
      <c r="Q4846" s="380"/>
    </row>
    <row r="4847" spans="1:17" x14ac:dyDescent="0.2">
      <c r="A4847" s="334" t="s">
        <v>1743</v>
      </c>
      <c r="B4847" s="380"/>
      <c r="C4847" s="334" t="s">
        <v>1886</v>
      </c>
      <c r="D4847" s="377"/>
      <c r="E4847" s="380"/>
      <c r="F4847" s="378"/>
      <c r="G4847" s="380"/>
      <c r="H4847" s="380"/>
      <c r="I4847" s="399"/>
      <c r="J4847" s="377">
        <v>0</v>
      </c>
      <c r="K4847" s="380"/>
      <c r="L4847" s="378"/>
      <c r="M4847" s="380"/>
      <c r="N4847" s="380"/>
      <c r="O4847" s="380"/>
      <c r="P4847" s="380"/>
      <c r="Q4847" s="380"/>
    </row>
    <row r="4848" spans="1:17" x14ac:dyDescent="0.2">
      <c r="A4848" s="334" t="s">
        <v>1724</v>
      </c>
      <c r="B4848" s="380"/>
      <c r="C4848" s="380" t="s">
        <v>1881</v>
      </c>
      <c r="D4848" s="377"/>
      <c r="E4848" s="380"/>
      <c r="F4848" s="378"/>
      <c r="G4848" s="380"/>
      <c r="H4848" s="380"/>
      <c r="I4848" s="399"/>
      <c r="J4848" s="377">
        <v>0</v>
      </c>
      <c r="K4848" s="380"/>
      <c r="L4848" s="378"/>
      <c r="M4848" s="380"/>
      <c r="N4848" s="380"/>
      <c r="O4848" s="380"/>
      <c r="P4848" s="380"/>
      <c r="Q4848" s="380"/>
    </row>
    <row r="4849" spans="1:17" x14ac:dyDescent="0.2">
      <c r="A4849" s="334" t="s">
        <v>1736</v>
      </c>
      <c r="B4849" s="380"/>
      <c r="C4849" s="380" t="s">
        <v>1747</v>
      </c>
      <c r="D4849" s="377"/>
      <c r="E4849" s="380"/>
      <c r="F4849" s="378"/>
      <c r="G4849" s="380"/>
      <c r="H4849" s="380"/>
      <c r="I4849" s="399"/>
      <c r="J4849" s="377">
        <v>0</v>
      </c>
      <c r="K4849" s="380"/>
      <c r="L4849" s="378"/>
      <c r="M4849" s="380"/>
      <c r="N4849" s="380"/>
      <c r="O4849" s="380"/>
      <c r="P4849" s="380"/>
      <c r="Q4849" s="380"/>
    </row>
    <row r="4850" spans="1:17" x14ac:dyDescent="0.2">
      <c r="A4850" s="334" t="s">
        <v>1744</v>
      </c>
      <c r="B4850" s="380"/>
      <c r="C4850" s="334" t="s">
        <v>1254</v>
      </c>
      <c r="D4850" s="377"/>
      <c r="E4850" s="380"/>
      <c r="F4850" s="378"/>
      <c r="G4850" s="380"/>
      <c r="H4850" s="380"/>
      <c r="I4850" s="399"/>
      <c r="J4850" s="377">
        <v>0</v>
      </c>
      <c r="K4850" s="380"/>
      <c r="L4850" s="378"/>
      <c r="M4850" s="380"/>
      <c r="N4850" s="380"/>
      <c r="O4850" s="380"/>
      <c r="P4850" s="380"/>
      <c r="Q4850" s="380"/>
    </row>
    <row r="4851" spans="1:17" x14ac:dyDescent="0.2">
      <c r="A4851" s="334" t="s">
        <v>1575</v>
      </c>
      <c r="B4851" s="380"/>
      <c r="C4851" s="334" t="s">
        <v>1889</v>
      </c>
      <c r="D4851" s="377"/>
      <c r="E4851" s="380"/>
      <c r="F4851" s="378"/>
      <c r="G4851" s="380"/>
      <c r="H4851" s="380"/>
      <c r="I4851" s="399"/>
      <c r="J4851" s="377">
        <v>0</v>
      </c>
      <c r="K4851" s="380"/>
      <c r="L4851" s="378"/>
      <c r="M4851" s="380"/>
      <c r="N4851" s="380"/>
      <c r="O4851" s="380"/>
      <c r="P4851" s="380"/>
      <c r="Q4851" s="380"/>
    </row>
    <row r="4852" spans="1:17" x14ac:dyDescent="0.2">
      <c r="A4852" s="334" t="s">
        <v>1725</v>
      </c>
      <c r="B4852" s="380"/>
      <c r="C4852" s="334" t="s">
        <v>1890</v>
      </c>
      <c r="D4852" s="377"/>
      <c r="E4852" s="380"/>
      <c r="F4852" s="378"/>
      <c r="G4852" s="380"/>
      <c r="H4852" s="380"/>
      <c r="I4852" s="399"/>
      <c r="J4852" s="377">
        <v>0</v>
      </c>
      <c r="K4852" s="380"/>
      <c r="L4852" s="378"/>
      <c r="M4852" s="380"/>
      <c r="N4852" s="380"/>
      <c r="O4852" s="380"/>
      <c r="P4852" s="380"/>
      <c r="Q4852" s="380"/>
    </row>
    <row r="4853" spans="1:17" x14ac:dyDescent="0.2">
      <c r="A4853" s="334" t="s">
        <v>1576</v>
      </c>
      <c r="B4853" s="380"/>
      <c r="C4853" s="334" t="s">
        <v>1590</v>
      </c>
      <c r="D4853" s="377"/>
      <c r="E4853" s="380"/>
      <c r="F4853" s="378"/>
      <c r="G4853" s="380"/>
      <c r="H4853" s="380"/>
      <c r="I4853" s="399"/>
      <c r="J4853" s="377">
        <v>0</v>
      </c>
      <c r="K4853" s="380"/>
      <c r="L4853" s="378"/>
      <c r="M4853" s="380"/>
      <c r="N4853" s="380"/>
      <c r="O4853" s="380"/>
      <c r="P4853" s="380"/>
      <c r="Q4853" s="380"/>
    </row>
    <row r="4854" spans="1:17" x14ac:dyDescent="0.2">
      <c r="A4854" s="334" t="s">
        <v>1565</v>
      </c>
      <c r="B4854" s="380"/>
      <c r="C4854" s="334" t="s">
        <v>1927</v>
      </c>
      <c r="D4854" s="377"/>
      <c r="E4854" s="380"/>
      <c r="F4854" s="378"/>
      <c r="G4854" s="380"/>
      <c r="H4854" s="380"/>
      <c r="I4854" s="399"/>
      <c r="J4854" s="377">
        <v>0</v>
      </c>
      <c r="K4854" s="380"/>
      <c r="L4854" s="378"/>
      <c r="M4854" s="380"/>
      <c r="N4854" s="380"/>
      <c r="O4854" s="380"/>
      <c r="P4854" s="380"/>
      <c r="Q4854" s="380"/>
    </row>
    <row r="4855" spans="1:17" x14ac:dyDescent="0.2">
      <c r="A4855" s="334" t="s">
        <v>1726</v>
      </c>
      <c r="B4855" s="380"/>
      <c r="C4855" s="334" t="s">
        <v>1117</v>
      </c>
      <c r="D4855" s="377"/>
      <c r="E4855" s="380"/>
      <c r="F4855" s="378"/>
      <c r="G4855" s="380"/>
      <c r="H4855" s="380"/>
      <c r="I4855" s="399"/>
      <c r="J4855" s="377">
        <v>0</v>
      </c>
      <c r="K4855" s="380"/>
      <c r="L4855" s="378"/>
      <c r="M4855" s="380"/>
      <c r="N4855" s="380"/>
      <c r="O4855" s="380"/>
      <c r="P4855" s="380"/>
      <c r="Q4855" s="380"/>
    </row>
    <row r="4856" spans="1:17" x14ac:dyDescent="0.2">
      <c r="A4856" s="334" t="s">
        <v>1583</v>
      </c>
      <c r="B4856" s="380"/>
      <c r="C4856" s="334" t="s">
        <v>41</v>
      </c>
      <c r="D4856" s="377"/>
      <c r="E4856" s="380"/>
      <c r="F4856" s="378"/>
      <c r="G4856" s="380"/>
      <c r="H4856" s="380"/>
      <c r="I4856" s="399"/>
      <c r="J4856" s="377">
        <v>0</v>
      </c>
      <c r="K4856" s="380"/>
      <c r="L4856" s="378"/>
      <c r="M4856" s="380"/>
      <c r="N4856" s="380"/>
      <c r="O4856" s="380"/>
      <c r="P4856" s="380"/>
      <c r="Q4856" s="380"/>
    </row>
    <row r="4857" spans="1:17" x14ac:dyDescent="0.2">
      <c r="A4857" s="334" t="s">
        <v>1738</v>
      </c>
      <c r="B4857" s="380"/>
      <c r="C4857" s="334" t="s">
        <v>1591</v>
      </c>
      <c r="D4857" s="377"/>
      <c r="E4857" s="380"/>
      <c r="F4857" s="378"/>
      <c r="G4857" s="380"/>
      <c r="H4857" s="380"/>
      <c r="I4857" s="399"/>
      <c r="J4857" s="377">
        <v>0</v>
      </c>
      <c r="K4857" s="380"/>
      <c r="L4857" s="378"/>
      <c r="M4857" s="380"/>
      <c r="N4857" s="380"/>
      <c r="O4857" s="380"/>
      <c r="P4857" s="380"/>
      <c r="Q4857" s="380"/>
    </row>
    <row r="4858" spans="1:17" x14ac:dyDescent="0.2">
      <c r="A4858" s="334" t="s">
        <v>1729</v>
      </c>
      <c r="B4858" s="380"/>
      <c r="C4858" s="380" t="s">
        <v>1551</v>
      </c>
      <c r="D4858" s="377"/>
      <c r="E4858" s="380"/>
      <c r="F4858" s="378"/>
      <c r="G4858" s="380"/>
      <c r="H4858" s="380"/>
      <c r="I4858" s="399"/>
      <c r="J4858" s="377">
        <v>0</v>
      </c>
      <c r="K4858" s="380"/>
      <c r="L4858" s="378"/>
      <c r="M4858" s="380"/>
      <c r="N4858" s="380"/>
      <c r="O4858" s="380"/>
      <c r="P4858" s="380"/>
      <c r="Q4858" s="380"/>
    </row>
    <row r="4859" spans="1:17" x14ac:dyDescent="0.2">
      <c r="A4859" s="334" t="s">
        <v>1735</v>
      </c>
      <c r="B4859" s="380"/>
      <c r="C4859" s="380" t="s">
        <v>194</v>
      </c>
      <c r="D4859" s="377"/>
      <c r="E4859" s="380"/>
      <c r="F4859" s="378"/>
      <c r="G4859" s="380"/>
      <c r="H4859" s="380"/>
      <c r="I4859" s="399"/>
      <c r="J4859" s="377">
        <v>0</v>
      </c>
      <c r="K4859" s="380"/>
      <c r="L4859" s="378"/>
      <c r="M4859" s="380"/>
      <c r="N4859" s="380"/>
      <c r="O4859" s="380"/>
      <c r="P4859" s="380"/>
      <c r="Q4859" s="380"/>
    </row>
    <row r="4860" spans="1:17" x14ac:dyDescent="0.2">
      <c r="A4860" s="334" t="s">
        <v>1741</v>
      </c>
      <c r="B4860" s="380"/>
      <c r="C4860" s="334" t="s">
        <v>1748</v>
      </c>
      <c r="D4860" s="377"/>
      <c r="E4860" s="380"/>
      <c r="F4860" s="378"/>
      <c r="G4860" s="380"/>
      <c r="H4860" s="380"/>
      <c r="I4860" s="399"/>
      <c r="J4860" s="377">
        <v>0</v>
      </c>
      <c r="K4860" s="380"/>
      <c r="L4860" s="378"/>
      <c r="M4860" s="380"/>
      <c r="N4860" s="380"/>
      <c r="O4860" s="380"/>
      <c r="P4860" s="380"/>
      <c r="Q4860" s="380"/>
    </row>
    <row r="4861" spans="1:17" x14ac:dyDescent="0.2">
      <c r="A4861" s="334" t="s">
        <v>1572</v>
      </c>
      <c r="B4861" s="380"/>
      <c r="C4861" s="334" t="s">
        <v>3134</v>
      </c>
      <c r="D4861" s="377"/>
      <c r="E4861" s="380"/>
      <c r="F4861" s="378"/>
      <c r="G4861" s="380"/>
      <c r="H4861" s="380"/>
      <c r="I4861" s="399"/>
      <c r="J4861" s="377">
        <v>0</v>
      </c>
      <c r="K4861" s="380"/>
      <c r="L4861" s="378"/>
      <c r="M4861" s="380"/>
      <c r="N4861" s="380"/>
      <c r="O4861" s="380"/>
      <c r="P4861" s="380"/>
      <c r="Q4861" s="380"/>
    </row>
    <row r="4862" spans="1:17" x14ac:dyDescent="0.2">
      <c r="A4862" s="334" t="s">
        <v>1730</v>
      </c>
      <c r="B4862" s="380"/>
      <c r="C4862" s="334" t="s">
        <v>1985</v>
      </c>
      <c r="D4862" s="377"/>
      <c r="E4862" s="380"/>
      <c r="F4862" s="378"/>
      <c r="G4862" s="380"/>
      <c r="H4862" s="380"/>
      <c r="I4862" s="399"/>
      <c r="J4862" s="377">
        <v>0</v>
      </c>
      <c r="K4862" s="380"/>
      <c r="L4862" s="378"/>
      <c r="M4862" s="380"/>
      <c r="N4862" s="380"/>
      <c r="O4862" s="380"/>
      <c r="P4862" s="380"/>
      <c r="Q4862" s="380"/>
    </row>
    <row r="4863" spans="1:17" x14ac:dyDescent="0.2">
      <c r="A4863" s="334" t="s">
        <v>1903</v>
      </c>
      <c r="B4863" s="380"/>
      <c r="C4863" s="334" t="s">
        <v>35</v>
      </c>
      <c r="D4863" s="377"/>
      <c r="E4863" s="380"/>
      <c r="F4863" s="378"/>
      <c r="G4863" s="380"/>
      <c r="H4863" s="380"/>
      <c r="I4863" s="399"/>
      <c r="J4863" s="377">
        <v>0</v>
      </c>
      <c r="K4863" s="380"/>
      <c r="L4863" s="378"/>
      <c r="M4863" s="380"/>
      <c r="N4863" s="380"/>
      <c r="O4863" s="380"/>
      <c r="P4863" s="380"/>
      <c r="Q4863" s="380"/>
    </row>
    <row r="4864" spans="1:17" x14ac:dyDescent="0.2">
      <c r="A4864" s="384" t="s">
        <v>1962</v>
      </c>
      <c r="B4864" s="380"/>
      <c r="C4864" s="380" t="s">
        <v>572</v>
      </c>
      <c r="D4864" s="377"/>
      <c r="E4864" s="380"/>
      <c r="F4864" s="378"/>
      <c r="G4864" s="380"/>
      <c r="H4864" s="380"/>
      <c r="I4864" s="385"/>
      <c r="J4864" s="377">
        <v>0</v>
      </c>
      <c r="K4864" s="380"/>
      <c r="L4864" s="378"/>
      <c r="M4864" s="380"/>
      <c r="N4864" s="380"/>
      <c r="O4864" s="380"/>
      <c r="P4864" s="380"/>
      <c r="Q4864" s="380"/>
    </row>
    <row r="4865" spans="1:17" x14ac:dyDescent="0.2">
      <c r="A4865" s="380"/>
      <c r="B4865" s="380"/>
      <c r="C4865" s="380"/>
      <c r="D4865" s="410" t="s">
        <v>342</v>
      </c>
      <c r="E4865" s="380"/>
      <c r="F4865" s="378"/>
      <c r="G4865" s="380"/>
      <c r="H4865" s="380"/>
      <c r="I4865" s="385"/>
      <c r="J4865" s="410" t="s">
        <v>342</v>
      </c>
      <c r="K4865" s="380"/>
      <c r="L4865" s="378"/>
      <c r="M4865" s="380"/>
      <c r="N4865" s="380"/>
      <c r="O4865" s="380"/>
      <c r="P4865" s="380"/>
      <c r="Q4865" s="380"/>
    </row>
    <row r="4866" spans="1:17" x14ac:dyDescent="0.2">
      <c r="A4866" s="380"/>
      <c r="B4866" s="380"/>
      <c r="C4866" s="380"/>
      <c r="D4866" s="334">
        <f>SUM(D4846:D4864)</f>
        <v>0</v>
      </c>
      <c r="E4866" s="380"/>
      <c r="F4866" s="378"/>
      <c r="G4866" s="380"/>
      <c r="H4866" s="380"/>
      <c r="I4866" s="399"/>
      <c r="J4866" s="334">
        <f>SUM(J4846:J4864)</f>
        <v>0</v>
      </c>
      <c r="K4866" s="380"/>
      <c r="L4866" s="378"/>
      <c r="M4866" s="380"/>
      <c r="N4866" s="380"/>
      <c r="O4866" s="380"/>
      <c r="P4866" s="380"/>
      <c r="Q4866" s="380"/>
    </row>
    <row r="4867" spans="1:17" ht="15.75" thickTop="1" x14ac:dyDescent="0.2">
      <c r="A4867" s="380"/>
      <c r="B4867" s="380"/>
      <c r="C4867" s="380"/>
      <c r="D4867" s="395">
        <f>D4866-D4846</f>
        <v>0</v>
      </c>
      <c r="E4867" s="380"/>
      <c r="F4867" s="378"/>
      <c r="G4867" s="380"/>
      <c r="H4867" s="380"/>
      <c r="I4867" s="382"/>
      <c r="J4867" s="395">
        <f>J4866-J4846</f>
        <v>0</v>
      </c>
      <c r="K4867" s="380"/>
      <c r="L4867" s="378"/>
      <c r="M4867" s="380"/>
      <c r="N4867" s="380"/>
      <c r="O4867" s="380"/>
      <c r="P4867" s="380"/>
      <c r="Q4867" s="380"/>
    </row>
    <row r="4868" spans="1:17" x14ac:dyDescent="0.2">
      <c r="A4868" s="380"/>
      <c r="B4868" s="380"/>
      <c r="C4868" s="380"/>
      <c r="D4868" s="380"/>
      <c r="E4868" s="380"/>
      <c r="F4868" s="378"/>
      <c r="G4868" s="380"/>
      <c r="H4868" s="380"/>
      <c r="I4868" s="382"/>
      <c r="J4868" s="380"/>
      <c r="K4868" s="380"/>
      <c r="L4868" s="378"/>
      <c r="M4868" s="380"/>
      <c r="N4868" s="380"/>
      <c r="O4868" s="380"/>
      <c r="P4868" s="380"/>
      <c r="Q4868" s="380"/>
    </row>
    <row r="4869" spans="1:17" x14ac:dyDescent="0.2">
      <c r="A4869" s="380"/>
      <c r="B4869" s="380"/>
      <c r="C4869" s="380"/>
      <c r="D4869" s="380"/>
      <c r="E4869" s="377"/>
      <c r="F4869" s="378"/>
      <c r="G4869" s="377"/>
      <c r="H4869" s="377"/>
      <c r="I4869" s="399"/>
      <c r="J4869" s="380"/>
      <c r="K4869" s="377"/>
      <c r="L4869" s="378"/>
      <c r="M4869" s="377"/>
      <c r="N4869" s="377"/>
      <c r="O4869" s="380"/>
      <c r="P4869" s="380"/>
      <c r="Q4869" s="380"/>
    </row>
    <row r="4870" spans="1:17" x14ac:dyDescent="0.2">
      <c r="A4870" s="377"/>
      <c r="B4870" s="377"/>
      <c r="C4870" s="377"/>
      <c r="D4870" s="377"/>
      <c r="E4870" s="377"/>
      <c r="F4870" s="378"/>
      <c r="G4870" s="377"/>
      <c r="H4870" s="377"/>
      <c r="I4870" s="399"/>
      <c r="J4870" s="377"/>
      <c r="K4870" s="377"/>
      <c r="L4870" s="378"/>
      <c r="M4870" s="377"/>
      <c r="N4870" s="377"/>
      <c r="O4870" s="380"/>
      <c r="P4870" s="380"/>
      <c r="Q4870" s="380"/>
    </row>
    <row r="4871" spans="1:17" x14ac:dyDescent="0.2">
      <c r="A4871" s="377"/>
      <c r="B4871" s="377"/>
      <c r="C4871" s="377"/>
      <c r="D4871" s="377"/>
      <c r="E4871" s="382"/>
      <c r="F4871" s="416"/>
      <c r="G4871" s="382"/>
      <c r="H4871" s="385"/>
      <c r="I4871" s="382"/>
      <c r="J4871" s="377"/>
      <c r="K4871" s="382"/>
      <c r="L4871" s="416"/>
      <c r="M4871" s="382"/>
      <c r="N4871" s="385"/>
      <c r="O4871" s="380"/>
      <c r="P4871" s="380"/>
      <c r="Q4871" s="380"/>
    </row>
    <row r="4872" spans="1:17" x14ac:dyDescent="0.2">
      <c r="A4872" s="334" t="s">
        <v>1867</v>
      </c>
      <c r="B4872" s="380"/>
      <c r="C4872" s="380"/>
      <c r="D4872" s="380"/>
      <c r="E4872" s="382"/>
      <c r="F4872" s="416"/>
      <c r="G4872" s="382"/>
      <c r="H4872" s="382"/>
      <c r="I4872" s="382"/>
      <c r="J4872" s="380"/>
      <c r="K4872" s="382"/>
      <c r="L4872" s="416"/>
      <c r="M4872" s="382"/>
      <c r="N4872" s="382"/>
      <c r="O4872" s="380"/>
      <c r="P4872" s="380"/>
      <c r="Q4872" s="380"/>
    </row>
    <row r="4873" spans="1:17" x14ac:dyDescent="0.2">
      <c r="A4873" s="380"/>
      <c r="B4873" s="380"/>
      <c r="C4873" s="384" t="s">
        <v>2182</v>
      </c>
      <c r="D4873" s="380"/>
      <c r="E4873" s="382"/>
      <c r="F4873" s="416"/>
      <c r="G4873" s="382"/>
      <c r="H4873" s="382"/>
      <c r="I4873" s="382"/>
      <c r="J4873" s="380"/>
      <c r="K4873" s="382"/>
      <c r="L4873" s="416"/>
      <c r="M4873" s="382"/>
      <c r="N4873" s="382"/>
      <c r="O4873" s="380"/>
      <c r="P4873" s="380"/>
      <c r="Q4873" s="380"/>
    </row>
    <row r="4874" spans="1:17" x14ac:dyDescent="0.2">
      <c r="A4874" s="380"/>
      <c r="B4874" s="380"/>
      <c r="C4874" s="380"/>
      <c r="D4874" s="380"/>
      <c r="E4874" s="382"/>
      <c r="F4874" s="416"/>
      <c r="G4874" s="382"/>
      <c r="H4874" s="382"/>
      <c r="I4874" s="382"/>
      <c r="J4874" s="380"/>
      <c r="K4874" s="382"/>
      <c r="L4874" s="416"/>
      <c r="M4874" s="382"/>
      <c r="N4874" s="382"/>
      <c r="O4874" s="380"/>
      <c r="P4874" s="380"/>
      <c r="Q4874" s="380"/>
    </row>
    <row r="4875" spans="1:17" x14ac:dyDescent="0.2">
      <c r="A4875" s="380" t="s">
        <v>1723</v>
      </c>
      <c r="B4875" s="380"/>
      <c r="C4875" s="380" t="s">
        <v>1880</v>
      </c>
      <c r="D4875" s="380" t="s">
        <v>181</v>
      </c>
      <c r="E4875" s="382"/>
      <c r="F4875" s="416"/>
      <c r="G4875" s="382"/>
      <c r="H4875" s="382"/>
      <c r="I4875" s="382"/>
      <c r="J4875" s="380" t="s">
        <v>181</v>
      </c>
      <c r="K4875" s="382"/>
      <c r="L4875" s="416"/>
      <c r="M4875" s="382"/>
      <c r="N4875" s="382"/>
      <c r="O4875" s="380"/>
      <c r="P4875" s="380"/>
      <c r="Q4875" s="380"/>
    </row>
    <row r="4876" spans="1:17" x14ac:dyDescent="0.2">
      <c r="A4876" s="380"/>
      <c r="B4876" s="380"/>
      <c r="C4876" s="380"/>
      <c r="D4876" s="380"/>
      <c r="E4876" s="382"/>
      <c r="F4876" s="416"/>
      <c r="G4876" s="382"/>
      <c r="H4876" s="382"/>
      <c r="I4876" s="399"/>
      <c r="J4876" s="380"/>
      <c r="K4876" s="382"/>
      <c r="L4876" s="416"/>
      <c r="M4876" s="382"/>
      <c r="N4876" s="382"/>
      <c r="O4876" s="380"/>
      <c r="P4876" s="380"/>
      <c r="Q4876" s="380"/>
    </row>
    <row r="4877" spans="1:17" x14ac:dyDescent="0.2">
      <c r="A4877" s="334" t="s">
        <v>1953</v>
      </c>
      <c r="B4877" s="380"/>
      <c r="C4877" s="334" t="s">
        <v>193</v>
      </c>
      <c r="D4877" s="377"/>
      <c r="E4877" s="382"/>
      <c r="F4877" s="416"/>
      <c r="G4877" s="382"/>
      <c r="H4877" s="382"/>
      <c r="I4877" s="399"/>
      <c r="J4877" s="377"/>
      <c r="K4877" s="382"/>
      <c r="L4877" s="416"/>
      <c r="M4877" s="382"/>
      <c r="N4877" s="382"/>
      <c r="O4877" s="380"/>
      <c r="P4877" s="380"/>
      <c r="Q4877" s="380"/>
    </row>
    <row r="4878" spans="1:17" x14ac:dyDescent="0.2">
      <c r="A4878" s="334" t="s">
        <v>1724</v>
      </c>
      <c r="B4878" s="380"/>
      <c r="C4878" s="380" t="s">
        <v>1881</v>
      </c>
      <c r="D4878" s="377"/>
      <c r="E4878" s="382"/>
      <c r="F4878" s="416"/>
      <c r="G4878" s="382"/>
      <c r="H4878" s="382"/>
      <c r="I4878" s="399"/>
      <c r="J4878" s="377"/>
      <c r="K4878" s="382"/>
      <c r="L4878" s="416"/>
      <c r="M4878" s="382"/>
      <c r="N4878" s="382"/>
      <c r="O4878" s="380"/>
      <c r="P4878" s="380"/>
      <c r="Q4878" s="380"/>
    </row>
    <row r="4879" spans="1:17" x14ac:dyDescent="0.2">
      <c r="A4879" s="334" t="s">
        <v>1575</v>
      </c>
      <c r="B4879" s="380"/>
      <c r="C4879" s="334" t="s">
        <v>1889</v>
      </c>
      <c r="D4879" s="377"/>
      <c r="E4879" s="382"/>
      <c r="F4879" s="416"/>
      <c r="G4879" s="382"/>
      <c r="H4879" s="382"/>
      <c r="I4879" s="399"/>
      <c r="J4879" s="377"/>
      <c r="K4879" s="382"/>
      <c r="L4879" s="416"/>
      <c r="M4879" s="382"/>
      <c r="N4879" s="382"/>
      <c r="O4879" s="380"/>
      <c r="P4879" s="380"/>
      <c r="Q4879" s="380"/>
    </row>
    <row r="4880" spans="1:17" x14ac:dyDescent="0.2">
      <c r="A4880" s="334" t="s">
        <v>1725</v>
      </c>
      <c r="B4880" s="380"/>
      <c r="C4880" s="334" t="s">
        <v>1890</v>
      </c>
      <c r="D4880" s="377"/>
      <c r="E4880" s="382"/>
      <c r="F4880" s="416"/>
      <c r="G4880" s="382"/>
      <c r="H4880" s="382"/>
      <c r="I4880" s="399"/>
      <c r="J4880" s="377"/>
      <c r="K4880" s="382"/>
      <c r="L4880" s="416"/>
      <c r="M4880" s="382"/>
      <c r="N4880" s="382"/>
      <c r="O4880" s="380"/>
      <c r="P4880" s="380"/>
      <c r="Q4880" s="380"/>
    </row>
    <row r="4881" spans="1:17" x14ac:dyDescent="0.2">
      <c r="A4881" s="334" t="s">
        <v>1751</v>
      </c>
      <c r="B4881" s="380"/>
      <c r="C4881" s="334" t="s">
        <v>3138</v>
      </c>
      <c r="D4881" s="377"/>
      <c r="E4881" s="382"/>
      <c r="F4881" s="416"/>
      <c r="G4881" s="382"/>
      <c r="H4881" s="382"/>
      <c r="I4881" s="399"/>
      <c r="J4881" s="377"/>
      <c r="K4881" s="382"/>
      <c r="L4881" s="416"/>
      <c r="M4881" s="382"/>
      <c r="N4881" s="382"/>
      <c r="O4881" s="380"/>
      <c r="P4881" s="380"/>
      <c r="Q4881" s="380"/>
    </row>
    <row r="4882" spans="1:17" x14ac:dyDescent="0.2">
      <c r="A4882" s="334" t="s">
        <v>1957</v>
      </c>
      <c r="B4882" s="380"/>
      <c r="C4882" s="334" t="s">
        <v>49</v>
      </c>
      <c r="D4882" s="377"/>
      <c r="E4882" s="382"/>
      <c r="F4882" s="416"/>
      <c r="G4882" s="382"/>
      <c r="H4882" s="382"/>
      <c r="I4882" s="399"/>
      <c r="J4882" s="377"/>
      <c r="K4882" s="382"/>
      <c r="L4882" s="416"/>
      <c r="M4882" s="382"/>
      <c r="N4882" s="382"/>
      <c r="O4882" s="380"/>
      <c r="P4882" s="380"/>
      <c r="Q4882" s="380"/>
    </row>
    <row r="4883" spans="1:17" x14ac:dyDescent="0.2">
      <c r="A4883" s="334" t="s">
        <v>1738</v>
      </c>
      <c r="B4883" s="380"/>
      <c r="C4883" s="334" t="s">
        <v>1591</v>
      </c>
      <c r="D4883" s="377"/>
      <c r="E4883" s="382"/>
      <c r="F4883" s="416"/>
      <c r="G4883" s="382"/>
      <c r="H4883" s="382"/>
      <c r="I4883" s="399"/>
      <c r="J4883" s="377"/>
      <c r="K4883" s="382"/>
      <c r="L4883" s="416"/>
      <c r="M4883" s="382"/>
      <c r="N4883" s="382"/>
      <c r="O4883" s="380"/>
      <c r="P4883" s="380"/>
      <c r="Q4883" s="380"/>
    </row>
    <row r="4884" spans="1:17" x14ac:dyDescent="0.2">
      <c r="A4884" s="384" t="s">
        <v>1728</v>
      </c>
      <c r="B4884" s="380"/>
      <c r="C4884" s="334" t="s">
        <v>310</v>
      </c>
      <c r="D4884" s="377"/>
      <c r="E4884" s="382"/>
      <c r="F4884" s="416"/>
      <c r="G4884" s="382"/>
      <c r="H4884" s="382"/>
      <c r="I4884" s="399"/>
      <c r="J4884" s="377"/>
      <c r="K4884" s="382"/>
      <c r="L4884" s="416"/>
      <c r="M4884" s="382"/>
      <c r="N4884" s="382"/>
      <c r="O4884" s="380"/>
      <c r="P4884" s="380"/>
      <c r="Q4884" s="380"/>
    </row>
    <row r="4885" spans="1:17" x14ac:dyDescent="0.2">
      <c r="A4885" s="384" t="s">
        <v>1754</v>
      </c>
      <c r="B4885" s="380"/>
      <c r="C4885" s="334" t="s">
        <v>1929</v>
      </c>
      <c r="D4885" s="377"/>
      <c r="E4885" s="382"/>
      <c r="F4885" s="416"/>
      <c r="G4885" s="382"/>
      <c r="H4885" s="382"/>
      <c r="I4885" s="399"/>
      <c r="J4885" s="377"/>
      <c r="K4885" s="382"/>
      <c r="L4885" s="416"/>
      <c r="M4885" s="382"/>
      <c r="N4885" s="382"/>
      <c r="O4885" s="380"/>
      <c r="P4885" s="380"/>
      <c r="Q4885" s="380"/>
    </row>
    <row r="4886" spans="1:17" x14ac:dyDescent="0.2">
      <c r="A4886" s="334" t="s">
        <v>1730</v>
      </c>
      <c r="B4886" s="380"/>
      <c r="C4886" s="334" t="s">
        <v>1985</v>
      </c>
      <c r="D4886" s="377"/>
      <c r="E4886" s="385"/>
      <c r="F4886" s="416"/>
      <c r="G4886" s="382"/>
      <c r="H4886" s="385"/>
      <c r="I4886" s="399"/>
      <c r="J4886" s="377"/>
      <c r="K4886" s="385"/>
      <c r="L4886" s="416"/>
      <c r="M4886" s="382"/>
      <c r="N4886" s="385"/>
      <c r="O4886" s="380"/>
      <c r="P4886" s="380"/>
      <c r="Q4886" s="380"/>
    </row>
    <row r="4887" spans="1:17" x14ac:dyDescent="0.2">
      <c r="A4887" s="384" t="s">
        <v>1962</v>
      </c>
      <c r="B4887" s="380"/>
      <c r="C4887" s="380" t="s">
        <v>572</v>
      </c>
      <c r="D4887" s="377"/>
      <c r="E4887" s="385"/>
      <c r="F4887" s="416"/>
      <c r="G4887" s="382"/>
      <c r="H4887" s="385"/>
      <c r="I4887" s="385"/>
      <c r="J4887" s="377"/>
      <c r="K4887" s="385"/>
      <c r="L4887" s="416"/>
      <c r="M4887" s="382"/>
      <c r="N4887" s="385"/>
      <c r="O4887" s="380"/>
      <c r="P4887" s="380"/>
      <c r="Q4887" s="380"/>
    </row>
    <row r="4888" spans="1:17" x14ac:dyDescent="0.2">
      <c r="A4888" s="380"/>
      <c r="B4888" s="380"/>
      <c r="C4888" s="380"/>
      <c r="D4888" s="410" t="s">
        <v>342</v>
      </c>
      <c r="E4888" s="385"/>
      <c r="F4888" s="416"/>
      <c r="G4888" s="382"/>
      <c r="H4888" s="385"/>
      <c r="I4888" s="385"/>
      <c r="J4888" s="410" t="s">
        <v>342</v>
      </c>
      <c r="K4888" s="385"/>
      <c r="L4888" s="416"/>
      <c r="M4888" s="382"/>
      <c r="N4888" s="385"/>
      <c r="O4888" s="380"/>
      <c r="P4888" s="380"/>
      <c r="Q4888" s="380"/>
    </row>
    <row r="4889" spans="1:17" x14ac:dyDescent="0.2">
      <c r="A4889" s="380"/>
      <c r="B4889" s="380"/>
      <c r="C4889" s="380"/>
      <c r="D4889" s="334">
        <f>SUM(D4877:D4887)</f>
        <v>0</v>
      </c>
      <c r="E4889" s="399"/>
      <c r="F4889" s="416"/>
      <c r="G4889" s="382"/>
      <c r="H4889" s="399"/>
      <c r="I4889" s="399"/>
      <c r="J4889" s="334">
        <f>SUM(J4877:J4887)</f>
        <v>0</v>
      </c>
      <c r="K4889" s="399"/>
      <c r="L4889" s="416"/>
      <c r="M4889" s="382"/>
      <c r="N4889" s="399"/>
      <c r="O4889" s="380"/>
      <c r="P4889" s="380"/>
      <c r="Q4889" s="380"/>
    </row>
    <row r="4890" spans="1:17" ht="15.75" thickTop="1" x14ac:dyDescent="0.2">
      <c r="A4890" s="380"/>
      <c r="B4890" s="380"/>
      <c r="C4890" s="380"/>
      <c r="D4890" s="395">
        <f>D4889</f>
        <v>0</v>
      </c>
      <c r="E4890" s="399"/>
      <c r="F4890" s="416"/>
      <c r="G4890" s="382"/>
      <c r="H4890" s="399"/>
      <c r="I4890" s="399"/>
      <c r="J4890" s="395">
        <f>J4889</f>
        <v>0</v>
      </c>
      <c r="K4890" s="399"/>
      <c r="L4890" s="416"/>
      <c r="M4890" s="382"/>
      <c r="N4890" s="399"/>
      <c r="O4890" s="380"/>
      <c r="P4890" s="380"/>
      <c r="Q4890" s="380"/>
    </row>
    <row r="4891" spans="1:17" ht="15.75" thickTop="1" x14ac:dyDescent="0.2">
      <c r="A4891" s="380"/>
      <c r="B4891" s="380"/>
      <c r="C4891" s="380"/>
      <c r="D4891" s="395"/>
      <c r="E4891" s="399"/>
      <c r="F4891" s="416"/>
      <c r="G4891" s="382"/>
      <c r="H4891" s="399"/>
      <c r="I4891" s="399"/>
      <c r="J4891" s="395"/>
      <c r="K4891" s="399"/>
      <c r="L4891" s="416"/>
      <c r="M4891" s="382"/>
      <c r="N4891" s="399"/>
      <c r="O4891" s="380"/>
      <c r="P4891" s="380"/>
      <c r="Q4891" s="380"/>
    </row>
    <row r="4892" spans="1:17" x14ac:dyDescent="0.2">
      <c r="A4892" s="380"/>
      <c r="B4892" s="380"/>
      <c r="C4892" s="380"/>
      <c r="D4892" s="399"/>
      <c r="E4892" s="399"/>
      <c r="F4892" s="416"/>
      <c r="G4892" s="382"/>
      <c r="H4892" s="399"/>
      <c r="I4892" s="382"/>
      <c r="J4892" s="399"/>
      <c r="K4892" s="399"/>
      <c r="L4892" s="416"/>
      <c r="M4892" s="382"/>
      <c r="N4892" s="399"/>
      <c r="O4892" s="380"/>
      <c r="P4892" s="380"/>
      <c r="Q4892" s="380"/>
    </row>
    <row r="4893" spans="1:17" x14ac:dyDescent="0.2">
      <c r="A4893" s="334" t="s">
        <v>1262</v>
      </c>
      <c r="B4893" s="380"/>
      <c r="C4893" s="380"/>
      <c r="D4893" s="380"/>
      <c r="E4893" s="399"/>
      <c r="F4893" s="416"/>
      <c r="G4893" s="382"/>
      <c r="H4893" s="399"/>
      <c r="I4893" s="382"/>
      <c r="J4893" s="380"/>
      <c r="K4893" s="399"/>
      <c r="L4893" s="416"/>
      <c r="M4893" s="382"/>
      <c r="N4893" s="399"/>
      <c r="O4893" s="380"/>
      <c r="P4893" s="380"/>
      <c r="Q4893" s="380"/>
    </row>
    <row r="4894" spans="1:17" x14ac:dyDescent="0.2">
      <c r="A4894" s="380"/>
      <c r="B4894" s="380"/>
      <c r="C4894" s="384" t="s">
        <v>2183</v>
      </c>
      <c r="D4894" s="380"/>
      <c r="E4894" s="399"/>
      <c r="F4894" s="416"/>
      <c r="G4894" s="382"/>
      <c r="H4894" s="399"/>
      <c r="I4894" s="382"/>
      <c r="J4894" s="380"/>
      <c r="K4894" s="399"/>
      <c r="L4894" s="416"/>
      <c r="M4894" s="382"/>
      <c r="N4894" s="399"/>
      <c r="O4894" s="380"/>
      <c r="P4894" s="380"/>
      <c r="Q4894" s="380"/>
    </row>
    <row r="4895" spans="1:17" x14ac:dyDescent="0.2">
      <c r="A4895" s="380"/>
      <c r="B4895" s="380"/>
      <c r="C4895" s="380"/>
      <c r="D4895" s="380"/>
      <c r="E4895" s="399"/>
      <c r="F4895" s="416"/>
      <c r="G4895" s="382"/>
      <c r="H4895" s="399"/>
      <c r="I4895" s="382"/>
      <c r="J4895" s="380"/>
      <c r="K4895" s="399"/>
      <c r="L4895" s="416"/>
      <c r="M4895" s="382"/>
      <c r="N4895" s="399"/>
      <c r="O4895" s="380"/>
      <c r="P4895" s="380"/>
      <c r="Q4895" s="380"/>
    </row>
    <row r="4896" spans="1:17" x14ac:dyDescent="0.2">
      <c r="A4896" s="380" t="s">
        <v>1723</v>
      </c>
      <c r="B4896" s="380"/>
      <c r="C4896" s="380" t="s">
        <v>1880</v>
      </c>
      <c r="D4896" s="380" t="s">
        <v>181</v>
      </c>
      <c r="E4896" s="399"/>
      <c r="F4896" s="416"/>
      <c r="G4896" s="382"/>
      <c r="H4896" s="399"/>
      <c r="I4896" s="382"/>
      <c r="J4896" s="380" t="s">
        <v>181</v>
      </c>
      <c r="K4896" s="399"/>
      <c r="L4896" s="416"/>
      <c r="M4896" s="382"/>
      <c r="N4896" s="399"/>
      <c r="O4896" s="380"/>
      <c r="P4896" s="380"/>
      <c r="Q4896" s="380"/>
    </row>
    <row r="4897" spans="1:17" x14ac:dyDescent="0.2">
      <c r="A4897" s="380"/>
      <c r="B4897" s="380"/>
      <c r="C4897" s="380"/>
      <c r="D4897" s="380"/>
      <c r="E4897" s="399"/>
      <c r="F4897" s="416"/>
      <c r="G4897" s="382"/>
      <c r="H4897" s="399"/>
      <c r="I4897" s="399"/>
      <c r="J4897" s="380"/>
      <c r="K4897" s="399"/>
      <c r="L4897" s="416"/>
      <c r="M4897" s="382"/>
      <c r="N4897" s="399"/>
      <c r="O4897" s="380"/>
      <c r="P4897" s="380"/>
      <c r="Q4897" s="380"/>
    </row>
    <row r="4898" spans="1:17" x14ac:dyDescent="0.2">
      <c r="A4898" s="334" t="s">
        <v>1953</v>
      </c>
      <c r="B4898" s="380"/>
      <c r="C4898" s="334" t="s">
        <v>193</v>
      </c>
      <c r="D4898" s="377">
        <v>20000</v>
      </c>
      <c r="E4898" s="399"/>
      <c r="F4898" s="416"/>
      <c r="G4898" s="382"/>
      <c r="H4898" s="399"/>
      <c r="I4898" s="399"/>
      <c r="J4898" s="377">
        <v>20411.5</v>
      </c>
      <c r="K4898" s="399"/>
      <c r="L4898" s="416"/>
      <c r="M4898" s="382"/>
      <c r="N4898" s="399"/>
      <c r="O4898" s="380"/>
      <c r="P4898" s="380"/>
      <c r="Q4898" s="380"/>
    </row>
    <row r="4899" spans="1:17" x14ac:dyDescent="0.2">
      <c r="A4899" s="334" t="s">
        <v>1724</v>
      </c>
      <c r="B4899" s="380"/>
      <c r="C4899" s="380" t="s">
        <v>1881</v>
      </c>
      <c r="D4899" s="377">
        <v>9000</v>
      </c>
      <c r="E4899" s="399"/>
      <c r="F4899" s="416"/>
      <c r="G4899" s="382"/>
      <c r="H4899" s="399"/>
      <c r="I4899" s="399"/>
      <c r="J4899" s="377">
        <v>9000</v>
      </c>
      <c r="K4899" s="399"/>
      <c r="L4899" s="416"/>
      <c r="M4899" s="382"/>
      <c r="N4899" s="399"/>
      <c r="O4899" s="380"/>
      <c r="P4899" s="380"/>
      <c r="Q4899" s="380"/>
    </row>
    <row r="4900" spans="1:17" x14ac:dyDescent="0.2">
      <c r="A4900" s="334" t="s">
        <v>1725</v>
      </c>
      <c r="B4900" s="380"/>
      <c r="C4900" s="334" t="s">
        <v>1890</v>
      </c>
      <c r="D4900" s="377">
        <v>200</v>
      </c>
      <c r="E4900" s="399"/>
      <c r="F4900" s="416"/>
      <c r="G4900" s="382"/>
      <c r="H4900" s="399"/>
      <c r="I4900" s="399"/>
      <c r="J4900" s="377">
        <v>1000</v>
      </c>
      <c r="K4900" s="399"/>
      <c r="L4900" s="416"/>
      <c r="M4900" s="382"/>
      <c r="N4900" s="399"/>
      <c r="O4900" s="380"/>
      <c r="P4900" s="380"/>
      <c r="Q4900" s="380"/>
    </row>
    <row r="4901" spans="1:17" x14ac:dyDescent="0.2">
      <c r="A4901" s="334" t="s">
        <v>1576</v>
      </c>
      <c r="B4901" s="380"/>
      <c r="C4901" s="334" t="s">
        <v>1590</v>
      </c>
      <c r="D4901" s="377">
        <v>200</v>
      </c>
      <c r="E4901" s="399"/>
      <c r="F4901" s="416"/>
      <c r="G4901" s="382"/>
      <c r="H4901" s="399"/>
      <c r="I4901" s="399"/>
      <c r="J4901" s="377">
        <v>200</v>
      </c>
      <c r="K4901" s="399"/>
      <c r="L4901" s="416"/>
      <c r="M4901" s="382"/>
      <c r="N4901" s="399"/>
      <c r="O4901" s="380"/>
      <c r="P4901" s="380"/>
      <c r="Q4901" s="380"/>
    </row>
    <row r="4902" spans="1:17" x14ac:dyDescent="0.2">
      <c r="A4902" s="334" t="s">
        <v>1737</v>
      </c>
      <c r="B4902" s="380"/>
      <c r="C4902" s="334" t="s">
        <v>1984</v>
      </c>
      <c r="D4902" s="377"/>
      <c r="E4902" s="399"/>
      <c r="F4902" s="416"/>
      <c r="G4902" s="382"/>
      <c r="H4902" s="399"/>
      <c r="I4902" s="399"/>
      <c r="J4902" s="377"/>
      <c r="K4902" s="399"/>
      <c r="L4902" s="416"/>
      <c r="M4902" s="382"/>
      <c r="N4902" s="399"/>
      <c r="O4902" s="380"/>
      <c r="P4902" s="380"/>
      <c r="Q4902" s="380"/>
    </row>
    <row r="4903" spans="1:17" x14ac:dyDescent="0.2">
      <c r="A4903" s="334" t="s">
        <v>1751</v>
      </c>
      <c r="B4903" s="380"/>
      <c r="C4903" s="334" t="s">
        <v>3138</v>
      </c>
      <c r="D4903" s="377">
        <v>2000</v>
      </c>
      <c r="E4903" s="399"/>
      <c r="F4903" s="416"/>
      <c r="G4903" s="382"/>
      <c r="H4903" s="399"/>
      <c r="I4903" s="399"/>
      <c r="J4903" s="377">
        <v>1000</v>
      </c>
      <c r="K4903" s="399"/>
      <c r="L4903" s="416"/>
      <c r="M4903" s="382"/>
      <c r="N4903" s="399"/>
      <c r="O4903" s="380"/>
      <c r="P4903" s="380"/>
      <c r="Q4903" s="380"/>
    </row>
    <row r="4904" spans="1:17" x14ac:dyDescent="0.2">
      <c r="A4904" s="384" t="s">
        <v>1760</v>
      </c>
      <c r="B4904" s="380"/>
      <c r="C4904" s="334" t="s">
        <v>40</v>
      </c>
      <c r="D4904" s="377"/>
      <c r="E4904" s="399"/>
      <c r="F4904" s="416"/>
      <c r="G4904" s="382"/>
      <c r="H4904" s="399"/>
      <c r="I4904" s="399"/>
      <c r="J4904" s="377"/>
      <c r="K4904" s="399"/>
      <c r="L4904" s="416"/>
      <c r="M4904" s="382"/>
      <c r="N4904" s="399"/>
      <c r="O4904" s="380"/>
      <c r="P4904" s="380"/>
      <c r="Q4904" s="380"/>
    </row>
    <row r="4905" spans="1:17" x14ac:dyDescent="0.2">
      <c r="A4905" s="334" t="s">
        <v>1957</v>
      </c>
      <c r="B4905" s="380"/>
      <c r="C4905" s="334" t="s">
        <v>49</v>
      </c>
      <c r="D4905" s="377">
        <v>10000</v>
      </c>
      <c r="E4905" s="399"/>
      <c r="F4905" s="416"/>
      <c r="G4905" s="382"/>
      <c r="H4905" s="399"/>
      <c r="I4905" s="399"/>
      <c r="J4905" s="377">
        <v>10000</v>
      </c>
      <c r="K4905" s="399"/>
      <c r="L4905" s="416"/>
      <c r="M4905" s="382"/>
      <c r="N4905" s="399"/>
      <c r="O4905" s="380"/>
      <c r="P4905" s="380"/>
      <c r="Q4905" s="380"/>
    </row>
    <row r="4906" spans="1:17" x14ac:dyDescent="0.2">
      <c r="A4906" s="384" t="s">
        <v>1952</v>
      </c>
      <c r="B4906" s="380"/>
      <c r="C4906" s="334" t="s">
        <v>1251</v>
      </c>
      <c r="D4906" s="377">
        <v>2000</v>
      </c>
      <c r="E4906" s="399"/>
      <c r="F4906" s="416"/>
      <c r="G4906" s="382"/>
      <c r="H4906" s="399"/>
      <c r="I4906" s="399"/>
      <c r="J4906" s="377">
        <v>1000</v>
      </c>
      <c r="K4906" s="399"/>
      <c r="L4906" s="416"/>
      <c r="M4906" s="382"/>
      <c r="N4906" s="399"/>
      <c r="O4906" s="380"/>
      <c r="P4906" s="380"/>
      <c r="Q4906" s="380"/>
    </row>
    <row r="4907" spans="1:17" x14ac:dyDescent="0.2">
      <c r="A4907" s="334" t="s">
        <v>1738</v>
      </c>
      <c r="B4907" s="380"/>
      <c r="C4907" s="334" t="s">
        <v>1591</v>
      </c>
      <c r="D4907" s="377"/>
      <c r="E4907" s="399"/>
      <c r="F4907" s="416"/>
      <c r="G4907" s="382"/>
      <c r="H4907" s="399"/>
      <c r="I4907" s="399"/>
      <c r="J4907" s="377"/>
      <c r="K4907" s="399"/>
      <c r="L4907" s="416"/>
      <c r="M4907" s="382"/>
      <c r="N4907" s="399"/>
      <c r="O4907" s="380"/>
      <c r="P4907" s="380"/>
      <c r="Q4907" s="380"/>
    </row>
    <row r="4908" spans="1:17" x14ac:dyDescent="0.2">
      <c r="A4908" s="384" t="s">
        <v>1727</v>
      </c>
      <c r="B4908" s="380"/>
      <c r="C4908" s="334" t="s">
        <v>307</v>
      </c>
      <c r="D4908" s="377"/>
      <c r="E4908" s="399"/>
      <c r="F4908" s="416"/>
      <c r="G4908" s="382"/>
      <c r="H4908" s="399"/>
      <c r="I4908" s="399"/>
      <c r="J4908" s="377"/>
      <c r="K4908" s="399"/>
      <c r="L4908" s="416"/>
      <c r="M4908" s="382"/>
      <c r="N4908" s="399"/>
      <c r="O4908" s="380"/>
      <c r="P4908" s="380"/>
      <c r="Q4908" s="380"/>
    </row>
    <row r="4909" spans="1:17" x14ac:dyDescent="0.2">
      <c r="A4909" s="334" t="s">
        <v>1728</v>
      </c>
      <c r="B4909" s="380"/>
      <c r="C4909" s="334" t="s">
        <v>310</v>
      </c>
      <c r="D4909" s="377">
        <v>100</v>
      </c>
      <c r="E4909" s="399"/>
      <c r="F4909" s="416"/>
      <c r="G4909" s="382"/>
      <c r="H4909" s="399"/>
      <c r="I4909" s="399"/>
      <c r="J4909" s="377"/>
      <c r="K4909" s="399"/>
      <c r="L4909" s="416"/>
      <c r="M4909" s="382"/>
      <c r="N4909" s="399"/>
      <c r="O4909" s="380"/>
      <c r="P4909" s="380"/>
      <c r="Q4909" s="380"/>
    </row>
    <row r="4910" spans="1:17" x14ac:dyDescent="0.2">
      <c r="A4910" s="384" t="s">
        <v>1729</v>
      </c>
      <c r="B4910" s="380"/>
      <c r="C4910" s="380" t="s">
        <v>1551</v>
      </c>
      <c r="D4910" s="377">
        <v>-31075</v>
      </c>
      <c r="E4910" s="399"/>
      <c r="F4910" s="416"/>
      <c r="G4910" s="382"/>
      <c r="H4910" s="399"/>
      <c r="I4910" s="399"/>
      <c r="J4910" s="377"/>
      <c r="K4910" s="399"/>
      <c r="L4910" s="416"/>
      <c r="M4910" s="382"/>
      <c r="N4910" s="399"/>
      <c r="O4910" s="380"/>
      <c r="P4910" s="380"/>
      <c r="Q4910" s="380"/>
    </row>
    <row r="4911" spans="1:17" x14ac:dyDescent="0.2">
      <c r="A4911" s="403" t="s">
        <v>1741</v>
      </c>
      <c r="B4911" s="380"/>
      <c r="C4911" s="334" t="s">
        <v>1748</v>
      </c>
      <c r="D4911" s="377">
        <v>250</v>
      </c>
      <c r="E4911" s="399"/>
      <c r="F4911" s="416"/>
      <c r="G4911" s="382"/>
      <c r="H4911" s="399"/>
      <c r="I4911" s="399"/>
      <c r="J4911" s="377">
        <v>100</v>
      </c>
      <c r="K4911" s="399"/>
      <c r="L4911" s="416"/>
      <c r="M4911" s="382"/>
      <c r="N4911" s="399"/>
      <c r="O4911" s="380"/>
      <c r="P4911" s="380"/>
      <c r="Q4911" s="380"/>
    </row>
    <row r="4912" spans="1:17" x14ac:dyDescent="0.2">
      <c r="A4912" s="384" t="s">
        <v>1735</v>
      </c>
      <c r="B4912" s="380"/>
      <c r="C4912" s="380" t="s">
        <v>194</v>
      </c>
      <c r="D4912" s="377"/>
      <c r="E4912" s="399"/>
      <c r="F4912" s="416"/>
      <c r="G4912" s="382"/>
      <c r="H4912" s="399"/>
      <c r="I4912" s="399"/>
      <c r="J4912" s="377"/>
      <c r="K4912" s="399"/>
      <c r="L4912" s="416"/>
      <c r="M4912" s="382"/>
      <c r="N4912" s="399"/>
      <c r="O4912" s="380"/>
      <c r="P4912" s="380"/>
      <c r="Q4912" s="380"/>
    </row>
    <row r="4913" spans="1:17" x14ac:dyDescent="0.2">
      <c r="A4913" s="384" t="s">
        <v>1754</v>
      </c>
      <c r="B4913" s="380"/>
      <c r="C4913" s="334" t="s">
        <v>1929</v>
      </c>
      <c r="D4913" s="377"/>
      <c r="E4913" s="399"/>
      <c r="F4913" s="416"/>
      <c r="G4913" s="382"/>
      <c r="H4913" s="399"/>
      <c r="I4913" s="399"/>
      <c r="J4913" s="377"/>
      <c r="K4913" s="399"/>
      <c r="L4913" s="416"/>
      <c r="M4913" s="382"/>
      <c r="N4913" s="399"/>
      <c r="O4913" s="380"/>
      <c r="P4913" s="380"/>
      <c r="Q4913" s="380"/>
    </row>
    <row r="4914" spans="1:17" x14ac:dyDescent="0.2">
      <c r="A4914" s="334" t="s">
        <v>1730</v>
      </c>
      <c r="B4914" s="380"/>
      <c r="C4914" s="334" t="s">
        <v>1985</v>
      </c>
      <c r="D4914" s="377">
        <v>4500</v>
      </c>
      <c r="E4914" s="399"/>
      <c r="F4914" s="416"/>
      <c r="G4914" s="382"/>
      <c r="H4914" s="399"/>
      <c r="I4914" s="399"/>
      <c r="J4914" s="377">
        <v>6500</v>
      </c>
      <c r="K4914" s="399"/>
      <c r="L4914" s="416"/>
      <c r="M4914" s="382"/>
      <c r="N4914" s="399"/>
      <c r="O4914" s="380"/>
      <c r="P4914" s="380"/>
      <c r="Q4914" s="380"/>
    </row>
    <row r="4915" spans="1:17" x14ac:dyDescent="0.2">
      <c r="A4915" s="334" t="s">
        <v>1566</v>
      </c>
      <c r="B4915" s="380"/>
      <c r="C4915" s="334" t="s">
        <v>366</v>
      </c>
      <c r="D4915" s="377"/>
      <c r="E4915" s="399"/>
      <c r="F4915" s="416"/>
      <c r="G4915" s="382"/>
      <c r="H4915" s="399"/>
      <c r="I4915" s="399"/>
      <c r="J4915" s="377"/>
      <c r="K4915" s="399"/>
      <c r="L4915" s="416"/>
      <c r="M4915" s="382"/>
      <c r="N4915" s="399"/>
      <c r="O4915" s="380"/>
      <c r="P4915" s="380"/>
      <c r="Q4915" s="380"/>
    </row>
    <row r="4916" spans="1:17" x14ac:dyDescent="0.2">
      <c r="A4916" s="334" t="s">
        <v>1588</v>
      </c>
      <c r="B4916" s="380"/>
      <c r="C4916" s="334" t="s">
        <v>191</v>
      </c>
      <c r="D4916" s="377"/>
      <c r="E4916" s="399"/>
      <c r="F4916" s="416"/>
      <c r="G4916" s="382"/>
      <c r="H4916" s="399"/>
      <c r="I4916" s="399"/>
      <c r="J4916" s="377"/>
      <c r="K4916" s="399"/>
      <c r="L4916" s="416"/>
      <c r="M4916" s="382"/>
      <c r="N4916" s="399"/>
      <c r="O4916" s="380"/>
      <c r="P4916" s="380"/>
      <c r="Q4916" s="380"/>
    </row>
    <row r="4917" spans="1:17" x14ac:dyDescent="0.2">
      <c r="A4917" s="403" t="s">
        <v>1946</v>
      </c>
      <c r="B4917" s="380"/>
      <c r="C4917" s="392" t="s">
        <v>931</v>
      </c>
      <c r="D4917" s="377">
        <v>2500</v>
      </c>
      <c r="E4917" s="399"/>
      <c r="F4917" s="416"/>
      <c r="G4917" s="382"/>
      <c r="H4917" s="399"/>
      <c r="I4917" s="399"/>
      <c r="J4917" s="377">
        <v>1850</v>
      </c>
      <c r="K4917" s="399"/>
      <c r="L4917" s="416"/>
      <c r="M4917" s="382"/>
      <c r="N4917" s="399"/>
      <c r="O4917" s="380"/>
      <c r="P4917" s="380"/>
      <c r="Q4917" s="380"/>
    </row>
    <row r="4918" spans="1:17" x14ac:dyDescent="0.2">
      <c r="A4918" s="384" t="s">
        <v>1903</v>
      </c>
      <c r="B4918" s="380"/>
      <c r="C4918" s="334" t="s">
        <v>35</v>
      </c>
      <c r="D4918" s="377">
        <v>260000</v>
      </c>
      <c r="E4918" s="399"/>
      <c r="F4918" s="416"/>
      <c r="G4918" s="382"/>
      <c r="H4918" s="399"/>
      <c r="I4918" s="385"/>
      <c r="J4918" s="377"/>
      <c r="K4918" s="399"/>
      <c r="L4918" s="416"/>
      <c r="M4918" s="382"/>
      <c r="N4918" s="399"/>
      <c r="O4918" s="380"/>
      <c r="P4918" s="380"/>
      <c r="Q4918" s="380"/>
    </row>
    <row r="4919" spans="1:17" x14ac:dyDescent="0.2">
      <c r="A4919" s="380"/>
      <c r="B4919" s="380"/>
      <c r="C4919" s="380"/>
      <c r="D4919" s="410" t="s">
        <v>342</v>
      </c>
      <c r="E4919" s="399"/>
      <c r="F4919" s="416"/>
      <c r="G4919" s="382"/>
      <c r="H4919" s="399"/>
      <c r="I4919" s="385"/>
      <c r="J4919" s="410" t="s">
        <v>342</v>
      </c>
      <c r="K4919" s="399"/>
      <c r="L4919" s="416"/>
      <c r="M4919" s="382"/>
      <c r="N4919" s="399"/>
      <c r="O4919" s="380"/>
      <c r="P4919" s="380"/>
      <c r="Q4919" s="380"/>
    </row>
    <row r="4920" spans="1:17" x14ac:dyDescent="0.2">
      <c r="A4920" s="380"/>
      <c r="B4920" s="380"/>
      <c r="C4920" s="380"/>
      <c r="D4920" s="334">
        <f>SUM(D4898:D4918)</f>
        <v>279675</v>
      </c>
      <c r="E4920" s="399"/>
      <c r="F4920" s="416"/>
      <c r="G4920" s="382"/>
      <c r="H4920" s="399"/>
      <c r="I4920" s="399"/>
      <c r="J4920" s="334">
        <f>SUM(J4898:J4918)</f>
        <v>51061.5</v>
      </c>
      <c r="K4920" s="399"/>
      <c r="L4920" s="416"/>
      <c r="M4920" s="382"/>
      <c r="N4920" s="399"/>
      <c r="O4920" s="380"/>
      <c r="P4920" s="380"/>
      <c r="Q4920" s="380"/>
    </row>
    <row r="4921" spans="1:17" ht="15.75" thickTop="1" x14ac:dyDescent="0.2">
      <c r="A4921" s="380"/>
      <c r="B4921" s="380"/>
      <c r="C4921" s="380"/>
      <c r="D4921" s="395">
        <f>D4920</f>
        <v>279675</v>
      </c>
      <c r="E4921" s="399"/>
      <c r="F4921" s="416"/>
      <c r="G4921" s="382"/>
      <c r="H4921" s="399"/>
      <c r="I4921" s="399"/>
      <c r="J4921" s="395">
        <f>J4920</f>
        <v>51061.5</v>
      </c>
      <c r="K4921" s="399"/>
      <c r="L4921" s="416"/>
      <c r="M4921" s="382"/>
      <c r="N4921" s="399"/>
      <c r="O4921" s="380"/>
      <c r="P4921" s="380"/>
      <c r="Q4921" s="380"/>
    </row>
    <row r="4922" spans="1:17" x14ac:dyDescent="0.2">
      <c r="A4922" s="380"/>
      <c r="B4922" s="380"/>
      <c r="C4922" s="380"/>
      <c r="D4922" s="399"/>
      <c r="E4922" s="399"/>
      <c r="F4922" s="416"/>
      <c r="G4922" s="382"/>
      <c r="H4922" s="399"/>
      <c r="I4922" s="399"/>
      <c r="J4922" s="399"/>
      <c r="K4922" s="399"/>
      <c r="L4922" s="416"/>
      <c r="M4922" s="382"/>
      <c r="N4922" s="399"/>
      <c r="O4922" s="380"/>
      <c r="P4922" s="380"/>
      <c r="Q4922" s="380"/>
    </row>
    <row r="4923" spans="1:17" x14ac:dyDescent="0.2">
      <c r="A4923" s="380"/>
      <c r="B4923" s="380"/>
      <c r="C4923" s="380"/>
      <c r="D4923" s="399"/>
      <c r="E4923" s="399"/>
      <c r="F4923" s="416"/>
      <c r="G4923" s="382"/>
      <c r="H4923" s="399"/>
      <c r="I4923" s="399"/>
      <c r="J4923" s="399"/>
      <c r="K4923" s="399"/>
      <c r="L4923" s="416"/>
      <c r="M4923" s="382"/>
      <c r="N4923" s="399"/>
      <c r="O4923" s="380"/>
      <c r="P4923" s="380"/>
      <c r="Q4923" s="380"/>
    </row>
    <row r="4924" spans="1:17" x14ac:dyDescent="0.2">
      <c r="A4924" s="380"/>
      <c r="B4924" s="380"/>
      <c r="C4924" s="380"/>
      <c r="D4924" s="399"/>
      <c r="E4924" s="399"/>
      <c r="F4924" s="416"/>
      <c r="G4924" s="382"/>
      <c r="H4924" s="399"/>
      <c r="I4924" s="399"/>
      <c r="J4924" s="399"/>
      <c r="K4924" s="399"/>
      <c r="L4924" s="416"/>
      <c r="M4924" s="382"/>
      <c r="N4924" s="399"/>
      <c r="O4924" s="380"/>
      <c r="P4924" s="380"/>
      <c r="Q4924" s="380"/>
    </row>
    <row r="4925" spans="1:17" x14ac:dyDescent="0.2">
      <c r="A4925" s="380"/>
      <c r="B4925" s="380"/>
      <c r="C4925" s="380"/>
      <c r="D4925" s="399"/>
      <c r="E4925" s="399"/>
      <c r="F4925" s="416"/>
      <c r="G4925" s="382"/>
      <c r="H4925" s="399"/>
      <c r="I4925" s="382"/>
      <c r="J4925" s="399"/>
      <c r="K4925" s="399"/>
      <c r="L4925" s="416"/>
      <c r="M4925" s="382"/>
      <c r="N4925" s="399"/>
      <c r="O4925" s="380"/>
      <c r="P4925" s="380"/>
      <c r="Q4925" s="380"/>
    </row>
    <row r="4926" spans="1:17" x14ac:dyDescent="0.2">
      <c r="A4926" s="334" t="s">
        <v>1414</v>
      </c>
      <c r="B4926" s="380"/>
      <c r="C4926" s="380"/>
      <c r="D4926" s="380"/>
      <c r="E4926" s="399"/>
      <c r="F4926" s="416"/>
      <c r="G4926" s="382"/>
      <c r="H4926" s="399"/>
      <c r="I4926" s="382"/>
      <c r="J4926" s="380"/>
      <c r="K4926" s="399"/>
      <c r="L4926" s="416"/>
      <c r="M4926" s="382"/>
      <c r="N4926" s="399"/>
      <c r="O4926" s="380"/>
      <c r="P4926" s="380"/>
      <c r="Q4926" s="380"/>
    </row>
    <row r="4927" spans="1:17" x14ac:dyDescent="0.2">
      <c r="A4927" s="380"/>
      <c r="B4927" s="380"/>
      <c r="C4927" s="384" t="s">
        <v>2184</v>
      </c>
      <c r="D4927" s="380"/>
      <c r="E4927" s="399"/>
      <c r="F4927" s="416"/>
      <c r="G4927" s="382"/>
      <c r="H4927" s="399"/>
      <c r="I4927" s="382"/>
      <c r="J4927" s="380"/>
      <c r="K4927" s="399"/>
      <c r="L4927" s="416"/>
      <c r="M4927" s="382"/>
      <c r="N4927" s="399"/>
      <c r="O4927" s="380"/>
      <c r="P4927" s="380"/>
      <c r="Q4927" s="380"/>
    </row>
    <row r="4928" spans="1:17" x14ac:dyDescent="0.2">
      <c r="A4928" s="380"/>
      <c r="B4928" s="380"/>
      <c r="C4928" s="380"/>
      <c r="D4928" s="380"/>
      <c r="E4928" s="399"/>
      <c r="F4928" s="416"/>
      <c r="G4928" s="382"/>
      <c r="H4928" s="399"/>
      <c r="I4928" s="382"/>
      <c r="J4928" s="380"/>
      <c r="K4928" s="399"/>
      <c r="L4928" s="416"/>
      <c r="M4928" s="382"/>
      <c r="N4928" s="399"/>
      <c r="O4928" s="380"/>
      <c r="P4928" s="380"/>
      <c r="Q4928" s="380"/>
    </row>
    <row r="4929" spans="1:17" x14ac:dyDescent="0.2">
      <c r="A4929" s="380" t="s">
        <v>1723</v>
      </c>
      <c r="B4929" s="380"/>
      <c r="C4929" s="380" t="s">
        <v>1880</v>
      </c>
      <c r="D4929" s="380" t="s">
        <v>181</v>
      </c>
      <c r="E4929" s="399"/>
      <c r="F4929" s="416"/>
      <c r="G4929" s="382"/>
      <c r="H4929" s="399"/>
      <c r="I4929" s="382"/>
      <c r="J4929" s="380" t="s">
        <v>181</v>
      </c>
      <c r="K4929" s="399"/>
      <c r="L4929" s="416"/>
      <c r="M4929" s="382"/>
      <c r="N4929" s="399"/>
      <c r="O4929" s="380"/>
      <c r="P4929" s="380"/>
      <c r="Q4929" s="380"/>
    </row>
    <row r="4930" spans="1:17" x14ac:dyDescent="0.2">
      <c r="A4930" s="380"/>
      <c r="B4930" s="380"/>
      <c r="C4930" s="380"/>
      <c r="D4930" s="380"/>
      <c r="E4930" s="399"/>
      <c r="F4930" s="416"/>
      <c r="G4930" s="385"/>
      <c r="H4930" s="399"/>
      <c r="I4930" s="399"/>
      <c r="J4930" s="380"/>
      <c r="K4930" s="399"/>
      <c r="L4930" s="416"/>
      <c r="M4930" s="385"/>
      <c r="N4930" s="399"/>
      <c r="O4930" s="380"/>
      <c r="P4930" s="380"/>
      <c r="Q4930" s="380"/>
    </row>
    <row r="4931" spans="1:17" x14ac:dyDescent="0.2">
      <c r="A4931" s="334" t="s">
        <v>1953</v>
      </c>
      <c r="B4931" s="380"/>
      <c r="C4931" s="334" t="s">
        <v>193</v>
      </c>
      <c r="D4931" s="377">
        <v>4000</v>
      </c>
      <c r="E4931" s="399"/>
      <c r="F4931" s="416"/>
      <c r="G4931" s="382"/>
      <c r="H4931" s="399"/>
      <c r="I4931" s="399"/>
      <c r="J4931" s="377">
        <v>8000</v>
      </c>
      <c r="K4931" s="399"/>
      <c r="L4931" s="416"/>
      <c r="M4931" s="382"/>
      <c r="N4931" s="399"/>
      <c r="O4931" s="380"/>
      <c r="P4931" s="380"/>
      <c r="Q4931" s="380"/>
    </row>
    <row r="4932" spans="1:17" x14ac:dyDescent="0.2">
      <c r="A4932" s="334" t="s">
        <v>1724</v>
      </c>
      <c r="B4932" s="380"/>
      <c r="C4932" s="380" t="s">
        <v>1881</v>
      </c>
      <c r="D4932" s="377">
        <v>2000</v>
      </c>
      <c r="E4932" s="399"/>
      <c r="F4932" s="416"/>
      <c r="G4932" s="382"/>
      <c r="H4932" s="399"/>
      <c r="I4932" s="399"/>
      <c r="J4932" s="377">
        <v>3500</v>
      </c>
      <c r="K4932" s="399"/>
      <c r="L4932" s="416"/>
      <c r="M4932" s="382"/>
      <c r="N4932" s="399"/>
      <c r="O4932" s="380"/>
      <c r="P4932" s="380"/>
      <c r="Q4932" s="380"/>
    </row>
    <row r="4933" spans="1:17" x14ac:dyDescent="0.2">
      <c r="A4933" s="384" t="s">
        <v>1736</v>
      </c>
      <c r="B4933" s="380"/>
      <c r="C4933" s="380" t="s">
        <v>1747</v>
      </c>
      <c r="D4933" s="377"/>
      <c r="E4933" s="399"/>
      <c r="F4933" s="416"/>
      <c r="G4933" s="382"/>
      <c r="H4933" s="399"/>
      <c r="I4933" s="399"/>
      <c r="J4933" s="377"/>
      <c r="K4933" s="399"/>
      <c r="L4933" s="416"/>
      <c r="M4933" s="382"/>
      <c r="N4933" s="399"/>
      <c r="O4933" s="380"/>
      <c r="P4933" s="380"/>
      <c r="Q4933" s="380"/>
    </row>
    <row r="4934" spans="1:17" x14ac:dyDescent="0.2">
      <c r="A4934" s="384" t="s">
        <v>1582</v>
      </c>
      <c r="B4934" s="380"/>
      <c r="C4934" s="334" t="s">
        <v>3135</v>
      </c>
      <c r="D4934" s="377"/>
      <c r="E4934" s="399"/>
      <c r="F4934" s="416"/>
      <c r="G4934" s="382"/>
      <c r="H4934" s="399"/>
      <c r="I4934" s="399"/>
      <c r="J4934" s="377"/>
      <c r="K4934" s="399"/>
      <c r="L4934" s="416"/>
      <c r="M4934" s="382"/>
      <c r="N4934" s="399"/>
      <c r="O4934" s="380"/>
      <c r="P4934" s="380"/>
      <c r="Q4934" s="380"/>
    </row>
    <row r="4935" spans="1:17" x14ac:dyDescent="0.2">
      <c r="A4935" s="334" t="s">
        <v>1725</v>
      </c>
      <c r="B4935" s="380"/>
      <c r="C4935" s="334" t="s">
        <v>1890</v>
      </c>
      <c r="D4935" s="377"/>
      <c r="E4935" s="399"/>
      <c r="F4935" s="416"/>
      <c r="G4935" s="382"/>
      <c r="H4935" s="399"/>
      <c r="I4935" s="399"/>
      <c r="J4935" s="377"/>
      <c r="K4935" s="399"/>
      <c r="L4935" s="416"/>
      <c r="M4935" s="382"/>
      <c r="N4935" s="399"/>
      <c r="O4935" s="380"/>
      <c r="P4935" s="380"/>
      <c r="Q4935" s="380"/>
    </row>
    <row r="4936" spans="1:17" x14ac:dyDescent="0.2">
      <c r="A4936" s="334" t="s">
        <v>1576</v>
      </c>
      <c r="B4936" s="380"/>
      <c r="C4936" s="334" t="s">
        <v>1590</v>
      </c>
      <c r="D4936" s="377"/>
      <c r="E4936" s="399"/>
      <c r="F4936" s="416"/>
      <c r="G4936" s="382"/>
      <c r="H4936" s="399"/>
      <c r="I4936" s="399"/>
      <c r="J4936" s="377"/>
      <c r="K4936" s="399"/>
      <c r="L4936" s="416"/>
      <c r="M4936" s="382"/>
      <c r="N4936" s="399"/>
      <c r="O4936" s="380"/>
      <c r="P4936" s="380"/>
      <c r="Q4936" s="380"/>
    </row>
    <row r="4937" spans="1:17" x14ac:dyDescent="0.2">
      <c r="A4937" s="334" t="s">
        <v>1737</v>
      </c>
      <c r="B4937" s="380"/>
      <c r="C4937" s="334" t="s">
        <v>1984</v>
      </c>
      <c r="D4937" s="377"/>
      <c r="E4937" s="399"/>
      <c r="F4937" s="416"/>
      <c r="G4937" s="382"/>
      <c r="H4937" s="399"/>
      <c r="I4937" s="399"/>
      <c r="J4937" s="377"/>
      <c r="K4937" s="399"/>
      <c r="L4937" s="416"/>
      <c r="M4937" s="382"/>
      <c r="N4937" s="399"/>
      <c r="O4937" s="380"/>
      <c r="P4937" s="380"/>
      <c r="Q4937" s="380"/>
    </row>
    <row r="4938" spans="1:17" x14ac:dyDescent="0.2">
      <c r="A4938" s="334" t="s">
        <v>1751</v>
      </c>
      <c r="B4938" s="380"/>
      <c r="C4938" s="334" t="s">
        <v>3138</v>
      </c>
      <c r="D4938" s="377">
        <v>1200</v>
      </c>
      <c r="E4938" s="399"/>
      <c r="F4938" s="416"/>
      <c r="G4938" s="382"/>
      <c r="H4938" s="399"/>
      <c r="I4938" s="399"/>
      <c r="J4938" s="377">
        <v>1200</v>
      </c>
      <c r="K4938" s="399"/>
      <c r="L4938" s="416"/>
      <c r="M4938" s="382"/>
      <c r="N4938" s="399"/>
      <c r="O4938" s="380"/>
      <c r="P4938" s="380"/>
      <c r="Q4938" s="380"/>
    </row>
    <row r="4939" spans="1:17" x14ac:dyDescent="0.2">
      <c r="A4939" s="334" t="s">
        <v>1957</v>
      </c>
      <c r="B4939" s="380"/>
      <c r="C4939" s="334" t="s">
        <v>49</v>
      </c>
      <c r="D4939" s="377"/>
      <c r="E4939" s="399"/>
      <c r="F4939" s="416"/>
      <c r="G4939" s="382"/>
      <c r="H4939" s="399"/>
      <c r="I4939" s="399"/>
      <c r="J4939" s="377">
        <v>500</v>
      </c>
      <c r="K4939" s="399"/>
      <c r="L4939" s="416"/>
      <c r="M4939" s="382"/>
      <c r="N4939" s="399"/>
      <c r="O4939" s="380"/>
      <c r="P4939" s="380"/>
      <c r="Q4939" s="380"/>
    </row>
    <row r="4940" spans="1:17" x14ac:dyDescent="0.2">
      <c r="A4940" s="403" t="s">
        <v>1578</v>
      </c>
      <c r="B4940" s="380"/>
      <c r="C4940" s="334" t="s">
        <v>22</v>
      </c>
      <c r="D4940" s="377"/>
      <c r="E4940" s="399"/>
      <c r="F4940" s="416"/>
      <c r="G4940" s="382"/>
      <c r="H4940" s="399"/>
      <c r="I4940" s="399"/>
      <c r="J4940" s="377">
        <v>200</v>
      </c>
      <c r="K4940" s="399"/>
      <c r="L4940" s="416"/>
      <c r="M4940" s="382"/>
      <c r="N4940" s="399"/>
      <c r="O4940" s="380"/>
      <c r="P4940" s="380"/>
      <c r="Q4940" s="380"/>
    </row>
    <row r="4941" spans="1:17" x14ac:dyDescent="0.2">
      <c r="A4941" s="334" t="s">
        <v>1738</v>
      </c>
      <c r="B4941" s="380"/>
      <c r="C4941" s="334" t="s">
        <v>1591</v>
      </c>
      <c r="D4941" s="377"/>
      <c r="E4941" s="399"/>
      <c r="F4941" s="416"/>
      <c r="G4941" s="382"/>
      <c r="H4941" s="399"/>
      <c r="I4941" s="399"/>
      <c r="J4941" s="377"/>
      <c r="K4941" s="399"/>
      <c r="L4941" s="416"/>
      <c r="M4941" s="382"/>
      <c r="N4941" s="399"/>
      <c r="O4941" s="380"/>
      <c r="P4941" s="380"/>
      <c r="Q4941" s="380"/>
    </row>
    <row r="4942" spans="1:17" x14ac:dyDescent="0.2">
      <c r="A4942" s="384" t="s">
        <v>1727</v>
      </c>
      <c r="B4942" s="380"/>
      <c r="C4942" s="334" t="s">
        <v>307</v>
      </c>
      <c r="D4942" s="377">
        <v>200</v>
      </c>
      <c r="E4942" s="399"/>
      <c r="F4942" s="416"/>
      <c r="G4942" s="382"/>
      <c r="H4942" s="399"/>
      <c r="I4942" s="399"/>
      <c r="J4942" s="377">
        <v>200</v>
      </c>
      <c r="K4942" s="399"/>
      <c r="L4942" s="416"/>
      <c r="M4942" s="382"/>
      <c r="N4942" s="399"/>
      <c r="O4942" s="380"/>
      <c r="P4942" s="380"/>
      <c r="Q4942" s="380"/>
    </row>
    <row r="4943" spans="1:17" x14ac:dyDescent="0.2">
      <c r="A4943" s="334" t="s">
        <v>1728</v>
      </c>
      <c r="B4943" s="380"/>
      <c r="C4943" s="334" t="s">
        <v>310</v>
      </c>
      <c r="D4943" s="377">
        <v>200</v>
      </c>
      <c r="E4943" s="399"/>
      <c r="F4943" s="416"/>
      <c r="G4943" s="382"/>
      <c r="H4943" s="399"/>
      <c r="I4943" s="399"/>
      <c r="J4943" s="377">
        <v>200</v>
      </c>
      <c r="K4943" s="399"/>
      <c r="L4943" s="416"/>
      <c r="M4943" s="382"/>
      <c r="N4943" s="399"/>
      <c r="O4943" s="380"/>
      <c r="P4943" s="380"/>
      <c r="Q4943" s="380"/>
    </row>
    <row r="4944" spans="1:17" x14ac:dyDescent="0.2">
      <c r="A4944" s="384" t="s">
        <v>1729</v>
      </c>
      <c r="B4944" s="380"/>
      <c r="C4944" s="380" t="s">
        <v>1551</v>
      </c>
      <c r="D4944" s="377">
        <v>-1620</v>
      </c>
      <c r="E4944" s="399"/>
      <c r="F4944" s="416"/>
      <c r="G4944" s="382"/>
      <c r="H4944" s="399"/>
      <c r="I4944" s="399"/>
      <c r="J4944" s="377"/>
      <c r="K4944" s="399"/>
      <c r="L4944" s="416"/>
      <c r="M4944" s="382"/>
      <c r="N4944" s="399"/>
      <c r="O4944" s="380"/>
      <c r="P4944" s="380"/>
      <c r="Q4944" s="380"/>
    </row>
    <row r="4945" spans="1:17" x14ac:dyDescent="0.2">
      <c r="A4945" s="384" t="s">
        <v>1735</v>
      </c>
      <c r="B4945" s="380"/>
      <c r="C4945" s="380" t="s">
        <v>194</v>
      </c>
      <c r="D4945" s="377"/>
      <c r="E4945" s="399"/>
      <c r="F4945" s="416"/>
      <c r="G4945" s="382"/>
      <c r="H4945" s="399"/>
      <c r="I4945" s="399"/>
      <c r="J4945" s="377"/>
      <c r="K4945" s="399"/>
      <c r="L4945" s="416"/>
      <c r="M4945" s="382"/>
      <c r="N4945" s="399"/>
      <c r="O4945" s="380"/>
      <c r="P4945" s="380"/>
      <c r="Q4945" s="380"/>
    </row>
    <row r="4946" spans="1:17" x14ac:dyDescent="0.2">
      <c r="A4946" s="384" t="s">
        <v>1754</v>
      </c>
      <c r="B4946" s="380"/>
      <c r="C4946" s="334" t="s">
        <v>1929</v>
      </c>
      <c r="D4946" s="377"/>
      <c r="E4946" s="399"/>
      <c r="F4946" s="416"/>
      <c r="G4946" s="382"/>
      <c r="H4946" s="399"/>
      <c r="I4946" s="399"/>
      <c r="J4946" s="377"/>
      <c r="K4946" s="399"/>
      <c r="L4946" s="416"/>
      <c r="M4946" s="382"/>
      <c r="N4946" s="399"/>
      <c r="O4946" s="380"/>
      <c r="P4946" s="380"/>
      <c r="Q4946" s="380"/>
    </row>
    <row r="4947" spans="1:17" x14ac:dyDescent="0.2">
      <c r="A4947" s="334" t="s">
        <v>1730</v>
      </c>
      <c r="B4947" s="380"/>
      <c r="C4947" s="334" t="s">
        <v>1985</v>
      </c>
      <c r="D4947" s="377">
        <v>500</v>
      </c>
      <c r="E4947" s="399"/>
      <c r="F4947" s="416"/>
      <c r="G4947" s="382"/>
      <c r="H4947" s="399"/>
      <c r="I4947" s="399"/>
      <c r="J4947" s="377">
        <v>500</v>
      </c>
      <c r="K4947" s="399"/>
      <c r="L4947" s="416"/>
      <c r="M4947" s="382"/>
      <c r="N4947" s="399"/>
      <c r="O4947" s="380"/>
      <c r="P4947" s="380"/>
      <c r="Q4947" s="380"/>
    </row>
    <row r="4948" spans="1:17" x14ac:dyDescent="0.2">
      <c r="A4948" s="334" t="s">
        <v>1566</v>
      </c>
      <c r="B4948" s="380"/>
      <c r="C4948" s="334" t="s">
        <v>366</v>
      </c>
      <c r="D4948" s="377"/>
      <c r="E4948" s="399"/>
      <c r="F4948" s="416"/>
      <c r="G4948" s="382"/>
      <c r="H4948" s="399"/>
      <c r="I4948" s="399"/>
      <c r="J4948" s="377"/>
      <c r="K4948" s="399"/>
      <c r="L4948" s="416"/>
      <c r="M4948" s="382"/>
      <c r="N4948" s="399"/>
      <c r="O4948" s="380"/>
      <c r="P4948" s="380"/>
      <c r="Q4948" s="380"/>
    </row>
    <row r="4949" spans="1:17" x14ac:dyDescent="0.2">
      <c r="A4949" s="384" t="s">
        <v>1962</v>
      </c>
      <c r="B4949" s="380"/>
      <c r="C4949" s="380" t="s">
        <v>572</v>
      </c>
      <c r="D4949" s="377"/>
      <c r="E4949" s="399"/>
      <c r="F4949" s="416"/>
      <c r="G4949" s="382"/>
      <c r="H4949" s="399"/>
      <c r="I4949" s="385"/>
      <c r="J4949" s="377"/>
      <c r="K4949" s="399"/>
      <c r="L4949" s="416"/>
      <c r="M4949" s="382"/>
      <c r="N4949" s="399"/>
      <c r="O4949" s="380"/>
      <c r="P4949" s="380"/>
      <c r="Q4949" s="380"/>
    </row>
    <row r="4950" spans="1:17" x14ac:dyDescent="0.2">
      <c r="A4950" s="380"/>
      <c r="B4950" s="380"/>
      <c r="C4950" s="380"/>
      <c r="D4950" s="410" t="s">
        <v>342</v>
      </c>
      <c r="E4950" s="399"/>
      <c r="F4950" s="416"/>
      <c r="G4950" s="382"/>
      <c r="H4950" s="399"/>
      <c r="I4950" s="385"/>
      <c r="J4950" s="410" t="s">
        <v>342</v>
      </c>
      <c r="K4950" s="399"/>
      <c r="L4950" s="416"/>
      <c r="M4950" s="382"/>
      <c r="N4950" s="399"/>
      <c r="O4950" s="380"/>
      <c r="P4950" s="380"/>
      <c r="Q4950" s="380"/>
    </row>
    <row r="4951" spans="1:17" x14ac:dyDescent="0.2">
      <c r="A4951" s="380"/>
      <c r="B4951" s="380"/>
      <c r="C4951" s="380"/>
      <c r="D4951" s="334">
        <f>SUM(D4931:D4949)</f>
        <v>6480</v>
      </c>
      <c r="E4951" s="399"/>
      <c r="F4951" s="416"/>
      <c r="G4951" s="382"/>
      <c r="H4951" s="399"/>
      <c r="I4951" s="399"/>
      <c r="J4951" s="334">
        <f>SUM(J4931:J4949)</f>
        <v>14300</v>
      </c>
      <c r="K4951" s="399"/>
      <c r="L4951" s="416"/>
      <c r="M4951" s="382"/>
      <c r="N4951" s="399"/>
      <c r="O4951" s="380"/>
      <c r="P4951" s="380"/>
      <c r="Q4951" s="380"/>
    </row>
    <row r="4952" spans="1:17" ht="15.75" thickTop="1" x14ac:dyDescent="0.2">
      <c r="A4952" s="380"/>
      <c r="B4952" s="380"/>
      <c r="C4952" s="380"/>
      <c r="D4952" s="395">
        <f>D4951</f>
        <v>6480</v>
      </c>
      <c r="E4952" s="399"/>
      <c r="F4952" s="416"/>
      <c r="G4952" s="382"/>
      <c r="H4952" s="399"/>
      <c r="I4952" s="399"/>
      <c r="J4952" s="395">
        <f>J4951</f>
        <v>14300</v>
      </c>
      <c r="K4952" s="399"/>
      <c r="L4952" s="416"/>
      <c r="M4952" s="382"/>
      <c r="N4952" s="399"/>
      <c r="O4952" s="380"/>
      <c r="P4952" s="380"/>
      <c r="Q4952" s="380"/>
    </row>
    <row r="4953" spans="1:17" x14ac:dyDescent="0.2">
      <c r="A4953" s="380"/>
      <c r="B4953" s="380"/>
      <c r="C4953" s="380"/>
      <c r="D4953" s="399"/>
      <c r="E4953" s="399"/>
      <c r="F4953" s="416"/>
      <c r="G4953" s="382"/>
      <c r="H4953" s="399"/>
      <c r="I4953" s="399"/>
      <c r="J4953" s="399"/>
      <c r="K4953" s="399"/>
      <c r="L4953" s="416"/>
      <c r="M4953" s="382"/>
      <c r="N4953" s="399"/>
      <c r="O4953" s="380"/>
      <c r="P4953" s="380"/>
      <c r="Q4953" s="380"/>
    </row>
    <row r="4954" spans="1:17" x14ac:dyDescent="0.2">
      <c r="A4954" s="380"/>
      <c r="B4954" s="380"/>
      <c r="C4954" s="380"/>
      <c r="D4954" s="399"/>
      <c r="E4954" s="380"/>
      <c r="F4954" s="378"/>
      <c r="G4954" s="380"/>
      <c r="H4954" s="380"/>
      <c r="I4954" s="382"/>
      <c r="J4954" s="399"/>
      <c r="K4954" s="380"/>
      <c r="L4954" s="378"/>
      <c r="M4954" s="380"/>
      <c r="N4954" s="380"/>
      <c r="O4954" s="380"/>
      <c r="P4954" s="380"/>
      <c r="Q4954" s="380"/>
    </row>
    <row r="4955" spans="1:17" x14ac:dyDescent="0.2">
      <c r="A4955" s="380"/>
      <c r="B4955" s="380"/>
      <c r="C4955" s="380"/>
      <c r="D4955" s="380"/>
      <c r="E4955" s="377"/>
      <c r="F4955" s="378"/>
      <c r="G4955" s="377"/>
      <c r="H4955" s="377"/>
      <c r="I4955" s="399"/>
      <c r="J4955" s="380"/>
      <c r="K4955" s="377"/>
      <c r="L4955" s="378"/>
      <c r="M4955" s="377"/>
      <c r="N4955" s="377"/>
      <c r="O4955" s="380"/>
      <c r="P4955" s="380"/>
      <c r="Q4955" s="380"/>
    </row>
    <row r="4956" spans="1:17" x14ac:dyDescent="0.2">
      <c r="A4956" s="377"/>
      <c r="B4956" s="377"/>
      <c r="C4956" s="377"/>
      <c r="D4956" s="377"/>
      <c r="E4956" s="380"/>
      <c r="F4956" s="378"/>
      <c r="G4956" s="380"/>
      <c r="H4956" s="380"/>
      <c r="I4956" s="382"/>
      <c r="J4956" s="377"/>
      <c r="K4956" s="380"/>
      <c r="L4956" s="378"/>
      <c r="M4956" s="380"/>
      <c r="N4956" s="380"/>
      <c r="O4956" s="380"/>
      <c r="P4956" s="380"/>
      <c r="Q4956" s="380"/>
    </row>
    <row r="4957" spans="1:17" x14ac:dyDescent="0.2">
      <c r="A4957" s="334" t="s">
        <v>1258</v>
      </c>
      <c r="B4957" s="380"/>
      <c r="C4957" s="380"/>
      <c r="D4957" s="380"/>
      <c r="E4957" s="380"/>
      <c r="F4957" s="378"/>
      <c r="G4957" s="380"/>
      <c r="H4957" s="380"/>
      <c r="I4957" s="382"/>
      <c r="J4957" s="380"/>
      <c r="K4957" s="380"/>
      <c r="L4957" s="378"/>
      <c r="M4957" s="380"/>
      <c r="N4957" s="380"/>
      <c r="O4957" s="380"/>
      <c r="P4957" s="380"/>
      <c r="Q4957" s="380"/>
    </row>
    <row r="4958" spans="1:17" x14ac:dyDescent="0.2">
      <c r="A4958" s="380"/>
      <c r="B4958" s="380"/>
      <c r="C4958" s="384" t="s">
        <v>2185</v>
      </c>
      <c r="D4958" s="380"/>
      <c r="E4958" s="380"/>
      <c r="F4958" s="378"/>
      <c r="G4958" s="380"/>
      <c r="H4958" s="380"/>
      <c r="I4958" s="382"/>
      <c r="J4958" s="380"/>
      <c r="K4958" s="380"/>
      <c r="L4958" s="378"/>
      <c r="M4958" s="380"/>
      <c r="N4958" s="380"/>
      <c r="O4958" s="380"/>
      <c r="P4958" s="380"/>
      <c r="Q4958" s="380"/>
    </row>
    <row r="4959" spans="1:17" x14ac:dyDescent="0.2">
      <c r="A4959" s="380"/>
      <c r="B4959" s="380"/>
      <c r="C4959" s="380"/>
      <c r="D4959" s="380"/>
      <c r="E4959" s="380"/>
      <c r="F4959" s="378"/>
      <c r="G4959" s="380"/>
      <c r="H4959" s="380"/>
      <c r="I4959" s="382"/>
      <c r="J4959" s="380"/>
      <c r="K4959" s="380"/>
      <c r="L4959" s="378"/>
      <c r="M4959" s="380"/>
      <c r="N4959" s="380"/>
      <c r="O4959" s="380"/>
      <c r="P4959" s="380"/>
      <c r="Q4959" s="380"/>
    </row>
    <row r="4960" spans="1:17" x14ac:dyDescent="0.2">
      <c r="A4960" s="380" t="s">
        <v>1723</v>
      </c>
      <c r="B4960" s="380"/>
      <c r="C4960" s="380" t="s">
        <v>1880</v>
      </c>
      <c r="D4960" s="380" t="s">
        <v>181</v>
      </c>
      <c r="E4960" s="380"/>
      <c r="F4960" s="378"/>
      <c r="G4960" s="380"/>
      <c r="H4960" s="380"/>
      <c r="I4960" s="382"/>
      <c r="J4960" s="380" t="s">
        <v>181</v>
      </c>
      <c r="K4960" s="380"/>
      <c r="L4960" s="378"/>
      <c r="M4960" s="380"/>
      <c r="N4960" s="380"/>
      <c r="O4960" s="380"/>
      <c r="P4960" s="380"/>
      <c r="Q4960" s="380"/>
    </row>
    <row r="4961" spans="1:17" x14ac:dyDescent="0.2">
      <c r="A4961" s="380"/>
      <c r="B4961" s="380"/>
      <c r="C4961" s="380"/>
      <c r="D4961" s="380"/>
      <c r="E4961" s="380"/>
      <c r="F4961" s="378"/>
      <c r="G4961" s="380"/>
      <c r="H4961" s="380"/>
      <c r="I4961" s="399"/>
      <c r="J4961" s="380"/>
      <c r="K4961" s="380"/>
      <c r="L4961" s="378"/>
      <c r="M4961" s="380"/>
      <c r="N4961" s="380"/>
      <c r="O4961" s="380"/>
      <c r="P4961" s="380"/>
      <c r="Q4961" s="380"/>
    </row>
    <row r="4962" spans="1:17" x14ac:dyDescent="0.2">
      <c r="A4962" s="334" t="s">
        <v>1953</v>
      </c>
      <c r="B4962" s="380"/>
      <c r="C4962" s="334" t="s">
        <v>193</v>
      </c>
      <c r="D4962" s="377"/>
      <c r="E4962" s="380"/>
      <c r="F4962" s="378"/>
      <c r="G4962" s="380"/>
      <c r="H4962" s="380"/>
      <c r="I4962" s="399"/>
      <c r="J4962" s="377"/>
      <c r="K4962" s="380"/>
      <c r="L4962" s="378"/>
      <c r="M4962" s="380"/>
      <c r="N4962" s="380"/>
      <c r="O4962" s="380"/>
      <c r="P4962" s="380"/>
      <c r="Q4962" s="380"/>
    </row>
    <row r="4963" spans="1:17" x14ac:dyDescent="0.2">
      <c r="A4963" s="334" t="s">
        <v>1724</v>
      </c>
      <c r="B4963" s="380"/>
      <c r="C4963" s="380" t="s">
        <v>1881</v>
      </c>
      <c r="D4963" s="377"/>
      <c r="E4963" s="380"/>
      <c r="F4963" s="378"/>
      <c r="G4963" s="380"/>
      <c r="H4963" s="380"/>
      <c r="I4963" s="399"/>
      <c r="J4963" s="377"/>
      <c r="K4963" s="380"/>
      <c r="L4963" s="378"/>
      <c r="M4963" s="380"/>
      <c r="N4963" s="380"/>
      <c r="O4963" s="380"/>
      <c r="P4963" s="380"/>
      <c r="Q4963" s="380"/>
    </row>
    <row r="4964" spans="1:17" x14ac:dyDescent="0.2">
      <c r="A4964" s="334" t="s">
        <v>1725</v>
      </c>
      <c r="B4964" s="380"/>
      <c r="C4964" s="334" t="s">
        <v>1890</v>
      </c>
      <c r="D4964" s="377"/>
      <c r="E4964" s="380"/>
      <c r="F4964" s="378"/>
      <c r="G4964" s="380"/>
      <c r="H4964" s="380"/>
      <c r="I4964" s="399"/>
      <c r="J4964" s="377"/>
      <c r="K4964" s="380"/>
      <c r="L4964" s="378"/>
      <c r="M4964" s="380"/>
      <c r="N4964" s="380"/>
      <c r="O4964" s="380"/>
      <c r="P4964" s="380"/>
      <c r="Q4964" s="380"/>
    </row>
    <row r="4965" spans="1:17" x14ac:dyDescent="0.2">
      <c r="A4965" s="334" t="s">
        <v>1576</v>
      </c>
      <c r="B4965" s="380"/>
      <c r="C4965" s="334" t="s">
        <v>1590</v>
      </c>
      <c r="D4965" s="377"/>
      <c r="E4965" s="380"/>
      <c r="F4965" s="378"/>
      <c r="G4965" s="380"/>
      <c r="H4965" s="380"/>
      <c r="I4965" s="399"/>
      <c r="J4965" s="377"/>
      <c r="K4965" s="380"/>
      <c r="L4965" s="378"/>
      <c r="M4965" s="380"/>
      <c r="N4965" s="380"/>
      <c r="O4965" s="380"/>
      <c r="P4965" s="380"/>
      <c r="Q4965" s="380"/>
    </row>
    <row r="4966" spans="1:17" x14ac:dyDescent="0.2">
      <c r="A4966" s="334" t="s">
        <v>1737</v>
      </c>
      <c r="B4966" s="380"/>
      <c r="C4966" s="334" t="s">
        <v>1984</v>
      </c>
      <c r="D4966" s="377"/>
      <c r="E4966" s="380"/>
      <c r="F4966" s="378"/>
      <c r="G4966" s="380"/>
      <c r="H4966" s="380"/>
      <c r="I4966" s="399"/>
      <c r="J4966" s="377"/>
      <c r="K4966" s="380"/>
      <c r="L4966" s="378"/>
      <c r="M4966" s="380"/>
      <c r="N4966" s="380"/>
      <c r="O4966" s="380"/>
      <c r="P4966" s="380"/>
      <c r="Q4966" s="380"/>
    </row>
    <row r="4967" spans="1:17" x14ac:dyDescent="0.2">
      <c r="A4967" s="334" t="s">
        <v>1751</v>
      </c>
      <c r="B4967" s="380"/>
      <c r="C4967" s="334" t="s">
        <v>3138</v>
      </c>
      <c r="D4967" s="377"/>
      <c r="E4967" s="380"/>
      <c r="F4967" s="378"/>
      <c r="G4967" s="380"/>
      <c r="H4967" s="380"/>
      <c r="I4967" s="399"/>
      <c r="J4967" s="377"/>
      <c r="K4967" s="380"/>
      <c r="L4967" s="378"/>
      <c r="M4967" s="380"/>
      <c r="N4967" s="380"/>
      <c r="O4967" s="380"/>
      <c r="P4967" s="380"/>
      <c r="Q4967" s="380"/>
    </row>
    <row r="4968" spans="1:17" x14ac:dyDescent="0.2">
      <c r="A4968" s="334" t="s">
        <v>1957</v>
      </c>
      <c r="B4968" s="380"/>
      <c r="C4968" s="334" t="s">
        <v>49</v>
      </c>
      <c r="D4968" s="377"/>
      <c r="E4968" s="380"/>
      <c r="F4968" s="378"/>
      <c r="G4968" s="380"/>
      <c r="H4968" s="380"/>
      <c r="I4968" s="399"/>
      <c r="J4968" s="377"/>
      <c r="K4968" s="380"/>
      <c r="L4968" s="378"/>
      <c r="M4968" s="380"/>
      <c r="N4968" s="380"/>
      <c r="O4968" s="380"/>
      <c r="P4968" s="380"/>
      <c r="Q4968" s="380"/>
    </row>
    <row r="4969" spans="1:17" x14ac:dyDescent="0.2">
      <c r="A4969" s="334" t="s">
        <v>1738</v>
      </c>
      <c r="B4969" s="380"/>
      <c r="C4969" s="334" t="s">
        <v>1591</v>
      </c>
      <c r="D4969" s="377"/>
      <c r="E4969" s="380"/>
      <c r="F4969" s="378"/>
      <c r="G4969" s="380"/>
      <c r="H4969" s="380"/>
      <c r="I4969" s="399"/>
      <c r="J4969" s="377"/>
      <c r="K4969" s="380"/>
      <c r="L4969" s="378"/>
      <c r="M4969" s="380"/>
      <c r="N4969" s="380"/>
      <c r="O4969" s="380"/>
      <c r="P4969" s="380"/>
      <c r="Q4969" s="380"/>
    </row>
    <row r="4970" spans="1:17" x14ac:dyDescent="0.2">
      <c r="A4970" s="384" t="s">
        <v>1727</v>
      </c>
      <c r="B4970" s="380"/>
      <c r="C4970" s="334" t="s">
        <v>307</v>
      </c>
      <c r="D4970" s="377"/>
      <c r="E4970" s="380"/>
      <c r="F4970" s="378"/>
      <c r="G4970" s="380"/>
      <c r="H4970" s="380"/>
      <c r="I4970" s="399"/>
      <c r="J4970" s="377"/>
      <c r="K4970" s="380"/>
      <c r="L4970" s="378"/>
      <c r="M4970" s="380"/>
      <c r="N4970" s="380"/>
      <c r="O4970" s="380"/>
      <c r="P4970" s="380"/>
      <c r="Q4970" s="380"/>
    </row>
    <row r="4971" spans="1:17" x14ac:dyDescent="0.2">
      <c r="A4971" s="334" t="s">
        <v>1728</v>
      </c>
      <c r="B4971" s="380"/>
      <c r="C4971" s="334" t="s">
        <v>310</v>
      </c>
      <c r="D4971" s="377"/>
      <c r="E4971" s="380"/>
      <c r="F4971" s="378"/>
      <c r="G4971" s="380"/>
      <c r="H4971" s="380"/>
      <c r="I4971" s="399"/>
      <c r="J4971" s="377"/>
      <c r="K4971" s="380"/>
      <c r="L4971" s="378"/>
      <c r="M4971" s="380"/>
      <c r="N4971" s="380"/>
      <c r="O4971" s="380"/>
      <c r="P4971" s="380"/>
      <c r="Q4971" s="380"/>
    </row>
    <row r="4972" spans="1:17" x14ac:dyDescent="0.2">
      <c r="A4972" s="384" t="s">
        <v>1735</v>
      </c>
      <c r="B4972" s="380"/>
      <c r="C4972" s="380" t="s">
        <v>194</v>
      </c>
      <c r="D4972" s="377"/>
      <c r="E4972" s="380"/>
      <c r="F4972" s="378"/>
      <c r="G4972" s="380"/>
      <c r="H4972" s="380"/>
      <c r="I4972" s="399"/>
      <c r="J4972" s="377"/>
      <c r="K4972" s="380"/>
      <c r="L4972" s="378"/>
      <c r="M4972" s="380"/>
      <c r="N4972" s="380"/>
      <c r="O4972" s="380"/>
      <c r="P4972" s="380"/>
      <c r="Q4972" s="380"/>
    </row>
    <row r="4973" spans="1:17" x14ac:dyDescent="0.2">
      <c r="A4973" s="384" t="s">
        <v>1741</v>
      </c>
      <c r="B4973" s="380"/>
      <c r="C4973" s="334" t="s">
        <v>1748</v>
      </c>
      <c r="D4973" s="377"/>
      <c r="E4973" s="380"/>
      <c r="F4973" s="378"/>
      <c r="G4973" s="380"/>
      <c r="H4973" s="380"/>
      <c r="I4973" s="399"/>
      <c r="J4973" s="377"/>
      <c r="K4973" s="380"/>
      <c r="L4973" s="378"/>
      <c r="M4973" s="380"/>
      <c r="N4973" s="380"/>
      <c r="O4973" s="380"/>
      <c r="P4973" s="380"/>
      <c r="Q4973" s="380"/>
    </row>
    <row r="4974" spans="1:17" x14ac:dyDescent="0.2">
      <c r="A4974" s="384" t="s">
        <v>1754</v>
      </c>
      <c r="B4974" s="380"/>
      <c r="C4974" s="334" t="s">
        <v>1929</v>
      </c>
      <c r="D4974" s="377"/>
      <c r="E4974" s="380"/>
      <c r="F4974" s="378"/>
      <c r="G4974" s="380"/>
      <c r="H4974" s="380"/>
      <c r="I4974" s="399"/>
      <c r="J4974" s="377"/>
      <c r="K4974" s="380"/>
      <c r="L4974" s="378"/>
      <c r="M4974" s="380"/>
      <c r="N4974" s="380"/>
      <c r="O4974" s="380"/>
      <c r="P4974" s="380"/>
      <c r="Q4974" s="380"/>
    </row>
    <row r="4975" spans="1:17" x14ac:dyDescent="0.2">
      <c r="A4975" s="334" t="s">
        <v>1730</v>
      </c>
      <c r="B4975" s="380"/>
      <c r="C4975" s="334" t="s">
        <v>1985</v>
      </c>
      <c r="D4975" s="377"/>
      <c r="E4975" s="380"/>
      <c r="F4975" s="378"/>
      <c r="G4975" s="380"/>
      <c r="H4975" s="380"/>
      <c r="I4975" s="399"/>
      <c r="J4975" s="377"/>
      <c r="K4975" s="380"/>
      <c r="L4975" s="378"/>
      <c r="M4975" s="380"/>
      <c r="N4975" s="380"/>
      <c r="O4975" s="380"/>
      <c r="P4975" s="380"/>
      <c r="Q4975" s="380"/>
    </row>
    <row r="4976" spans="1:17" x14ac:dyDescent="0.2">
      <c r="A4976" s="334" t="s">
        <v>1566</v>
      </c>
      <c r="B4976" s="380"/>
      <c r="C4976" s="334" t="s">
        <v>366</v>
      </c>
      <c r="D4976" s="377"/>
      <c r="E4976" s="380"/>
      <c r="F4976" s="378"/>
      <c r="G4976" s="380"/>
      <c r="H4976" s="380"/>
      <c r="I4976" s="399"/>
      <c r="J4976" s="377"/>
      <c r="K4976" s="380"/>
      <c r="L4976" s="378"/>
      <c r="M4976" s="380"/>
      <c r="N4976" s="380"/>
      <c r="O4976" s="380"/>
      <c r="P4976" s="380"/>
      <c r="Q4976" s="380"/>
    </row>
    <row r="4977" spans="1:17" x14ac:dyDescent="0.2">
      <c r="A4977" s="334" t="s">
        <v>1588</v>
      </c>
      <c r="B4977" s="380"/>
      <c r="C4977" s="334" t="s">
        <v>191</v>
      </c>
      <c r="D4977" s="377"/>
      <c r="E4977" s="380"/>
      <c r="F4977" s="378"/>
      <c r="G4977" s="380"/>
      <c r="H4977" s="380"/>
      <c r="I4977" s="385"/>
      <c r="J4977" s="377"/>
      <c r="K4977" s="380"/>
      <c r="L4977" s="378"/>
      <c r="M4977" s="380"/>
      <c r="N4977" s="380"/>
      <c r="O4977" s="380"/>
      <c r="P4977" s="380"/>
      <c r="Q4977" s="380"/>
    </row>
    <row r="4978" spans="1:17" x14ac:dyDescent="0.2">
      <c r="A4978" s="380"/>
      <c r="B4978" s="380"/>
      <c r="C4978" s="380"/>
      <c r="D4978" s="410" t="s">
        <v>342</v>
      </c>
      <c r="E4978" s="380"/>
      <c r="F4978" s="378"/>
      <c r="G4978" s="380"/>
      <c r="H4978" s="380"/>
      <c r="I4978" s="385"/>
      <c r="J4978" s="410" t="s">
        <v>342</v>
      </c>
      <c r="K4978" s="380"/>
      <c r="L4978" s="378"/>
      <c r="M4978" s="380"/>
      <c r="N4978" s="380"/>
      <c r="O4978" s="380"/>
      <c r="P4978" s="380"/>
      <c r="Q4978" s="380"/>
    </row>
    <row r="4979" spans="1:17" x14ac:dyDescent="0.2">
      <c r="A4979" s="380"/>
      <c r="B4979" s="380"/>
      <c r="C4979" s="380"/>
      <c r="D4979" s="334">
        <f>SUM(D4962:D4977)</f>
        <v>0</v>
      </c>
      <c r="E4979" s="380"/>
      <c r="F4979" s="378"/>
      <c r="G4979" s="380"/>
      <c r="H4979" s="380"/>
      <c r="I4979" s="399"/>
      <c r="J4979" s="334">
        <f>SUM(J4962:J4977)</f>
        <v>0</v>
      </c>
      <c r="K4979" s="380"/>
      <c r="L4979" s="378"/>
      <c r="M4979" s="380"/>
      <c r="N4979" s="380"/>
      <c r="O4979" s="380"/>
      <c r="P4979" s="380"/>
      <c r="Q4979" s="380"/>
    </row>
    <row r="4980" spans="1:17" ht="15.75" thickTop="1" x14ac:dyDescent="0.2">
      <c r="A4980" s="380"/>
      <c r="B4980" s="380"/>
      <c r="C4980" s="380"/>
      <c r="D4980" s="395">
        <f>D4979</f>
        <v>0</v>
      </c>
      <c r="E4980" s="380"/>
      <c r="F4980" s="378"/>
      <c r="G4980" s="380"/>
      <c r="H4980" s="380"/>
      <c r="I4980" s="382"/>
      <c r="J4980" s="395">
        <f>J4979</f>
        <v>0</v>
      </c>
      <c r="K4980" s="380"/>
      <c r="L4980" s="378"/>
      <c r="M4980" s="380"/>
      <c r="N4980" s="380"/>
      <c r="O4980" s="380"/>
      <c r="P4980" s="380"/>
      <c r="Q4980" s="380"/>
    </row>
    <row r="4981" spans="1:17" x14ac:dyDescent="0.2">
      <c r="A4981" s="380"/>
      <c r="B4981" s="380"/>
      <c r="C4981" s="380"/>
      <c r="D4981" s="380"/>
      <c r="E4981" s="377"/>
      <c r="F4981" s="378"/>
      <c r="G4981" s="377"/>
      <c r="H4981" s="377"/>
      <c r="I4981" s="399"/>
      <c r="J4981" s="380"/>
      <c r="K4981" s="377"/>
      <c r="L4981" s="378"/>
      <c r="M4981" s="377"/>
      <c r="N4981" s="377"/>
      <c r="O4981" s="380"/>
      <c r="P4981" s="380"/>
      <c r="Q4981" s="380"/>
    </row>
    <row r="4982" spans="1:17" x14ac:dyDescent="0.2">
      <c r="A4982" s="377"/>
      <c r="B4982" s="377"/>
      <c r="C4982" s="377"/>
      <c r="D4982" s="377"/>
      <c r="E4982" s="380"/>
      <c r="F4982" s="378"/>
      <c r="G4982" s="380"/>
      <c r="H4982" s="380"/>
      <c r="I4982" s="382"/>
      <c r="J4982" s="377"/>
      <c r="K4982" s="380"/>
      <c r="L4982" s="378"/>
      <c r="M4982" s="380"/>
      <c r="N4982" s="380"/>
      <c r="O4982" s="380"/>
      <c r="P4982" s="380"/>
      <c r="Q4982" s="380"/>
    </row>
    <row r="4983" spans="1:17" x14ac:dyDescent="0.2">
      <c r="A4983" s="334" t="s">
        <v>1868</v>
      </c>
      <c r="B4983" s="380"/>
      <c r="C4983" s="380"/>
      <c r="D4983" s="380"/>
      <c r="E4983" s="380"/>
      <c r="F4983" s="378"/>
      <c r="G4983" s="380"/>
      <c r="H4983" s="380"/>
      <c r="I4983" s="382"/>
      <c r="J4983" s="380"/>
      <c r="K4983" s="380"/>
      <c r="L4983" s="378"/>
      <c r="M4983" s="380"/>
      <c r="N4983" s="380"/>
      <c r="O4983" s="380"/>
      <c r="P4983" s="380"/>
      <c r="Q4983" s="380"/>
    </row>
    <row r="4984" spans="1:17" x14ac:dyDescent="0.2">
      <c r="A4984" s="380"/>
      <c r="B4984" s="380"/>
      <c r="C4984" s="384" t="s">
        <v>2186</v>
      </c>
      <c r="D4984" s="380"/>
      <c r="E4984" s="380"/>
      <c r="F4984" s="378"/>
      <c r="G4984" s="380"/>
      <c r="H4984" s="380"/>
      <c r="I4984" s="382"/>
      <c r="J4984" s="380"/>
      <c r="K4984" s="380"/>
      <c r="L4984" s="378"/>
      <c r="M4984" s="380"/>
      <c r="N4984" s="380"/>
      <c r="O4984" s="380"/>
      <c r="P4984" s="380"/>
      <c r="Q4984" s="380"/>
    </row>
    <row r="4985" spans="1:17" x14ac:dyDescent="0.2">
      <c r="A4985" s="380"/>
      <c r="B4985" s="380"/>
      <c r="C4985" s="380"/>
      <c r="D4985" s="380"/>
      <c r="E4985" s="380"/>
      <c r="F4985" s="378"/>
      <c r="G4985" s="380"/>
      <c r="H4985" s="380"/>
      <c r="I4985" s="382"/>
      <c r="J4985" s="380"/>
      <c r="K4985" s="380"/>
      <c r="L4985" s="378"/>
      <c r="M4985" s="380"/>
      <c r="N4985" s="380"/>
      <c r="O4985" s="380"/>
      <c r="P4985" s="380"/>
      <c r="Q4985" s="380"/>
    </row>
    <row r="4986" spans="1:17" x14ac:dyDescent="0.2">
      <c r="A4986" s="380" t="s">
        <v>1723</v>
      </c>
      <c r="B4986" s="380"/>
      <c r="C4986" s="380" t="s">
        <v>1880</v>
      </c>
      <c r="D4986" s="380" t="s">
        <v>181</v>
      </c>
      <c r="E4986" s="380"/>
      <c r="F4986" s="378"/>
      <c r="G4986" s="380"/>
      <c r="H4986" s="380"/>
      <c r="I4986" s="382"/>
      <c r="J4986" s="380" t="s">
        <v>181</v>
      </c>
      <c r="K4986" s="380"/>
      <c r="L4986" s="378"/>
      <c r="M4986" s="380"/>
      <c r="N4986" s="380"/>
      <c r="O4986" s="380"/>
      <c r="P4986" s="380"/>
      <c r="Q4986" s="380"/>
    </row>
    <row r="4987" spans="1:17" x14ac:dyDescent="0.2">
      <c r="A4987" s="380"/>
      <c r="B4987" s="380"/>
      <c r="C4987" s="380"/>
      <c r="D4987" s="380"/>
      <c r="E4987" s="380"/>
      <c r="F4987" s="378"/>
      <c r="G4987" s="380"/>
      <c r="H4987" s="380"/>
      <c r="I4987" s="399"/>
      <c r="J4987" s="380"/>
      <c r="K4987" s="380"/>
      <c r="L4987" s="378"/>
      <c r="M4987" s="380"/>
      <c r="N4987" s="380"/>
      <c r="O4987" s="380"/>
      <c r="P4987" s="380"/>
      <c r="Q4987" s="380"/>
    </row>
    <row r="4988" spans="1:17" x14ac:dyDescent="0.2">
      <c r="A4988" s="334" t="s">
        <v>1953</v>
      </c>
      <c r="B4988" s="380"/>
      <c r="C4988" s="334" t="s">
        <v>193</v>
      </c>
      <c r="D4988" s="377">
        <v>12000</v>
      </c>
      <c r="E4988" s="380"/>
      <c r="F4988" s="378"/>
      <c r="G4988" s="380"/>
      <c r="H4988" s="380"/>
      <c r="I4988" s="399"/>
      <c r="J4988" s="377">
        <v>15000</v>
      </c>
      <c r="K4988" s="380"/>
      <c r="L4988" s="378"/>
      <c r="M4988" s="380"/>
      <c r="N4988" s="380"/>
      <c r="O4988" s="380"/>
      <c r="P4988" s="380"/>
      <c r="Q4988" s="380"/>
    </row>
    <row r="4989" spans="1:17" x14ac:dyDescent="0.2">
      <c r="A4989" s="334" t="s">
        <v>1724</v>
      </c>
      <c r="B4989" s="380"/>
      <c r="C4989" s="380" t="s">
        <v>1881</v>
      </c>
      <c r="D4989" s="377">
        <v>1000</v>
      </c>
      <c r="E4989" s="380"/>
      <c r="F4989" s="378"/>
      <c r="G4989" s="380"/>
      <c r="H4989" s="380"/>
      <c r="I4989" s="399"/>
      <c r="J4989" s="377">
        <v>3500</v>
      </c>
      <c r="K4989" s="380"/>
      <c r="L4989" s="378"/>
      <c r="M4989" s="380"/>
      <c r="N4989" s="380"/>
      <c r="O4989" s="380"/>
      <c r="P4989" s="380"/>
      <c r="Q4989" s="380"/>
    </row>
    <row r="4990" spans="1:17" x14ac:dyDescent="0.2">
      <c r="A4990" s="403" t="s">
        <v>1575</v>
      </c>
      <c r="B4990" s="380"/>
      <c r="C4990" s="334" t="s">
        <v>1889</v>
      </c>
      <c r="D4990" s="377"/>
      <c r="E4990" s="380"/>
      <c r="F4990" s="378"/>
      <c r="G4990" s="380"/>
      <c r="H4990" s="380"/>
      <c r="I4990" s="399"/>
      <c r="J4990" s="377">
        <v>300</v>
      </c>
      <c r="K4990" s="380"/>
      <c r="L4990" s="378"/>
      <c r="M4990" s="380"/>
      <c r="N4990" s="380"/>
      <c r="O4990" s="380"/>
      <c r="P4990" s="380"/>
      <c r="Q4990" s="380"/>
    </row>
    <row r="4991" spans="1:17" x14ac:dyDescent="0.2">
      <c r="A4991" s="334" t="s">
        <v>1725</v>
      </c>
      <c r="B4991" s="380"/>
      <c r="C4991" s="334" t="s">
        <v>1890</v>
      </c>
      <c r="D4991" s="377"/>
      <c r="E4991" s="380"/>
      <c r="F4991" s="378"/>
      <c r="G4991" s="380"/>
      <c r="H4991" s="380"/>
      <c r="I4991" s="399"/>
      <c r="J4991" s="377">
        <v>100</v>
      </c>
      <c r="K4991" s="380"/>
      <c r="L4991" s="378"/>
      <c r="M4991" s="380"/>
      <c r="N4991" s="380"/>
      <c r="O4991" s="380"/>
      <c r="P4991" s="380"/>
      <c r="Q4991" s="380"/>
    </row>
    <row r="4992" spans="1:17" x14ac:dyDescent="0.2">
      <c r="A4992" s="334" t="s">
        <v>1576</v>
      </c>
      <c r="B4992" s="380"/>
      <c r="C4992" s="334" t="s">
        <v>1590</v>
      </c>
      <c r="D4992" s="377">
        <v>100</v>
      </c>
      <c r="E4992" s="380"/>
      <c r="F4992" s="378"/>
      <c r="G4992" s="380"/>
      <c r="H4992" s="380"/>
      <c r="I4992" s="399"/>
      <c r="J4992" s="377">
        <v>100</v>
      </c>
      <c r="K4992" s="380"/>
      <c r="L4992" s="378"/>
      <c r="M4992" s="380"/>
      <c r="N4992" s="380"/>
      <c r="O4992" s="380"/>
      <c r="P4992" s="380"/>
      <c r="Q4992" s="380"/>
    </row>
    <row r="4993" spans="1:17" x14ac:dyDescent="0.2">
      <c r="A4993" s="334" t="s">
        <v>1737</v>
      </c>
      <c r="B4993" s="380"/>
      <c r="C4993" s="334" t="s">
        <v>1984</v>
      </c>
      <c r="D4993" s="377"/>
      <c r="E4993" s="380"/>
      <c r="F4993" s="378"/>
      <c r="G4993" s="380"/>
      <c r="H4993" s="380"/>
      <c r="I4993" s="399"/>
      <c r="J4993" s="377"/>
      <c r="K4993" s="380"/>
      <c r="L4993" s="378"/>
      <c r="M4993" s="380"/>
      <c r="N4993" s="380"/>
      <c r="O4993" s="380"/>
      <c r="P4993" s="380"/>
      <c r="Q4993" s="380"/>
    </row>
    <row r="4994" spans="1:17" x14ac:dyDescent="0.2">
      <c r="A4994" s="334" t="s">
        <v>1751</v>
      </c>
      <c r="B4994" s="380"/>
      <c r="C4994" s="334" t="s">
        <v>3138</v>
      </c>
      <c r="D4994" s="377">
        <v>2500</v>
      </c>
      <c r="E4994" s="380"/>
      <c r="F4994" s="378"/>
      <c r="G4994" s="380"/>
      <c r="H4994" s="380"/>
      <c r="I4994" s="399"/>
      <c r="J4994" s="377">
        <v>2000</v>
      </c>
      <c r="K4994" s="380"/>
      <c r="L4994" s="378"/>
      <c r="M4994" s="380"/>
      <c r="N4994" s="380"/>
      <c r="O4994" s="380"/>
      <c r="P4994" s="380"/>
      <c r="Q4994" s="380"/>
    </row>
    <row r="4995" spans="1:17" x14ac:dyDescent="0.2">
      <c r="A4995" s="334" t="s">
        <v>1957</v>
      </c>
      <c r="B4995" s="380"/>
      <c r="C4995" s="334" t="s">
        <v>49</v>
      </c>
      <c r="D4995" s="377"/>
      <c r="E4995" s="380"/>
      <c r="F4995" s="378"/>
      <c r="G4995" s="380"/>
      <c r="H4995" s="380"/>
      <c r="I4995" s="399"/>
      <c r="J4995" s="377"/>
      <c r="K4995" s="380"/>
      <c r="L4995" s="378"/>
      <c r="M4995" s="380"/>
      <c r="N4995" s="380"/>
      <c r="O4995" s="380"/>
      <c r="P4995" s="380"/>
      <c r="Q4995" s="380"/>
    </row>
    <row r="4996" spans="1:17" x14ac:dyDescent="0.2">
      <c r="A4996" s="334" t="s">
        <v>1952</v>
      </c>
      <c r="B4996" s="380"/>
      <c r="C4996" s="334" t="s">
        <v>1251</v>
      </c>
      <c r="D4996" s="377">
        <v>10000</v>
      </c>
      <c r="E4996" s="380"/>
      <c r="F4996" s="378"/>
      <c r="G4996" s="380"/>
      <c r="H4996" s="380"/>
      <c r="I4996" s="399"/>
      <c r="J4996" s="377">
        <v>10000</v>
      </c>
      <c r="K4996" s="380"/>
      <c r="L4996" s="378"/>
      <c r="M4996" s="380"/>
      <c r="N4996" s="380"/>
      <c r="O4996" s="380"/>
      <c r="P4996" s="380"/>
      <c r="Q4996" s="380"/>
    </row>
    <row r="4997" spans="1:17" x14ac:dyDescent="0.2">
      <c r="A4997" s="334" t="s">
        <v>1577</v>
      </c>
      <c r="B4997" s="380"/>
      <c r="C4997" s="334" t="s">
        <v>1815</v>
      </c>
      <c r="D4997" s="377">
        <v>20000</v>
      </c>
      <c r="E4997" s="380"/>
      <c r="F4997" s="378"/>
      <c r="G4997" s="380"/>
      <c r="H4997" s="380"/>
      <c r="I4997" s="399"/>
      <c r="J4997" s="377">
        <v>25000</v>
      </c>
      <c r="K4997" s="380"/>
      <c r="L4997" s="378"/>
      <c r="M4997" s="380"/>
      <c r="N4997" s="380"/>
      <c r="O4997" s="380"/>
      <c r="P4997" s="380"/>
      <c r="Q4997" s="380"/>
    </row>
    <row r="4998" spans="1:17" x14ac:dyDescent="0.2">
      <c r="A4998" s="334" t="s">
        <v>1734</v>
      </c>
      <c r="B4998" s="380"/>
      <c r="C4998" s="334" t="s">
        <v>1746</v>
      </c>
      <c r="D4998" s="377"/>
      <c r="E4998" s="380"/>
      <c r="F4998" s="378"/>
      <c r="G4998" s="380"/>
      <c r="H4998" s="380"/>
      <c r="I4998" s="399"/>
      <c r="J4998" s="377"/>
      <c r="K4998" s="380"/>
      <c r="L4998" s="378"/>
      <c r="M4998" s="380"/>
      <c r="N4998" s="380"/>
      <c r="O4998" s="380"/>
      <c r="P4998" s="380"/>
      <c r="Q4998" s="380"/>
    </row>
    <row r="4999" spans="1:17" x14ac:dyDescent="0.2">
      <c r="A4999" s="334" t="s">
        <v>1738</v>
      </c>
      <c r="B4999" s="380"/>
      <c r="C4999" s="334" t="s">
        <v>1591</v>
      </c>
      <c r="D4999" s="377">
        <v>3500</v>
      </c>
      <c r="E4999" s="380"/>
      <c r="F4999" s="378"/>
      <c r="G4999" s="380"/>
      <c r="H4999" s="380"/>
      <c r="I4999" s="399"/>
      <c r="J4999" s="377"/>
      <c r="K4999" s="380"/>
      <c r="L4999" s="378"/>
      <c r="M4999" s="380"/>
      <c r="N4999" s="380"/>
      <c r="O4999" s="380"/>
      <c r="P4999" s="380"/>
      <c r="Q4999" s="380"/>
    </row>
    <row r="5000" spans="1:17" x14ac:dyDescent="0.2">
      <c r="A5000" s="334" t="s">
        <v>1728</v>
      </c>
      <c r="B5000" s="380"/>
      <c r="C5000" s="334" t="s">
        <v>310</v>
      </c>
      <c r="D5000" s="377">
        <v>200</v>
      </c>
      <c r="E5000" s="380"/>
      <c r="F5000" s="378"/>
      <c r="G5000" s="380"/>
      <c r="H5000" s="380"/>
      <c r="I5000" s="399"/>
      <c r="J5000" s="377"/>
      <c r="K5000" s="380"/>
      <c r="L5000" s="378"/>
      <c r="M5000" s="380"/>
      <c r="N5000" s="380"/>
      <c r="O5000" s="380"/>
      <c r="P5000" s="380"/>
      <c r="Q5000" s="380"/>
    </row>
    <row r="5001" spans="1:17" x14ac:dyDescent="0.2">
      <c r="A5001" s="384" t="s">
        <v>1729</v>
      </c>
      <c r="B5001" s="380"/>
      <c r="C5001" s="380" t="s">
        <v>1551</v>
      </c>
      <c r="D5001" s="377">
        <v>-12730</v>
      </c>
      <c r="E5001" s="380"/>
      <c r="F5001" s="378"/>
      <c r="G5001" s="380"/>
      <c r="H5001" s="380"/>
      <c r="I5001" s="399"/>
      <c r="J5001" s="377"/>
      <c r="K5001" s="380"/>
      <c r="L5001" s="378"/>
      <c r="M5001" s="380"/>
      <c r="N5001" s="380"/>
      <c r="O5001" s="380"/>
      <c r="P5001" s="380"/>
      <c r="Q5001" s="380"/>
    </row>
    <row r="5002" spans="1:17" x14ac:dyDescent="0.2">
      <c r="A5002" s="384" t="s">
        <v>1730</v>
      </c>
      <c r="B5002" s="380"/>
      <c r="C5002" s="334" t="s">
        <v>1985</v>
      </c>
      <c r="D5002" s="377">
        <v>1000</v>
      </c>
      <c r="E5002" s="380"/>
      <c r="F5002" s="378"/>
      <c r="G5002" s="380"/>
      <c r="H5002" s="380"/>
      <c r="I5002" s="399"/>
      <c r="J5002" s="377">
        <v>1000</v>
      </c>
      <c r="K5002" s="380"/>
      <c r="L5002" s="378"/>
      <c r="M5002" s="380"/>
      <c r="N5002" s="380"/>
      <c r="O5002" s="380"/>
      <c r="P5002" s="380"/>
      <c r="Q5002" s="380"/>
    </row>
    <row r="5003" spans="1:17" x14ac:dyDescent="0.2">
      <c r="A5003" s="403" t="s">
        <v>1588</v>
      </c>
      <c r="B5003" s="380"/>
      <c r="C5003" s="334" t="s">
        <v>191</v>
      </c>
      <c r="D5003" s="377">
        <v>350</v>
      </c>
      <c r="E5003" s="380"/>
      <c r="F5003" s="378"/>
      <c r="G5003" s="380"/>
      <c r="H5003" s="380"/>
      <c r="I5003" s="399"/>
      <c r="J5003" s="377">
        <v>350</v>
      </c>
      <c r="K5003" s="380"/>
      <c r="L5003" s="378"/>
      <c r="M5003" s="380"/>
      <c r="N5003" s="380"/>
      <c r="O5003" s="380"/>
      <c r="P5003" s="380"/>
      <c r="Q5003" s="380"/>
    </row>
    <row r="5004" spans="1:17" x14ac:dyDescent="0.2">
      <c r="A5004" s="403" t="s">
        <v>1903</v>
      </c>
      <c r="B5004" s="380"/>
      <c r="C5004" s="334" t="s">
        <v>35</v>
      </c>
      <c r="D5004" s="377">
        <v>12000</v>
      </c>
      <c r="E5004" s="380"/>
      <c r="F5004" s="378"/>
      <c r="G5004" s="380"/>
      <c r="H5004" s="380"/>
      <c r="I5004" s="399"/>
      <c r="J5004" s="377"/>
      <c r="K5004" s="380"/>
      <c r="L5004" s="378"/>
      <c r="M5004" s="380"/>
      <c r="N5004" s="380"/>
      <c r="O5004" s="380"/>
      <c r="P5004" s="380"/>
      <c r="Q5004" s="380"/>
    </row>
    <row r="5005" spans="1:17" x14ac:dyDescent="0.2">
      <c r="A5005" s="384" t="s">
        <v>1743</v>
      </c>
      <c r="B5005" s="380"/>
      <c r="C5005" s="334" t="s">
        <v>1886</v>
      </c>
      <c r="D5005" s="377">
        <v>1000</v>
      </c>
      <c r="E5005" s="380"/>
      <c r="F5005" s="378"/>
      <c r="G5005" s="380"/>
      <c r="H5005" s="380"/>
      <c r="I5005" s="385"/>
      <c r="J5005" s="377">
        <v>1000</v>
      </c>
      <c r="K5005" s="380"/>
      <c r="L5005" s="378"/>
      <c r="M5005" s="380"/>
      <c r="N5005" s="380"/>
      <c r="O5005" s="380"/>
      <c r="P5005" s="380"/>
      <c r="Q5005" s="380"/>
    </row>
    <row r="5006" spans="1:17" x14ac:dyDescent="0.2">
      <c r="A5006" s="380"/>
      <c r="B5006" s="380"/>
      <c r="C5006" s="380"/>
      <c r="D5006" s="410" t="s">
        <v>342</v>
      </c>
      <c r="E5006" s="380"/>
      <c r="F5006" s="378"/>
      <c r="G5006" s="380"/>
      <c r="H5006" s="380"/>
      <c r="I5006" s="385"/>
      <c r="J5006" s="410" t="s">
        <v>342</v>
      </c>
      <c r="K5006" s="380"/>
      <c r="L5006" s="378"/>
      <c r="M5006" s="380"/>
      <c r="N5006" s="380"/>
      <c r="O5006" s="380"/>
      <c r="P5006" s="380"/>
      <c r="Q5006" s="380"/>
    </row>
    <row r="5007" spans="1:17" x14ac:dyDescent="0.2">
      <c r="A5007" s="380"/>
      <c r="B5007" s="380"/>
      <c r="C5007" s="380"/>
      <c r="D5007" s="334">
        <f>SUM(D4988:D5005)</f>
        <v>50920</v>
      </c>
      <c r="E5007" s="380"/>
      <c r="F5007" s="378"/>
      <c r="G5007" s="380"/>
      <c r="H5007" s="380"/>
      <c r="I5007" s="399"/>
      <c r="J5007" s="334">
        <f>SUM(J4988:J5005)</f>
        <v>58350</v>
      </c>
      <c r="K5007" s="380"/>
      <c r="L5007" s="378"/>
      <c r="M5007" s="380"/>
      <c r="N5007" s="380"/>
      <c r="O5007" s="380"/>
      <c r="P5007" s="380"/>
      <c r="Q5007" s="380"/>
    </row>
    <row r="5008" spans="1:17" ht="15.75" thickTop="1" x14ac:dyDescent="0.2">
      <c r="A5008" s="380"/>
      <c r="B5008" s="380"/>
      <c r="C5008" s="380"/>
      <c r="D5008" s="395"/>
      <c r="E5008" s="380"/>
      <c r="F5008" s="378"/>
      <c r="G5008" s="380"/>
      <c r="H5008" s="380"/>
      <c r="I5008" s="382"/>
      <c r="J5008" s="395"/>
      <c r="K5008" s="380"/>
      <c r="L5008" s="378"/>
      <c r="M5008" s="380"/>
      <c r="N5008" s="380"/>
      <c r="O5008" s="380"/>
      <c r="P5008" s="380"/>
      <c r="Q5008" s="380"/>
    </row>
    <row r="5009" spans="1:17" x14ac:dyDescent="0.2">
      <c r="A5009" s="380"/>
      <c r="B5009" s="380"/>
      <c r="C5009" s="380"/>
      <c r="D5009" s="380">
        <f>D5007-D5008</f>
        <v>50920</v>
      </c>
      <c r="E5009" s="380"/>
      <c r="F5009" s="378"/>
      <c r="G5009" s="380"/>
      <c r="H5009" s="380"/>
      <c r="I5009" s="382"/>
      <c r="J5009" s="380">
        <f>J5007-J5008</f>
        <v>58350</v>
      </c>
      <c r="K5009" s="380"/>
      <c r="L5009" s="378"/>
      <c r="M5009" s="380"/>
      <c r="N5009" s="380"/>
      <c r="O5009" s="380"/>
      <c r="P5009" s="380"/>
      <c r="Q5009" s="380"/>
    </row>
    <row r="5010" spans="1:17" x14ac:dyDescent="0.2">
      <c r="A5010" s="380"/>
      <c r="B5010" s="380"/>
      <c r="C5010" s="380"/>
      <c r="D5010" s="380"/>
      <c r="E5010" s="377"/>
      <c r="F5010" s="378"/>
      <c r="G5010" s="377"/>
      <c r="H5010" s="377"/>
      <c r="I5010" s="399"/>
      <c r="J5010" s="380"/>
      <c r="K5010" s="377"/>
      <c r="L5010" s="378"/>
      <c r="M5010" s="377"/>
      <c r="N5010" s="377"/>
      <c r="O5010" s="380"/>
      <c r="P5010" s="380"/>
      <c r="Q5010" s="380"/>
    </row>
    <row r="5011" spans="1:17" x14ac:dyDescent="0.2">
      <c r="A5011" s="334" t="s">
        <v>1869</v>
      </c>
      <c r="B5011" s="377"/>
      <c r="C5011" s="377"/>
      <c r="D5011" s="377"/>
      <c r="E5011" s="380"/>
      <c r="F5011" s="378"/>
      <c r="G5011" s="380"/>
      <c r="H5011" s="380"/>
      <c r="I5011" s="382"/>
      <c r="J5011" s="377"/>
      <c r="K5011" s="380"/>
      <c r="L5011" s="378"/>
      <c r="M5011" s="380"/>
      <c r="N5011" s="380"/>
      <c r="O5011" s="380"/>
      <c r="P5011" s="380"/>
      <c r="Q5011" s="380"/>
    </row>
    <row r="5012" spans="1:17" x14ac:dyDescent="0.2">
      <c r="A5012" s="380"/>
      <c r="B5012" s="380"/>
      <c r="C5012" s="384" t="s">
        <v>2187</v>
      </c>
      <c r="D5012" s="380"/>
      <c r="E5012" s="380"/>
      <c r="F5012" s="378"/>
      <c r="G5012" s="380"/>
      <c r="H5012" s="380"/>
      <c r="I5012" s="382"/>
      <c r="J5012" s="380"/>
      <c r="K5012" s="380"/>
      <c r="L5012" s="378"/>
      <c r="M5012" s="380"/>
      <c r="N5012" s="380"/>
      <c r="O5012" s="380"/>
      <c r="P5012" s="380"/>
      <c r="Q5012" s="380"/>
    </row>
    <row r="5013" spans="1:17" x14ac:dyDescent="0.2">
      <c r="A5013" s="380"/>
      <c r="B5013" s="380"/>
      <c r="C5013" s="380"/>
      <c r="D5013" s="380"/>
      <c r="E5013" s="380"/>
      <c r="F5013" s="378"/>
      <c r="G5013" s="380"/>
      <c r="H5013" s="380"/>
      <c r="I5013" s="382"/>
      <c r="J5013" s="380"/>
      <c r="K5013" s="380"/>
      <c r="L5013" s="378"/>
      <c r="M5013" s="380"/>
      <c r="N5013" s="380"/>
      <c r="O5013" s="380"/>
      <c r="P5013" s="380"/>
      <c r="Q5013" s="380"/>
    </row>
    <row r="5014" spans="1:17" x14ac:dyDescent="0.2">
      <c r="A5014" s="380" t="s">
        <v>1723</v>
      </c>
      <c r="B5014" s="380"/>
      <c r="C5014" s="380" t="s">
        <v>1880</v>
      </c>
      <c r="D5014" s="380" t="s">
        <v>181</v>
      </c>
      <c r="E5014" s="380"/>
      <c r="F5014" s="378"/>
      <c r="G5014" s="380"/>
      <c r="H5014" s="380"/>
      <c r="I5014" s="382"/>
      <c r="J5014" s="380" t="s">
        <v>181</v>
      </c>
      <c r="K5014" s="380"/>
      <c r="L5014" s="378"/>
      <c r="M5014" s="380"/>
      <c r="N5014" s="380"/>
      <c r="O5014" s="380"/>
      <c r="P5014" s="380"/>
      <c r="Q5014" s="380"/>
    </row>
    <row r="5015" spans="1:17" x14ac:dyDescent="0.2">
      <c r="A5015" s="380"/>
      <c r="B5015" s="380"/>
      <c r="C5015" s="380"/>
      <c r="D5015" s="380"/>
      <c r="E5015" s="380"/>
      <c r="F5015" s="378"/>
      <c r="G5015" s="380"/>
      <c r="H5015" s="380"/>
      <c r="I5015" s="382"/>
      <c r="J5015" s="380"/>
      <c r="K5015" s="380"/>
      <c r="L5015" s="378"/>
      <c r="M5015" s="380"/>
      <c r="N5015" s="380"/>
      <c r="O5015" s="380"/>
      <c r="P5015" s="380"/>
      <c r="Q5015" s="380"/>
    </row>
    <row r="5016" spans="1:17" x14ac:dyDescent="0.2">
      <c r="A5016" s="391" t="s">
        <v>1569</v>
      </c>
      <c r="B5016" s="380"/>
      <c r="C5016" s="334" t="s">
        <v>1888</v>
      </c>
      <c r="D5016" s="380"/>
      <c r="E5016" s="380"/>
      <c r="F5016" s="378"/>
      <c r="G5016" s="380"/>
      <c r="H5016" s="380"/>
      <c r="I5016" s="382"/>
      <c r="J5016" s="380"/>
      <c r="K5016" s="380"/>
      <c r="L5016" s="378"/>
      <c r="M5016" s="380"/>
      <c r="N5016" s="380"/>
      <c r="O5016" s="380"/>
      <c r="P5016" s="380"/>
      <c r="Q5016" s="380"/>
    </row>
    <row r="5017" spans="1:17" x14ac:dyDescent="0.2">
      <c r="A5017" s="391" t="s">
        <v>1743</v>
      </c>
      <c r="B5017" s="380"/>
      <c r="C5017" s="334" t="s">
        <v>1886</v>
      </c>
      <c r="D5017" s="380"/>
      <c r="E5017" s="380"/>
      <c r="F5017" s="378"/>
      <c r="G5017" s="380"/>
      <c r="H5017" s="380"/>
      <c r="I5017" s="382"/>
      <c r="J5017" s="380"/>
      <c r="K5017" s="380"/>
      <c r="L5017" s="378"/>
      <c r="M5017" s="380"/>
      <c r="N5017" s="380"/>
      <c r="O5017" s="380"/>
      <c r="P5017" s="380"/>
      <c r="Q5017" s="380"/>
    </row>
    <row r="5018" spans="1:17" x14ac:dyDescent="0.2">
      <c r="A5018" s="334" t="s">
        <v>1724</v>
      </c>
      <c r="B5018" s="380"/>
      <c r="C5018" s="380" t="s">
        <v>1881</v>
      </c>
      <c r="D5018" s="380">
        <v>2550</v>
      </c>
      <c r="E5018" s="380"/>
      <c r="F5018" s="378"/>
      <c r="G5018" s="380"/>
      <c r="H5018" s="380"/>
      <c r="I5018" s="382"/>
      <c r="J5018" s="380">
        <v>2500</v>
      </c>
      <c r="K5018" s="380"/>
      <c r="L5018" s="378"/>
      <c r="M5018" s="380"/>
      <c r="N5018" s="380"/>
      <c r="O5018" s="380"/>
      <c r="P5018" s="380"/>
      <c r="Q5018" s="380"/>
    </row>
    <row r="5019" spans="1:17" x14ac:dyDescent="0.2">
      <c r="A5019" s="334" t="s">
        <v>1736</v>
      </c>
      <c r="B5019" s="380"/>
      <c r="C5019" s="380" t="s">
        <v>1747</v>
      </c>
      <c r="D5019" s="380">
        <v>13998.52</v>
      </c>
      <c r="E5019" s="380"/>
      <c r="F5019" s="378"/>
      <c r="G5019" s="380"/>
      <c r="H5019" s="380"/>
      <c r="I5019" s="382"/>
      <c r="J5019" s="380">
        <v>19239</v>
      </c>
      <c r="K5019" s="380"/>
      <c r="L5019" s="378"/>
      <c r="M5019" s="380"/>
      <c r="N5019" s="380"/>
      <c r="O5019" s="380"/>
      <c r="P5019" s="380"/>
      <c r="Q5019" s="380"/>
    </row>
    <row r="5020" spans="1:17" x14ac:dyDescent="0.2">
      <c r="A5020" s="334" t="s">
        <v>1744</v>
      </c>
      <c r="B5020" s="380"/>
      <c r="C5020" s="334" t="s">
        <v>1254</v>
      </c>
      <c r="D5020" s="380">
        <v>500</v>
      </c>
      <c r="E5020" s="380"/>
      <c r="F5020" s="378"/>
      <c r="G5020" s="380"/>
      <c r="H5020" s="380"/>
      <c r="I5020" s="382"/>
      <c r="J5020" s="380">
        <v>1450</v>
      </c>
      <c r="K5020" s="380"/>
      <c r="L5020" s="378"/>
      <c r="M5020" s="380"/>
      <c r="N5020" s="380"/>
      <c r="O5020" s="380"/>
      <c r="P5020" s="380"/>
      <c r="Q5020" s="380"/>
    </row>
    <row r="5021" spans="1:17" x14ac:dyDescent="0.2">
      <c r="A5021" s="334" t="s">
        <v>1575</v>
      </c>
      <c r="B5021" s="380"/>
      <c r="C5021" s="334" t="s">
        <v>1889</v>
      </c>
      <c r="D5021" s="380">
        <v>300</v>
      </c>
      <c r="E5021" s="380"/>
      <c r="F5021" s="378"/>
      <c r="G5021" s="380"/>
      <c r="H5021" s="380"/>
      <c r="I5021" s="382"/>
      <c r="J5021" s="380">
        <v>300</v>
      </c>
      <c r="K5021" s="380"/>
      <c r="L5021" s="378"/>
      <c r="M5021" s="380"/>
      <c r="N5021" s="380"/>
      <c r="O5021" s="380"/>
      <c r="P5021" s="380"/>
      <c r="Q5021" s="380"/>
    </row>
    <row r="5022" spans="1:17" x14ac:dyDescent="0.2">
      <c r="A5022" s="334" t="s">
        <v>1725</v>
      </c>
      <c r="B5022" s="380"/>
      <c r="C5022" s="334" t="s">
        <v>1890</v>
      </c>
      <c r="D5022" s="380">
        <v>150</v>
      </c>
      <c r="E5022" s="380"/>
      <c r="F5022" s="378"/>
      <c r="G5022" s="380"/>
      <c r="H5022" s="380"/>
      <c r="I5022" s="382"/>
      <c r="J5022" s="380">
        <v>150</v>
      </c>
      <c r="K5022" s="380"/>
      <c r="L5022" s="378"/>
      <c r="M5022" s="380"/>
      <c r="N5022" s="380"/>
      <c r="O5022" s="380"/>
      <c r="P5022" s="380"/>
      <c r="Q5022" s="380"/>
    </row>
    <row r="5023" spans="1:17" x14ac:dyDescent="0.2">
      <c r="A5023" s="334" t="s">
        <v>1576</v>
      </c>
      <c r="B5023" s="380"/>
      <c r="C5023" s="334" t="s">
        <v>1590</v>
      </c>
      <c r="D5023" s="380">
        <v>150</v>
      </c>
      <c r="E5023" s="380"/>
      <c r="F5023" s="378"/>
      <c r="G5023" s="380"/>
      <c r="H5023" s="380"/>
      <c r="I5023" s="382"/>
      <c r="J5023" s="380">
        <v>150</v>
      </c>
      <c r="K5023" s="380"/>
      <c r="L5023" s="378"/>
      <c r="M5023" s="380"/>
      <c r="N5023" s="380"/>
      <c r="O5023" s="380"/>
      <c r="P5023" s="380"/>
      <c r="Q5023" s="380"/>
    </row>
    <row r="5024" spans="1:17" x14ac:dyDescent="0.2">
      <c r="A5024" s="334" t="s">
        <v>1565</v>
      </c>
      <c r="B5024" s="380"/>
      <c r="C5024" s="334" t="s">
        <v>1927</v>
      </c>
      <c r="D5024" s="380"/>
      <c r="E5024" s="380"/>
      <c r="F5024" s="378"/>
      <c r="G5024" s="380"/>
      <c r="H5024" s="380"/>
      <c r="I5024" s="382"/>
      <c r="J5024" s="380"/>
      <c r="K5024" s="380"/>
      <c r="L5024" s="378"/>
      <c r="M5024" s="380"/>
      <c r="N5024" s="380"/>
      <c r="O5024" s="380"/>
      <c r="P5024" s="380"/>
      <c r="Q5024" s="380"/>
    </row>
    <row r="5025" spans="1:17" x14ac:dyDescent="0.2">
      <c r="A5025" s="334" t="s">
        <v>1737</v>
      </c>
      <c r="B5025" s="380"/>
      <c r="C5025" s="334" t="s">
        <v>1984</v>
      </c>
      <c r="D5025" s="380"/>
      <c r="E5025" s="380"/>
      <c r="F5025" s="378"/>
      <c r="G5025" s="380"/>
      <c r="H5025" s="380"/>
      <c r="I5025" s="382"/>
      <c r="J5025" s="380"/>
      <c r="K5025" s="380"/>
      <c r="L5025" s="378"/>
      <c r="M5025" s="380"/>
      <c r="N5025" s="380"/>
      <c r="O5025" s="380"/>
      <c r="P5025" s="380"/>
      <c r="Q5025" s="380"/>
    </row>
    <row r="5026" spans="1:17" x14ac:dyDescent="0.2">
      <c r="A5026" s="334" t="s">
        <v>1726</v>
      </c>
      <c r="B5026" s="380"/>
      <c r="C5026" s="334" t="s">
        <v>1117</v>
      </c>
      <c r="D5026" s="380"/>
      <c r="E5026" s="380"/>
      <c r="F5026" s="378"/>
      <c r="G5026" s="380"/>
      <c r="H5026" s="380"/>
      <c r="I5026" s="382"/>
      <c r="J5026" s="380"/>
      <c r="K5026" s="380"/>
      <c r="L5026" s="378"/>
      <c r="M5026" s="380"/>
      <c r="N5026" s="380"/>
      <c r="O5026" s="380"/>
      <c r="P5026" s="380"/>
      <c r="Q5026" s="380"/>
    </row>
    <row r="5027" spans="1:17" x14ac:dyDescent="0.2">
      <c r="A5027" s="391" t="s">
        <v>1760</v>
      </c>
      <c r="B5027" s="380"/>
      <c r="C5027" s="334" t="s">
        <v>40</v>
      </c>
      <c r="D5027" s="380">
        <v>25000</v>
      </c>
      <c r="E5027" s="380"/>
      <c r="F5027" s="378"/>
      <c r="G5027" s="380"/>
      <c r="H5027" s="380"/>
      <c r="I5027" s="382"/>
      <c r="J5027" s="380">
        <v>5000</v>
      </c>
      <c r="K5027" s="380"/>
      <c r="L5027" s="378"/>
      <c r="M5027" s="380"/>
      <c r="N5027" s="380"/>
      <c r="O5027" s="380"/>
      <c r="P5027" s="380"/>
      <c r="Q5027" s="380"/>
    </row>
    <row r="5028" spans="1:17" x14ac:dyDescent="0.2">
      <c r="A5028" s="391" t="s">
        <v>1734</v>
      </c>
      <c r="B5028" s="380"/>
      <c r="C5028" s="334" t="s">
        <v>1746</v>
      </c>
      <c r="D5028" s="380">
        <v>7000</v>
      </c>
      <c r="E5028" s="380"/>
      <c r="F5028" s="378"/>
      <c r="G5028" s="380"/>
      <c r="H5028" s="380"/>
      <c r="I5028" s="382"/>
      <c r="J5028" s="380">
        <v>8500</v>
      </c>
      <c r="K5028" s="380"/>
      <c r="L5028" s="378"/>
      <c r="M5028" s="380"/>
      <c r="N5028" s="380"/>
      <c r="O5028" s="380"/>
      <c r="P5028" s="380"/>
      <c r="Q5028" s="380"/>
    </row>
    <row r="5029" spans="1:17" x14ac:dyDescent="0.2">
      <c r="A5029" s="384" t="s">
        <v>1578</v>
      </c>
      <c r="B5029" s="380"/>
      <c r="C5029" s="334" t="s">
        <v>22</v>
      </c>
      <c r="D5029" s="380"/>
      <c r="E5029" s="380"/>
      <c r="F5029" s="378"/>
      <c r="G5029" s="380"/>
      <c r="H5029" s="380"/>
      <c r="I5029" s="382"/>
      <c r="J5029" s="380"/>
      <c r="K5029" s="380"/>
      <c r="L5029" s="378"/>
      <c r="M5029" s="380"/>
      <c r="N5029" s="380"/>
      <c r="O5029" s="380"/>
      <c r="P5029" s="380"/>
      <c r="Q5029" s="380"/>
    </row>
    <row r="5030" spans="1:17" x14ac:dyDescent="0.2">
      <c r="A5030" s="334" t="s">
        <v>1583</v>
      </c>
      <c r="B5030" s="380"/>
      <c r="C5030" s="334" t="s">
        <v>41</v>
      </c>
      <c r="D5030" s="380">
        <v>49126.720000000001</v>
      </c>
      <c r="E5030" s="380"/>
      <c r="F5030" s="378"/>
      <c r="G5030" s="380"/>
      <c r="H5030" s="380"/>
      <c r="I5030" s="382"/>
      <c r="J5030" s="380">
        <v>48751.92</v>
      </c>
      <c r="K5030" s="380"/>
      <c r="L5030" s="378"/>
      <c r="M5030" s="380"/>
      <c r="N5030" s="380"/>
      <c r="O5030" s="380"/>
      <c r="P5030" s="380"/>
      <c r="Q5030" s="380"/>
    </row>
    <row r="5031" spans="1:17" x14ac:dyDescent="0.2">
      <c r="A5031" s="334" t="s">
        <v>1738</v>
      </c>
      <c r="B5031" s="380"/>
      <c r="C5031" s="334" t="s">
        <v>1591</v>
      </c>
      <c r="D5031" s="380">
        <v>400</v>
      </c>
      <c r="E5031" s="380"/>
      <c r="F5031" s="378"/>
      <c r="G5031" s="380"/>
      <c r="H5031" s="380"/>
      <c r="I5031" s="382"/>
      <c r="J5031" s="380">
        <v>400</v>
      </c>
      <c r="K5031" s="380"/>
      <c r="L5031" s="378"/>
      <c r="M5031" s="380"/>
      <c r="N5031" s="380"/>
      <c r="O5031" s="380"/>
      <c r="P5031" s="380"/>
      <c r="Q5031" s="380"/>
    </row>
    <row r="5032" spans="1:17" x14ac:dyDescent="0.2">
      <c r="A5032" s="334" t="s">
        <v>1727</v>
      </c>
      <c r="B5032" s="380"/>
      <c r="C5032" s="334" t="s">
        <v>307</v>
      </c>
      <c r="D5032" s="380">
        <v>300</v>
      </c>
      <c r="E5032" s="380"/>
      <c r="F5032" s="378"/>
      <c r="G5032" s="380"/>
      <c r="H5032" s="380"/>
      <c r="I5032" s="382"/>
      <c r="J5032" s="380">
        <v>300</v>
      </c>
      <c r="K5032" s="380"/>
      <c r="L5032" s="378"/>
      <c r="M5032" s="380"/>
      <c r="N5032" s="380"/>
      <c r="O5032" s="380"/>
      <c r="P5032" s="380"/>
      <c r="Q5032" s="380"/>
    </row>
    <row r="5033" spans="1:17" x14ac:dyDescent="0.2">
      <c r="A5033" s="334" t="s">
        <v>1728</v>
      </c>
      <c r="B5033" s="380"/>
      <c r="C5033" s="334" t="s">
        <v>310</v>
      </c>
      <c r="D5033" s="380">
        <v>150</v>
      </c>
      <c r="E5033" s="380"/>
      <c r="F5033" s="378"/>
      <c r="G5033" s="380"/>
      <c r="H5033" s="380"/>
      <c r="I5033" s="382"/>
      <c r="J5033" s="380">
        <v>50</v>
      </c>
      <c r="K5033" s="380"/>
      <c r="L5033" s="378"/>
      <c r="M5033" s="380"/>
      <c r="N5033" s="380"/>
      <c r="O5033" s="380"/>
      <c r="P5033" s="380"/>
      <c r="Q5033" s="380"/>
    </row>
    <row r="5034" spans="1:17" x14ac:dyDescent="0.2">
      <c r="A5034" s="334" t="s">
        <v>1729</v>
      </c>
      <c r="B5034" s="380"/>
      <c r="C5034" s="380" t="s">
        <v>1551</v>
      </c>
      <c r="D5034" s="380">
        <v>-103692.22</v>
      </c>
      <c r="E5034" s="380"/>
      <c r="F5034" s="378"/>
      <c r="G5034" s="380"/>
      <c r="H5034" s="380"/>
      <c r="I5034" s="382"/>
      <c r="J5034" s="380">
        <v>50</v>
      </c>
      <c r="K5034" s="380"/>
      <c r="L5034" s="378"/>
      <c r="M5034" s="380"/>
      <c r="N5034" s="380"/>
      <c r="O5034" s="380"/>
      <c r="P5034" s="380"/>
      <c r="Q5034" s="380"/>
    </row>
    <row r="5035" spans="1:17" x14ac:dyDescent="0.2">
      <c r="A5035" s="334" t="s">
        <v>1735</v>
      </c>
      <c r="B5035" s="380"/>
      <c r="C5035" s="380" t="s">
        <v>194</v>
      </c>
      <c r="D5035" s="380">
        <v>50</v>
      </c>
      <c r="E5035" s="380"/>
      <c r="F5035" s="378"/>
      <c r="G5035" s="380"/>
      <c r="H5035" s="380"/>
      <c r="I5035" s="382"/>
      <c r="J5035" s="380">
        <v>50</v>
      </c>
      <c r="K5035" s="380"/>
      <c r="L5035" s="378"/>
      <c r="M5035" s="380"/>
      <c r="N5035" s="380"/>
      <c r="O5035" s="380"/>
      <c r="P5035" s="380"/>
      <c r="Q5035" s="380"/>
    </row>
    <row r="5036" spans="1:17" x14ac:dyDescent="0.2">
      <c r="A5036" s="384" t="s">
        <v>1741</v>
      </c>
      <c r="B5036" s="380"/>
      <c r="C5036" s="334" t="s">
        <v>1748</v>
      </c>
      <c r="D5036" s="380">
        <v>840</v>
      </c>
      <c r="E5036" s="380"/>
      <c r="F5036" s="378"/>
      <c r="G5036" s="380"/>
      <c r="H5036" s="380"/>
      <c r="I5036" s="382"/>
      <c r="J5036" s="380">
        <v>50</v>
      </c>
      <c r="K5036" s="380"/>
      <c r="L5036" s="378"/>
      <c r="M5036" s="380"/>
      <c r="N5036" s="380"/>
      <c r="O5036" s="380"/>
      <c r="P5036" s="380"/>
      <c r="Q5036" s="380"/>
    </row>
    <row r="5037" spans="1:17" x14ac:dyDescent="0.2">
      <c r="A5037" s="384" t="s">
        <v>1754</v>
      </c>
      <c r="B5037" s="380"/>
      <c r="C5037" s="334" t="s">
        <v>1929</v>
      </c>
      <c r="D5037" s="380">
        <v>50</v>
      </c>
      <c r="E5037" s="380"/>
      <c r="F5037" s="378"/>
      <c r="G5037" s="380"/>
      <c r="H5037" s="380"/>
      <c r="I5037" s="382"/>
      <c r="J5037" s="380"/>
      <c r="K5037" s="380"/>
      <c r="L5037" s="378"/>
      <c r="M5037" s="380"/>
      <c r="N5037" s="380"/>
      <c r="O5037" s="380"/>
      <c r="P5037" s="380"/>
      <c r="Q5037" s="380"/>
    </row>
    <row r="5038" spans="1:17" x14ac:dyDescent="0.2">
      <c r="A5038" s="334" t="s">
        <v>1730</v>
      </c>
      <c r="B5038" s="380"/>
      <c r="C5038" s="334" t="s">
        <v>1985</v>
      </c>
      <c r="D5038" s="380">
        <v>8500</v>
      </c>
      <c r="E5038" s="380"/>
      <c r="F5038" s="378"/>
      <c r="G5038" s="380"/>
      <c r="H5038" s="380"/>
      <c r="I5038" s="382"/>
      <c r="J5038" s="380">
        <v>6400</v>
      </c>
      <c r="K5038" s="380"/>
      <c r="L5038" s="378"/>
      <c r="M5038" s="380"/>
      <c r="N5038" s="380"/>
      <c r="O5038" s="380"/>
      <c r="P5038" s="380"/>
      <c r="Q5038" s="380"/>
    </row>
    <row r="5039" spans="1:17" x14ac:dyDescent="0.2">
      <c r="A5039" s="384" t="s">
        <v>1588</v>
      </c>
      <c r="B5039" s="380"/>
      <c r="C5039" s="334" t="s">
        <v>191</v>
      </c>
      <c r="D5039" s="380">
        <v>980</v>
      </c>
      <c r="E5039" s="380"/>
      <c r="F5039" s="378"/>
      <c r="G5039" s="380"/>
      <c r="H5039" s="380"/>
      <c r="I5039" s="382"/>
      <c r="J5039" s="380"/>
      <c r="K5039" s="380"/>
      <c r="L5039" s="378"/>
      <c r="M5039" s="380"/>
      <c r="N5039" s="380"/>
      <c r="O5039" s="380"/>
      <c r="P5039" s="380"/>
      <c r="Q5039" s="380"/>
    </row>
    <row r="5040" spans="1:17" x14ac:dyDescent="0.2">
      <c r="A5040" s="391" t="s">
        <v>1903</v>
      </c>
      <c r="B5040" s="380"/>
      <c r="C5040" s="334" t="s">
        <v>35</v>
      </c>
      <c r="D5040" s="380">
        <v>135797.31</v>
      </c>
      <c r="E5040" s="380"/>
      <c r="F5040" s="378"/>
      <c r="G5040" s="380"/>
      <c r="H5040" s="380"/>
      <c r="I5040" s="382"/>
      <c r="J5040" s="380">
        <v>126290.58</v>
      </c>
      <c r="K5040" s="380"/>
      <c r="L5040" s="378"/>
      <c r="M5040" s="380"/>
      <c r="N5040" s="380"/>
      <c r="O5040" s="380"/>
      <c r="P5040" s="380"/>
      <c r="Q5040" s="380"/>
    </row>
    <row r="5041" spans="1:17" x14ac:dyDescent="0.2">
      <c r="A5041" s="384" t="s">
        <v>1962</v>
      </c>
      <c r="B5041" s="380"/>
      <c r="C5041" s="380" t="s">
        <v>572</v>
      </c>
      <c r="D5041" s="380">
        <v>47473.71</v>
      </c>
      <c r="E5041" s="380"/>
      <c r="F5041" s="378"/>
      <c r="G5041" s="380"/>
      <c r="H5041" s="380"/>
      <c r="I5041" s="382"/>
      <c r="J5041" s="380"/>
      <c r="K5041" s="380"/>
      <c r="L5041" s="378"/>
      <c r="M5041" s="380"/>
      <c r="N5041" s="380"/>
      <c r="O5041" s="380"/>
      <c r="P5041" s="380"/>
      <c r="Q5041" s="380"/>
    </row>
    <row r="5042" spans="1:17" x14ac:dyDescent="0.2">
      <c r="A5042" s="334" t="s">
        <v>1743</v>
      </c>
      <c r="B5042" s="380"/>
      <c r="C5042" s="334" t="s">
        <v>1886</v>
      </c>
      <c r="D5042" s="380">
        <v>10000</v>
      </c>
      <c r="E5042" s="380"/>
      <c r="F5042" s="378"/>
      <c r="G5042" s="380"/>
      <c r="H5042" s="380"/>
      <c r="I5042" s="382"/>
      <c r="J5042" s="380">
        <v>13920</v>
      </c>
      <c r="K5042" s="380"/>
      <c r="L5042" s="378"/>
      <c r="M5042" s="380"/>
      <c r="N5042" s="380"/>
      <c r="O5042" s="380"/>
      <c r="P5042" s="380"/>
      <c r="Q5042" s="380"/>
    </row>
    <row r="5043" spans="1:17" x14ac:dyDescent="0.2">
      <c r="A5043" s="384" t="s">
        <v>1567</v>
      </c>
      <c r="B5043" s="380"/>
      <c r="C5043" s="334" t="s">
        <v>3142</v>
      </c>
      <c r="D5043" s="380">
        <v>64254.67</v>
      </c>
      <c r="E5043" s="380"/>
      <c r="F5043" s="378"/>
      <c r="G5043" s="380"/>
      <c r="H5043" s="380"/>
      <c r="I5043" s="385"/>
      <c r="J5043" s="380">
        <v>30000</v>
      </c>
      <c r="K5043" s="380"/>
      <c r="L5043" s="378"/>
      <c r="M5043" s="380"/>
      <c r="N5043" s="380"/>
      <c r="O5043" s="380"/>
      <c r="P5043" s="380"/>
      <c r="Q5043" s="380"/>
    </row>
    <row r="5044" spans="1:17" x14ac:dyDescent="0.2">
      <c r="A5044" s="380"/>
      <c r="B5044" s="380"/>
      <c r="C5044" s="380"/>
      <c r="D5044" s="410" t="s">
        <v>342</v>
      </c>
      <c r="E5044" s="380"/>
      <c r="F5044" s="378"/>
      <c r="G5044" s="380"/>
      <c r="H5044" s="380"/>
      <c r="I5044" s="385"/>
      <c r="J5044" s="410" t="s">
        <v>342</v>
      </c>
      <c r="K5044" s="380"/>
      <c r="L5044" s="378"/>
      <c r="M5044" s="380"/>
      <c r="N5044" s="380"/>
      <c r="O5044" s="380"/>
      <c r="P5044" s="380"/>
      <c r="Q5044" s="380"/>
    </row>
    <row r="5045" spans="1:17" x14ac:dyDescent="0.2">
      <c r="A5045" s="380"/>
      <c r="B5045" s="380"/>
      <c r="C5045" s="380"/>
      <c r="D5045" s="334">
        <f>SUM(D5016:D5043)</f>
        <v>263878.71000000002</v>
      </c>
      <c r="E5045" s="380"/>
      <c r="F5045" s="378"/>
      <c r="G5045" s="380"/>
      <c r="H5045" s="380"/>
      <c r="I5045" s="399"/>
      <c r="J5045" s="334">
        <f>SUM(J5016:J5043)</f>
        <v>263551.5</v>
      </c>
      <c r="K5045" s="380"/>
      <c r="L5045" s="378"/>
      <c r="M5045" s="380"/>
      <c r="N5045" s="380"/>
      <c r="O5045" s="380"/>
      <c r="P5045" s="380"/>
      <c r="Q5045" s="380"/>
    </row>
    <row r="5046" spans="1:17" ht="15.75" thickTop="1" x14ac:dyDescent="0.2">
      <c r="A5046" s="380"/>
      <c r="B5046" s="380"/>
      <c r="C5046" s="380"/>
      <c r="D5046" s="395">
        <f>D5045</f>
        <v>263878.71000000002</v>
      </c>
      <c r="E5046" s="380"/>
      <c r="F5046" s="378"/>
      <c r="G5046" s="380"/>
      <c r="H5046" s="380"/>
      <c r="I5046" s="382"/>
      <c r="J5046" s="395">
        <f>J5045</f>
        <v>263551.5</v>
      </c>
      <c r="K5046" s="380"/>
      <c r="L5046" s="378"/>
      <c r="M5046" s="380"/>
      <c r="N5046" s="380"/>
      <c r="O5046" s="380"/>
      <c r="P5046" s="380"/>
      <c r="Q5046" s="380"/>
    </row>
    <row r="5047" spans="1:17" x14ac:dyDescent="0.2">
      <c r="A5047" s="380"/>
      <c r="B5047" s="380"/>
      <c r="C5047" s="380"/>
      <c r="D5047" s="380"/>
      <c r="E5047" s="380"/>
      <c r="F5047" s="378"/>
      <c r="G5047" s="380"/>
      <c r="H5047" s="380"/>
      <c r="I5047" s="382"/>
      <c r="J5047" s="380"/>
      <c r="K5047" s="380"/>
      <c r="L5047" s="378"/>
      <c r="M5047" s="380"/>
      <c r="N5047" s="380"/>
      <c r="O5047" s="380"/>
      <c r="P5047" s="380"/>
      <c r="Q5047" s="380"/>
    </row>
    <row r="5048" spans="1:17" x14ac:dyDescent="0.2">
      <c r="A5048" s="380"/>
      <c r="B5048" s="380"/>
      <c r="C5048" s="380"/>
      <c r="D5048" s="380"/>
      <c r="E5048" s="380"/>
      <c r="F5048" s="378"/>
      <c r="G5048" s="380"/>
      <c r="H5048" s="380"/>
      <c r="I5048" s="382"/>
      <c r="J5048" s="380"/>
      <c r="K5048" s="380"/>
      <c r="L5048" s="378"/>
      <c r="M5048" s="380"/>
      <c r="N5048" s="380"/>
      <c r="O5048" s="380"/>
      <c r="P5048" s="380"/>
      <c r="Q5048" s="380"/>
    </row>
    <row r="5049" spans="1:17" x14ac:dyDescent="0.2">
      <c r="A5049" s="380"/>
      <c r="B5049" s="380"/>
      <c r="C5049" s="380"/>
      <c r="D5049" s="380"/>
      <c r="E5049" s="377"/>
      <c r="F5049" s="378"/>
      <c r="G5049" s="377"/>
      <c r="H5049" s="377"/>
      <c r="I5049" s="385"/>
      <c r="J5049" s="380"/>
      <c r="K5049" s="377"/>
      <c r="L5049" s="378"/>
      <c r="M5049" s="377"/>
      <c r="N5049" s="377"/>
      <c r="O5049" s="380"/>
      <c r="P5049" s="380"/>
      <c r="Q5049" s="380"/>
    </row>
    <row r="5050" spans="1:17" x14ac:dyDescent="0.2">
      <c r="A5050" s="334" t="s">
        <v>1870</v>
      </c>
      <c r="B5050" s="377"/>
      <c r="C5050" s="377"/>
      <c r="D5050" s="334"/>
      <c r="E5050" s="380"/>
      <c r="F5050" s="378"/>
      <c r="G5050" s="380"/>
      <c r="H5050" s="380"/>
      <c r="I5050" s="385"/>
      <c r="J5050" s="334"/>
      <c r="K5050" s="380"/>
      <c r="L5050" s="378"/>
      <c r="M5050" s="380"/>
      <c r="N5050" s="380"/>
      <c r="O5050" s="380"/>
      <c r="P5050" s="380"/>
      <c r="Q5050" s="380"/>
    </row>
    <row r="5051" spans="1:17" x14ac:dyDescent="0.2">
      <c r="A5051" s="334"/>
      <c r="B5051" s="380"/>
      <c r="C5051" s="442" t="s">
        <v>2084</v>
      </c>
      <c r="D5051" s="334"/>
      <c r="E5051" s="380"/>
      <c r="F5051" s="378"/>
      <c r="G5051" s="380"/>
      <c r="H5051" s="380"/>
      <c r="I5051" s="382"/>
      <c r="J5051" s="334"/>
      <c r="K5051" s="380"/>
      <c r="L5051" s="378"/>
      <c r="M5051" s="380"/>
      <c r="N5051" s="380"/>
      <c r="O5051" s="380"/>
      <c r="P5051" s="380"/>
      <c r="Q5051" s="380"/>
    </row>
    <row r="5052" spans="1:17" x14ac:dyDescent="0.2">
      <c r="A5052" s="380"/>
      <c r="B5052" s="380"/>
      <c r="C5052" s="380"/>
      <c r="D5052" s="380"/>
      <c r="E5052" s="380"/>
      <c r="F5052" s="378"/>
      <c r="G5052" s="380"/>
      <c r="H5052" s="380"/>
      <c r="I5052" s="382"/>
      <c r="J5052" s="380"/>
      <c r="K5052" s="380"/>
      <c r="L5052" s="378"/>
      <c r="M5052" s="380"/>
      <c r="N5052" s="380"/>
      <c r="O5052" s="380"/>
      <c r="P5052" s="380"/>
      <c r="Q5052" s="380"/>
    </row>
    <row r="5053" spans="1:17" x14ac:dyDescent="0.2">
      <c r="A5053" s="334" t="s">
        <v>1723</v>
      </c>
      <c r="B5053" s="380"/>
      <c r="C5053" s="334" t="s">
        <v>1880</v>
      </c>
      <c r="D5053" s="380" t="s">
        <v>181</v>
      </c>
      <c r="E5053" s="380"/>
      <c r="F5053" s="378"/>
      <c r="G5053" s="380"/>
      <c r="H5053" s="380"/>
      <c r="I5053" s="382"/>
      <c r="J5053" s="380" t="s">
        <v>181</v>
      </c>
      <c r="K5053" s="380"/>
      <c r="L5053" s="378"/>
      <c r="M5053" s="380"/>
      <c r="N5053" s="380"/>
      <c r="O5053" s="380"/>
      <c r="P5053" s="380"/>
      <c r="Q5053" s="380"/>
    </row>
    <row r="5054" spans="1:17" x14ac:dyDescent="0.2">
      <c r="A5054" s="380"/>
      <c r="B5054" s="380"/>
      <c r="C5054" s="380"/>
      <c r="D5054" s="380"/>
      <c r="E5054" s="380"/>
      <c r="F5054" s="378"/>
      <c r="G5054" s="380"/>
      <c r="H5054" s="380"/>
      <c r="I5054" s="399"/>
      <c r="J5054" s="380"/>
      <c r="K5054" s="380"/>
      <c r="L5054" s="378"/>
      <c r="M5054" s="380"/>
      <c r="N5054" s="380"/>
      <c r="O5054" s="380"/>
      <c r="P5054" s="380"/>
      <c r="Q5054" s="380"/>
    </row>
    <row r="5055" spans="1:17" x14ac:dyDescent="0.2">
      <c r="A5055" s="391" t="s">
        <v>1743</v>
      </c>
      <c r="B5055" s="380"/>
      <c r="C5055" s="334" t="s">
        <v>1886</v>
      </c>
      <c r="D5055" s="377">
        <v>35000</v>
      </c>
      <c r="E5055" s="380"/>
      <c r="F5055" s="378"/>
      <c r="G5055" s="380"/>
      <c r="H5055" s="380"/>
      <c r="I5055" s="399"/>
      <c r="J5055" s="377">
        <v>35000</v>
      </c>
      <c r="K5055" s="380"/>
      <c r="L5055" s="378"/>
      <c r="M5055" s="380"/>
      <c r="N5055" s="380"/>
      <c r="O5055" s="380"/>
      <c r="P5055" s="380"/>
      <c r="Q5055" s="380"/>
    </row>
    <row r="5056" spans="1:17" x14ac:dyDescent="0.2">
      <c r="A5056" s="334" t="s">
        <v>1966</v>
      </c>
      <c r="B5056" s="380"/>
      <c r="C5056" s="334" t="s">
        <v>28</v>
      </c>
      <c r="D5056" s="377">
        <v>41000</v>
      </c>
      <c r="E5056" s="380"/>
      <c r="F5056" s="378"/>
      <c r="G5056" s="380"/>
      <c r="H5056" s="380"/>
      <c r="I5056" s="399"/>
      <c r="J5056" s="377">
        <v>41000</v>
      </c>
      <c r="K5056" s="380"/>
      <c r="L5056" s="378"/>
      <c r="M5056" s="380"/>
      <c r="N5056" s="380"/>
      <c r="O5056" s="380"/>
      <c r="P5056" s="380"/>
      <c r="Q5056" s="380"/>
    </row>
    <row r="5057" spans="1:17" x14ac:dyDescent="0.2">
      <c r="A5057" s="334" t="s">
        <v>1724</v>
      </c>
      <c r="B5057" s="380"/>
      <c r="C5057" s="334" t="s">
        <v>1881</v>
      </c>
      <c r="D5057" s="377">
        <v>70000</v>
      </c>
      <c r="E5057" s="380"/>
      <c r="F5057" s="378"/>
      <c r="G5057" s="380"/>
      <c r="H5057" s="380"/>
      <c r="I5057" s="399"/>
      <c r="J5057" s="377">
        <v>70000</v>
      </c>
      <c r="K5057" s="380"/>
      <c r="L5057" s="378"/>
      <c r="M5057" s="380"/>
      <c r="N5057" s="380"/>
      <c r="O5057" s="380"/>
      <c r="P5057" s="380"/>
      <c r="Q5057" s="380"/>
    </row>
    <row r="5058" spans="1:17" x14ac:dyDescent="0.2">
      <c r="A5058" s="334" t="s">
        <v>1744</v>
      </c>
      <c r="B5058" s="380"/>
      <c r="C5058" s="334" t="s">
        <v>1254</v>
      </c>
      <c r="D5058" s="377">
        <v>100</v>
      </c>
      <c r="E5058" s="380"/>
      <c r="F5058" s="378"/>
      <c r="G5058" s="380"/>
      <c r="H5058" s="380"/>
      <c r="I5058" s="399"/>
      <c r="J5058" s="377">
        <v>100</v>
      </c>
      <c r="K5058" s="380"/>
      <c r="L5058" s="378"/>
      <c r="M5058" s="380"/>
      <c r="N5058" s="380"/>
      <c r="O5058" s="380"/>
      <c r="P5058" s="380"/>
      <c r="Q5058" s="380"/>
    </row>
    <row r="5059" spans="1:17" x14ac:dyDescent="0.2">
      <c r="A5059" s="334" t="s">
        <v>1737</v>
      </c>
      <c r="B5059" s="380"/>
      <c r="C5059" s="334" t="s">
        <v>1984</v>
      </c>
      <c r="D5059" s="377">
        <v>1000</v>
      </c>
      <c r="E5059" s="380"/>
      <c r="F5059" s="378"/>
      <c r="G5059" s="380"/>
      <c r="H5059" s="380"/>
      <c r="I5059" s="399"/>
      <c r="J5059" s="377">
        <v>1000</v>
      </c>
      <c r="K5059" s="380"/>
      <c r="L5059" s="378"/>
      <c r="M5059" s="380"/>
      <c r="N5059" s="380"/>
      <c r="O5059" s="380"/>
      <c r="P5059" s="380"/>
      <c r="Q5059" s="380"/>
    </row>
    <row r="5060" spans="1:17" x14ac:dyDescent="0.2">
      <c r="A5060" s="334" t="s">
        <v>1726</v>
      </c>
      <c r="B5060" s="380"/>
      <c r="C5060" s="334" t="s">
        <v>1117</v>
      </c>
      <c r="D5060" s="377"/>
      <c r="E5060" s="380"/>
      <c r="F5060" s="378"/>
      <c r="G5060" s="380"/>
      <c r="H5060" s="380"/>
      <c r="I5060" s="399"/>
      <c r="J5060" s="377"/>
      <c r="K5060" s="380"/>
      <c r="L5060" s="378"/>
      <c r="M5060" s="380"/>
      <c r="N5060" s="380"/>
      <c r="O5060" s="380"/>
      <c r="P5060" s="380"/>
      <c r="Q5060" s="380"/>
    </row>
    <row r="5061" spans="1:17" x14ac:dyDescent="0.2">
      <c r="A5061" s="334" t="s">
        <v>1734</v>
      </c>
      <c r="B5061" s="380"/>
      <c r="C5061" s="334" t="s">
        <v>1746</v>
      </c>
      <c r="D5061" s="377">
        <v>1000</v>
      </c>
      <c r="E5061" s="380"/>
      <c r="F5061" s="378"/>
      <c r="G5061" s="380"/>
      <c r="H5061" s="380"/>
      <c r="I5061" s="399"/>
      <c r="J5061" s="377">
        <v>1000</v>
      </c>
      <c r="K5061" s="380"/>
      <c r="L5061" s="378"/>
      <c r="M5061" s="380"/>
      <c r="N5061" s="380"/>
      <c r="O5061" s="380"/>
      <c r="P5061" s="380"/>
      <c r="Q5061" s="380"/>
    </row>
    <row r="5062" spans="1:17" x14ac:dyDescent="0.2">
      <c r="A5062" s="334" t="s">
        <v>1578</v>
      </c>
      <c r="B5062" s="380"/>
      <c r="C5062" s="334" t="s">
        <v>22</v>
      </c>
      <c r="D5062" s="377"/>
      <c r="E5062" s="380"/>
      <c r="F5062" s="378"/>
      <c r="G5062" s="380"/>
      <c r="H5062" s="380"/>
      <c r="I5062" s="399"/>
      <c r="J5062" s="377"/>
      <c r="K5062" s="380"/>
      <c r="L5062" s="378"/>
      <c r="M5062" s="380"/>
      <c r="N5062" s="380"/>
      <c r="O5062" s="380"/>
      <c r="P5062" s="380"/>
      <c r="Q5062" s="380"/>
    </row>
    <row r="5063" spans="1:17" x14ac:dyDescent="0.2">
      <c r="A5063" s="334" t="s">
        <v>1738</v>
      </c>
      <c r="B5063" s="380"/>
      <c r="C5063" s="334" t="s">
        <v>1591</v>
      </c>
      <c r="D5063" s="377">
        <v>25</v>
      </c>
      <c r="E5063" s="380"/>
      <c r="F5063" s="378"/>
      <c r="G5063" s="380"/>
      <c r="H5063" s="380"/>
      <c r="I5063" s="399"/>
      <c r="J5063" s="377">
        <v>25</v>
      </c>
      <c r="K5063" s="380"/>
      <c r="L5063" s="378"/>
      <c r="M5063" s="380"/>
      <c r="N5063" s="380"/>
      <c r="O5063" s="380"/>
      <c r="P5063" s="380"/>
      <c r="Q5063" s="380"/>
    </row>
    <row r="5064" spans="1:17" x14ac:dyDescent="0.2">
      <c r="A5064" s="334" t="s">
        <v>1727</v>
      </c>
      <c r="B5064" s="380"/>
      <c r="C5064" s="334" t="s">
        <v>307</v>
      </c>
      <c r="D5064" s="377">
        <v>100</v>
      </c>
      <c r="E5064" s="380"/>
      <c r="F5064" s="378"/>
      <c r="G5064" s="380"/>
      <c r="H5064" s="380"/>
      <c r="I5064" s="399"/>
      <c r="J5064" s="377">
        <v>75</v>
      </c>
      <c r="K5064" s="380"/>
      <c r="L5064" s="378"/>
      <c r="M5064" s="380"/>
      <c r="N5064" s="380"/>
      <c r="O5064" s="380"/>
      <c r="P5064" s="380"/>
      <c r="Q5064" s="380"/>
    </row>
    <row r="5065" spans="1:17" x14ac:dyDescent="0.2">
      <c r="A5065" s="334" t="s">
        <v>1728</v>
      </c>
      <c r="B5065" s="380"/>
      <c r="C5065" s="334" t="s">
        <v>310</v>
      </c>
      <c r="D5065" s="377"/>
      <c r="E5065" s="380"/>
      <c r="F5065" s="378"/>
      <c r="G5065" s="380"/>
      <c r="H5065" s="380"/>
      <c r="I5065" s="399"/>
      <c r="J5065" s="377">
        <v>25</v>
      </c>
      <c r="K5065" s="380"/>
      <c r="L5065" s="378"/>
      <c r="M5065" s="380"/>
      <c r="N5065" s="380"/>
      <c r="O5065" s="380"/>
      <c r="P5065" s="380"/>
      <c r="Q5065" s="380"/>
    </row>
    <row r="5066" spans="1:17" x14ac:dyDescent="0.2">
      <c r="A5066" s="334" t="s">
        <v>1735</v>
      </c>
      <c r="B5066" s="380"/>
      <c r="C5066" s="380" t="s">
        <v>194</v>
      </c>
      <c r="D5066" s="377"/>
      <c r="E5066" s="380"/>
      <c r="F5066" s="378"/>
      <c r="G5066" s="380"/>
      <c r="H5066" s="380"/>
      <c r="I5066" s="399"/>
      <c r="J5066" s="377">
        <v>900</v>
      </c>
      <c r="K5066" s="380"/>
      <c r="L5066" s="378"/>
      <c r="M5066" s="380"/>
      <c r="N5066" s="380"/>
      <c r="O5066" s="380"/>
      <c r="P5066" s="380"/>
      <c r="Q5066" s="380"/>
    </row>
    <row r="5067" spans="1:17" x14ac:dyDescent="0.2">
      <c r="A5067" s="384" t="s">
        <v>1741</v>
      </c>
      <c r="B5067" s="380"/>
      <c r="C5067" s="334" t="s">
        <v>1748</v>
      </c>
      <c r="D5067" s="377">
        <v>10</v>
      </c>
      <c r="E5067" s="380"/>
      <c r="F5067" s="378"/>
      <c r="G5067" s="380"/>
      <c r="H5067" s="380"/>
      <c r="I5067" s="399"/>
      <c r="J5067" s="377">
        <v>10</v>
      </c>
      <c r="K5067" s="380"/>
      <c r="L5067" s="378"/>
      <c r="M5067" s="380"/>
      <c r="N5067" s="380"/>
      <c r="O5067" s="380"/>
      <c r="P5067" s="380"/>
      <c r="Q5067" s="380"/>
    </row>
    <row r="5068" spans="1:17" x14ac:dyDescent="0.2">
      <c r="A5068" s="334" t="s">
        <v>1729</v>
      </c>
      <c r="B5068" s="380"/>
      <c r="C5068" s="380" t="s">
        <v>1551</v>
      </c>
      <c r="D5068" s="377">
        <v>-50000</v>
      </c>
      <c r="E5068" s="380"/>
      <c r="F5068" s="378"/>
      <c r="G5068" s="380"/>
      <c r="H5068" s="380"/>
      <c r="I5068" s="399"/>
      <c r="J5068" s="377"/>
      <c r="K5068" s="380"/>
      <c r="L5068" s="378"/>
      <c r="M5068" s="380"/>
      <c r="N5068" s="380"/>
      <c r="O5068" s="380"/>
      <c r="P5068" s="380"/>
      <c r="Q5068" s="380"/>
    </row>
    <row r="5069" spans="1:17" x14ac:dyDescent="0.2">
      <c r="A5069" s="403" t="s">
        <v>1587</v>
      </c>
      <c r="B5069" s="380"/>
      <c r="C5069" s="334" t="s">
        <v>34</v>
      </c>
      <c r="D5069" s="377">
        <v>100</v>
      </c>
      <c r="E5069" s="380"/>
      <c r="F5069" s="378"/>
      <c r="G5069" s="380"/>
      <c r="H5069" s="380"/>
      <c r="I5069" s="399"/>
      <c r="J5069" s="377">
        <v>100</v>
      </c>
      <c r="K5069" s="380"/>
      <c r="L5069" s="378"/>
      <c r="M5069" s="380"/>
      <c r="N5069" s="380"/>
      <c r="O5069" s="380"/>
      <c r="P5069" s="380"/>
      <c r="Q5069" s="380"/>
    </row>
    <row r="5070" spans="1:17" x14ac:dyDescent="0.2">
      <c r="A5070" s="334" t="s">
        <v>1903</v>
      </c>
      <c r="B5070" s="380"/>
      <c r="C5070" s="334" t="s">
        <v>35</v>
      </c>
      <c r="D5070" s="377">
        <v>3500</v>
      </c>
      <c r="E5070" s="380"/>
      <c r="F5070" s="378"/>
      <c r="G5070" s="380"/>
      <c r="H5070" s="380"/>
      <c r="I5070" s="399"/>
      <c r="J5070" s="377">
        <v>3500</v>
      </c>
      <c r="K5070" s="380"/>
      <c r="L5070" s="378"/>
      <c r="M5070" s="380"/>
      <c r="N5070" s="380"/>
      <c r="O5070" s="380"/>
      <c r="P5070" s="380"/>
      <c r="Q5070" s="380"/>
    </row>
    <row r="5071" spans="1:17" x14ac:dyDescent="0.2">
      <c r="A5071" s="334" t="s">
        <v>1947</v>
      </c>
      <c r="B5071" s="380"/>
      <c r="C5071" s="334" t="s">
        <v>29</v>
      </c>
      <c r="D5071" s="377">
        <v>150000</v>
      </c>
      <c r="E5071" s="380"/>
      <c r="F5071" s="378"/>
      <c r="G5071" s="380"/>
      <c r="H5071" s="380"/>
      <c r="I5071" s="399"/>
      <c r="J5071" s="377">
        <v>150000</v>
      </c>
      <c r="K5071" s="380"/>
      <c r="L5071" s="378"/>
      <c r="M5071" s="380"/>
      <c r="N5071" s="380"/>
      <c r="O5071" s="380"/>
      <c r="P5071" s="380"/>
      <c r="Q5071" s="380"/>
    </row>
    <row r="5072" spans="1:17" x14ac:dyDescent="0.2">
      <c r="A5072" s="384" t="s">
        <v>1962</v>
      </c>
      <c r="B5072" s="380"/>
      <c r="C5072" s="380" t="s">
        <v>572</v>
      </c>
      <c r="D5072" s="377"/>
      <c r="E5072" s="380"/>
      <c r="F5072" s="378"/>
      <c r="G5072" s="380"/>
      <c r="H5072" s="380"/>
      <c r="I5072" s="399"/>
      <c r="J5072" s="377"/>
      <c r="K5072" s="380"/>
      <c r="L5072" s="378"/>
      <c r="M5072" s="380"/>
      <c r="N5072" s="380"/>
      <c r="O5072" s="380"/>
      <c r="P5072" s="380"/>
      <c r="Q5072" s="380"/>
    </row>
    <row r="5073" spans="1:17" x14ac:dyDescent="0.2">
      <c r="A5073" s="384" t="s">
        <v>1567</v>
      </c>
      <c r="B5073" s="380"/>
      <c r="C5073" s="334" t="s">
        <v>3142</v>
      </c>
      <c r="D5073" s="377"/>
      <c r="E5073" s="380"/>
      <c r="F5073" s="378"/>
      <c r="G5073" s="380"/>
      <c r="H5073" s="380"/>
      <c r="I5073" s="399"/>
      <c r="J5073" s="377"/>
      <c r="K5073" s="380"/>
      <c r="L5073" s="378"/>
      <c r="M5073" s="380"/>
      <c r="N5073" s="380"/>
      <c r="O5073" s="380"/>
      <c r="P5073" s="380"/>
      <c r="Q5073" s="380"/>
    </row>
    <row r="5074" spans="1:17" x14ac:dyDescent="0.2">
      <c r="A5074" s="380"/>
      <c r="B5074" s="380"/>
      <c r="C5074" s="380"/>
      <c r="D5074" s="394"/>
      <c r="E5074" s="380"/>
      <c r="F5074" s="378"/>
      <c r="G5074" s="380"/>
      <c r="H5074" s="380"/>
      <c r="I5074" s="399"/>
      <c r="J5074" s="394"/>
      <c r="K5074" s="380"/>
      <c r="L5074" s="378"/>
      <c r="M5074" s="380"/>
      <c r="N5074" s="380"/>
      <c r="O5074" s="380"/>
      <c r="P5074" s="380"/>
      <c r="Q5074" s="380"/>
    </row>
    <row r="5075" spans="1:17" x14ac:dyDescent="0.2">
      <c r="A5075" s="380"/>
      <c r="B5075" s="380"/>
      <c r="C5075" s="380"/>
      <c r="D5075" s="377">
        <f>SUM(D5055:D5073)</f>
        <v>251835</v>
      </c>
      <c r="E5075" s="380"/>
      <c r="F5075" s="378"/>
      <c r="G5075" s="380"/>
      <c r="H5075" s="380"/>
      <c r="I5075" s="399"/>
      <c r="J5075" s="377">
        <f>SUM(J5055:J5073)</f>
        <v>302735</v>
      </c>
      <c r="K5075" s="380"/>
      <c r="L5075" s="378"/>
      <c r="M5075" s="380"/>
      <c r="N5075" s="380"/>
      <c r="O5075" s="380"/>
      <c r="P5075" s="380"/>
      <c r="Q5075" s="380"/>
    </row>
    <row r="5076" spans="1:17" ht="15.75" thickTop="1" x14ac:dyDescent="0.2">
      <c r="A5076" s="380"/>
      <c r="B5076" s="380"/>
      <c r="C5076" s="380"/>
      <c r="D5076" s="395">
        <f>D5075</f>
        <v>251835</v>
      </c>
      <c r="E5076" s="380"/>
      <c r="F5076" s="378"/>
      <c r="G5076" s="380"/>
      <c r="H5076" s="380"/>
      <c r="I5076" s="382"/>
      <c r="J5076" s="395">
        <f>J5075</f>
        <v>302735</v>
      </c>
      <c r="K5076" s="380"/>
      <c r="L5076" s="378"/>
      <c r="M5076" s="380"/>
      <c r="N5076" s="380"/>
      <c r="O5076" s="380"/>
      <c r="P5076" s="380"/>
      <c r="Q5076" s="380"/>
    </row>
    <row r="5077" spans="1:17" x14ac:dyDescent="0.2">
      <c r="A5077" s="380"/>
      <c r="B5077" s="380"/>
      <c r="C5077" s="380"/>
      <c r="D5077" s="380"/>
      <c r="E5077" s="380"/>
      <c r="F5077" s="378"/>
      <c r="G5077" s="380"/>
      <c r="H5077" s="380"/>
      <c r="I5077" s="382"/>
      <c r="J5077" s="380"/>
      <c r="K5077" s="380"/>
      <c r="L5077" s="378"/>
      <c r="M5077" s="380"/>
      <c r="N5077" s="380"/>
      <c r="O5077" s="380"/>
      <c r="P5077" s="380"/>
      <c r="Q5077" s="380"/>
    </row>
    <row r="5078" spans="1:17" x14ac:dyDescent="0.2">
      <c r="A5078" s="380"/>
      <c r="B5078" s="380"/>
      <c r="C5078" s="380"/>
      <c r="D5078" s="380"/>
      <c r="E5078" s="380"/>
      <c r="F5078" s="378"/>
      <c r="G5078" s="380"/>
      <c r="H5078" s="380"/>
      <c r="I5078" s="382"/>
      <c r="J5078" s="380"/>
      <c r="K5078" s="380"/>
      <c r="L5078" s="378"/>
      <c r="M5078" s="380"/>
      <c r="N5078" s="380"/>
      <c r="O5078" s="380"/>
      <c r="P5078" s="380"/>
      <c r="Q5078" s="380"/>
    </row>
    <row r="5079" spans="1:17" x14ac:dyDescent="0.2">
      <c r="A5079" s="380"/>
      <c r="B5079" s="380"/>
      <c r="C5079" s="380"/>
      <c r="D5079" s="380"/>
      <c r="E5079" s="380"/>
      <c r="F5079" s="378"/>
      <c r="G5079" s="380"/>
      <c r="H5079" s="380"/>
      <c r="I5079" s="382"/>
      <c r="J5079" s="380"/>
      <c r="K5079" s="380"/>
      <c r="L5079" s="378"/>
      <c r="M5079" s="380"/>
      <c r="N5079" s="380"/>
      <c r="O5079" s="380"/>
      <c r="P5079" s="380"/>
      <c r="Q5079" s="380"/>
    </row>
    <row r="5080" spans="1:17" x14ac:dyDescent="0.2">
      <c r="A5080" s="380"/>
      <c r="B5080" s="380"/>
      <c r="C5080" s="380"/>
      <c r="D5080" s="380"/>
      <c r="E5080" s="377"/>
      <c r="F5080" s="378"/>
      <c r="G5080" s="377"/>
      <c r="H5080" s="377"/>
      <c r="I5080" s="385"/>
      <c r="J5080" s="380"/>
      <c r="K5080" s="377"/>
      <c r="L5080" s="378"/>
      <c r="M5080" s="377"/>
      <c r="N5080" s="377"/>
      <c r="O5080" s="380"/>
      <c r="P5080" s="380"/>
      <c r="Q5080" s="380"/>
    </row>
    <row r="5081" spans="1:17" x14ac:dyDescent="0.2">
      <c r="A5081" s="334" t="s">
        <v>1871</v>
      </c>
      <c r="B5081" s="377"/>
      <c r="C5081" s="377"/>
      <c r="D5081" s="334"/>
      <c r="E5081" s="380"/>
      <c r="F5081" s="378"/>
      <c r="G5081" s="380"/>
      <c r="H5081" s="380"/>
      <c r="I5081" s="385"/>
      <c r="J5081" s="334"/>
      <c r="K5081" s="380"/>
      <c r="L5081" s="378"/>
      <c r="M5081" s="380"/>
      <c r="N5081" s="380"/>
      <c r="O5081" s="380"/>
      <c r="P5081" s="380"/>
      <c r="Q5081" s="380"/>
    </row>
    <row r="5082" spans="1:17" x14ac:dyDescent="0.2">
      <c r="A5082" s="334"/>
      <c r="B5082" s="380"/>
      <c r="C5082" s="442" t="s">
        <v>2085</v>
      </c>
      <c r="D5082" s="334"/>
      <c r="E5082" s="380"/>
      <c r="F5082" s="378"/>
      <c r="G5082" s="380"/>
      <c r="H5082" s="380"/>
      <c r="I5082" s="382"/>
      <c r="J5082" s="334"/>
      <c r="K5082" s="380"/>
      <c r="L5082" s="378"/>
      <c r="M5082" s="380"/>
      <c r="N5082" s="380"/>
      <c r="O5082" s="380"/>
      <c r="P5082" s="380"/>
      <c r="Q5082" s="380"/>
    </row>
    <row r="5083" spans="1:17" x14ac:dyDescent="0.2">
      <c r="A5083" s="380"/>
      <c r="B5083" s="380"/>
      <c r="C5083" s="380"/>
      <c r="D5083" s="380"/>
      <c r="E5083" s="380"/>
      <c r="F5083" s="378"/>
      <c r="G5083" s="380"/>
      <c r="H5083" s="380"/>
      <c r="I5083" s="382"/>
      <c r="J5083" s="380"/>
      <c r="K5083" s="380"/>
      <c r="L5083" s="378"/>
      <c r="M5083" s="380"/>
      <c r="N5083" s="380"/>
      <c r="O5083" s="380"/>
      <c r="P5083" s="380"/>
      <c r="Q5083" s="380"/>
    </row>
    <row r="5084" spans="1:17" x14ac:dyDescent="0.2">
      <c r="A5084" s="334" t="s">
        <v>1723</v>
      </c>
      <c r="B5084" s="380"/>
      <c r="C5084" s="334" t="s">
        <v>1880</v>
      </c>
      <c r="D5084" s="380" t="s">
        <v>181</v>
      </c>
      <c r="E5084" s="380"/>
      <c r="F5084" s="378"/>
      <c r="G5084" s="380"/>
      <c r="H5084" s="380"/>
      <c r="I5084" s="382"/>
      <c r="J5084" s="380" t="s">
        <v>181</v>
      </c>
      <c r="K5084" s="380"/>
      <c r="L5084" s="378"/>
      <c r="M5084" s="380"/>
      <c r="N5084" s="380"/>
      <c r="O5084" s="380"/>
      <c r="P5084" s="380"/>
      <c r="Q5084" s="380"/>
    </row>
    <row r="5085" spans="1:17" x14ac:dyDescent="0.2">
      <c r="A5085" s="380"/>
      <c r="B5085" s="380"/>
      <c r="C5085" s="380"/>
      <c r="D5085" s="380"/>
      <c r="E5085" s="380"/>
      <c r="F5085" s="378"/>
      <c r="G5085" s="380"/>
      <c r="H5085" s="380"/>
      <c r="I5085" s="399"/>
      <c r="J5085" s="380"/>
      <c r="K5085" s="380"/>
      <c r="L5085" s="378"/>
      <c r="M5085" s="380"/>
      <c r="N5085" s="380"/>
      <c r="O5085" s="380"/>
      <c r="P5085" s="380"/>
      <c r="Q5085" s="380"/>
    </row>
    <row r="5086" spans="1:17" x14ac:dyDescent="0.2">
      <c r="A5086" s="334" t="s">
        <v>1568</v>
      </c>
      <c r="B5086" s="380"/>
      <c r="C5086" s="380" t="s">
        <v>1817</v>
      </c>
      <c r="D5086" s="377"/>
      <c r="E5086" s="380"/>
      <c r="F5086" s="378"/>
      <c r="G5086" s="380"/>
      <c r="H5086" s="380"/>
      <c r="I5086" s="399"/>
      <c r="J5086" s="377"/>
      <c r="K5086" s="380"/>
      <c r="L5086" s="378"/>
      <c r="M5086" s="380"/>
      <c r="N5086" s="380"/>
      <c r="O5086" s="380"/>
      <c r="P5086" s="380"/>
      <c r="Q5086" s="380"/>
    </row>
    <row r="5087" spans="1:17" x14ac:dyDescent="0.2">
      <c r="A5087" s="334" t="s">
        <v>1966</v>
      </c>
      <c r="B5087" s="380"/>
      <c r="C5087" s="334" t="s">
        <v>28</v>
      </c>
      <c r="D5087" s="377"/>
      <c r="E5087" s="380"/>
      <c r="F5087" s="378"/>
      <c r="G5087" s="380"/>
      <c r="H5087" s="380"/>
      <c r="I5087" s="399"/>
      <c r="J5087" s="377"/>
      <c r="K5087" s="380"/>
      <c r="L5087" s="378"/>
      <c r="M5087" s="380"/>
      <c r="N5087" s="380"/>
      <c r="O5087" s="380"/>
      <c r="P5087" s="380"/>
      <c r="Q5087" s="380"/>
    </row>
    <row r="5088" spans="1:17" x14ac:dyDescent="0.2">
      <c r="A5088" s="403" t="s">
        <v>1743</v>
      </c>
      <c r="B5088" s="380"/>
      <c r="C5088" s="334" t="s">
        <v>1886</v>
      </c>
      <c r="D5088" s="377"/>
      <c r="E5088" s="380"/>
      <c r="F5088" s="378"/>
      <c r="G5088" s="380"/>
      <c r="H5088" s="380"/>
      <c r="I5088" s="399"/>
      <c r="J5088" s="377"/>
      <c r="K5088" s="380"/>
      <c r="L5088" s="378"/>
      <c r="M5088" s="380"/>
      <c r="N5088" s="380"/>
      <c r="O5088" s="380"/>
      <c r="P5088" s="380"/>
      <c r="Q5088" s="380"/>
    </row>
    <row r="5089" spans="1:17" x14ac:dyDescent="0.2">
      <c r="A5089" s="334" t="s">
        <v>1724</v>
      </c>
      <c r="B5089" s="380"/>
      <c r="C5089" s="334" t="s">
        <v>1881</v>
      </c>
      <c r="D5089" s="377"/>
      <c r="E5089" s="380"/>
      <c r="F5089" s="378"/>
      <c r="G5089" s="380"/>
      <c r="H5089" s="380"/>
      <c r="I5089" s="399"/>
      <c r="J5089" s="377"/>
      <c r="K5089" s="380"/>
      <c r="L5089" s="378"/>
      <c r="M5089" s="380"/>
      <c r="N5089" s="380"/>
      <c r="O5089" s="380"/>
      <c r="P5089" s="380"/>
      <c r="Q5089" s="380"/>
    </row>
    <row r="5090" spans="1:17" x14ac:dyDescent="0.2">
      <c r="A5090" s="403" t="s">
        <v>1736</v>
      </c>
      <c r="B5090" s="380"/>
      <c r="C5090" s="334" t="s">
        <v>1747</v>
      </c>
      <c r="D5090" s="377"/>
      <c r="E5090" s="380"/>
      <c r="F5090" s="378"/>
      <c r="G5090" s="380"/>
      <c r="H5090" s="380"/>
      <c r="I5090" s="399"/>
      <c r="J5090" s="377"/>
      <c r="K5090" s="380"/>
      <c r="L5090" s="378"/>
      <c r="M5090" s="380"/>
      <c r="N5090" s="380"/>
      <c r="O5090" s="380"/>
      <c r="P5090" s="380"/>
      <c r="Q5090" s="380"/>
    </row>
    <row r="5091" spans="1:17" x14ac:dyDescent="0.2">
      <c r="A5091" s="334" t="s">
        <v>1744</v>
      </c>
      <c r="B5091" s="380"/>
      <c r="C5091" s="334" t="s">
        <v>1254</v>
      </c>
      <c r="D5091" s="377"/>
      <c r="E5091" s="380"/>
      <c r="F5091" s="378"/>
      <c r="G5091" s="380"/>
      <c r="H5091" s="380"/>
      <c r="I5091" s="399"/>
      <c r="J5091" s="377"/>
      <c r="K5091" s="380"/>
      <c r="L5091" s="378"/>
      <c r="M5091" s="380"/>
      <c r="N5091" s="380"/>
      <c r="O5091" s="380"/>
      <c r="P5091" s="380"/>
      <c r="Q5091" s="380"/>
    </row>
    <row r="5092" spans="1:17" x14ac:dyDescent="0.2">
      <c r="A5092" s="403" t="s">
        <v>1576</v>
      </c>
      <c r="B5092" s="380"/>
      <c r="C5092" s="334" t="s">
        <v>1590</v>
      </c>
      <c r="D5092" s="377"/>
      <c r="E5092" s="380"/>
      <c r="F5092" s="378"/>
      <c r="G5092" s="380"/>
      <c r="H5092" s="380"/>
      <c r="I5092" s="399"/>
      <c r="J5092" s="377"/>
      <c r="K5092" s="380"/>
      <c r="L5092" s="378"/>
      <c r="M5092" s="380"/>
      <c r="N5092" s="380"/>
      <c r="O5092" s="380"/>
      <c r="P5092" s="380"/>
      <c r="Q5092" s="380"/>
    </row>
    <row r="5093" spans="1:17" x14ac:dyDescent="0.2">
      <c r="A5093" s="334" t="s">
        <v>1737</v>
      </c>
      <c r="B5093" s="380"/>
      <c r="C5093" s="334" t="s">
        <v>1984</v>
      </c>
      <c r="D5093" s="377"/>
      <c r="E5093" s="380"/>
      <c r="F5093" s="378"/>
      <c r="G5093" s="380"/>
      <c r="H5093" s="380"/>
      <c r="I5093" s="399"/>
      <c r="J5093" s="377"/>
      <c r="K5093" s="380"/>
      <c r="L5093" s="378"/>
      <c r="M5093" s="380"/>
      <c r="N5093" s="380"/>
      <c r="O5093" s="380"/>
      <c r="P5093" s="380"/>
      <c r="Q5093" s="380"/>
    </row>
    <row r="5094" spans="1:17" x14ac:dyDescent="0.2">
      <c r="A5094" s="334" t="s">
        <v>1726</v>
      </c>
      <c r="B5094" s="380"/>
      <c r="C5094" s="334" t="s">
        <v>1117</v>
      </c>
      <c r="D5094" s="377"/>
      <c r="E5094" s="380"/>
      <c r="F5094" s="378"/>
      <c r="G5094" s="380"/>
      <c r="H5094" s="380"/>
      <c r="I5094" s="399"/>
      <c r="J5094" s="377"/>
      <c r="K5094" s="380"/>
      <c r="L5094" s="378"/>
      <c r="M5094" s="380"/>
      <c r="N5094" s="380"/>
      <c r="O5094" s="380"/>
      <c r="P5094" s="380"/>
      <c r="Q5094" s="380"/>
    </row>
    <row r="5095" spans="1:17" x14ac:dyDescent="0.2">
      <c r="A5095" s="334" t="s">
        <v>1872</v>
      </c>
      <c r="B5095" s="380"/>
      <c r="C5095" s="334" t="s">
        <v>3139</v>
      </c>
      <c r="D5095" s="377"/>
      <c r="E5095" s="380"/>
      <c r="F5095" s="378"/>
      <c r="G5095" s="380"/>
      <c r="H5095" s="380"/>
      <c r="I5095" s="399"/>
      <c r="J5095" s="377"/>
      <c r="K5095" s="380"/>
      <c r="L5095" s="378"/>
      <c r="M5095" s="380"/>
      <c r="N5095" s="380"/>
      <c r="O5095" s="380"/>
      <c r="P5095" s="380"/>
      <c r="Q5095" s="380"/>
    </row>
    <row r="5096" spans="1:17" x14ac:dyDescent="0.2">
      <c r="A5096" s="334" t="s">
        <v>1760</v>
      </c>
      <c r="B5096" s="380"/>
      <c r="C5096" s="334" t="s">
        <v>40</v>
      </c>
      <c r="D5096" s="377"/>
      <c r="E5096" s="380"/>
      <c r="F5096" s="378"/>
      <c r="G5096" s="380"/>
      <c r="H5096" s="380"/>
      <c r="I5096" s="399"/>
      <c r="J5096" s="377"/>
      <c r="K5096" s="380"/>
      <c r="L5096" s="378"/>
      <c r="M5096" s="380"/>
      <c r="N5096" s="380"/>
      <c r="O5096" s="380"/>
      <c r="P5096" s="380"/>
      <c r="Q5096" s="380"/>
    </row>
    <row r="5097" spans="1:17" x14ac:dyDescent="0.2">
      <c r="A5097" s="334" t="s">
        <v>1734</v>
      </c>
      <c r="B5097" s="380"/>
      <c r="C5097" s="334" t="s">
        <v>1746</v>
      </c>
      <c r="D5097" s="377"/>
      <c r="E5097" s="380"/>
      <c r="F5097" s="378"/>
      <c r="G5097" s="380"/>
      <c r="H5097" s="380"/>
      <c r="I5097" s="399"/>
      <c r="J5097" s="377"/>
      <c r="K5097" s="380"/>
      <c r="L5097" s="378"/>
      <c r="M5097" s="380"/>
      <c r="N5097" s="380"/>
      <c r="O5097" s="380"/>
      <c r="P5097" s="380"/>
      <c r="Q5097" s="380"/>
    </row>
    <row r="5098" spans="1:17" x14ac:dyDescent="0.2">
      <c r="A5098" s="334" t="s">
        <v>1578</v>
      </c>
      <c r="B5098" s="380"/>
      <c r="C5098" s="334" t="s">
        <v>22</v>
      </c>
      <c r="D5098" s="377"/>
      <c r="E5098" s="380"/>
      <c r="F5098" s="378"/>
      <c r="G5098" s="380"/>
      <c r="H5098" s="380"/>
      <c r="I5098" s="399"/>
      <c r="J5098" s="377"/>
      <c r="K5098" s="380"/>
      <c r="L5098" s="378"/>
      <c r="M5098" s="380"/>
      <c r="N5098" s="380"/>
      <c r="O5098" s="380"/>
      <c r="P5098" s="380"/>
      <c r="Q5098" s="380"/>
    </row>
    <row r="5099" spans="1:17" x14ac:dyDescent="0.2">
      <c r="A5099" s="334" t="s">
        <v>1738</v>
      </c>
      <c r="B5099" s="380"/>
      <c r="C5099" s="334" t="s">
        <v>1591</v>
      </c>
      <c r="D5099" s="377"/>
      <c r="E5099" s="380"/>
      <c r="F5099" s="378"/>
      <c r="G5099" s="380"/>
      <c r="H5099" s="380"/>
      <c r="I5099" s="399"/>
      <c r="J5099" s="377"/>
      <c r="K5099" s="380"/>
      <c r="L5099" s="378"/>
      <c r="M5099" s="380"/>
      <c r="N5099" s="380"/>
      <c r="O5099" s="380"/>
      <c r="P5099" s="380"/>
      <c r="Q5099" s="380"/>
    </row>
    <row r="5100" spans="1:17" x14ac:dyDescent="0.2">
      <c r="A5100" s="403" t="s">
        <v>1727</v>
      </c>
      <c r="B5100" s="380"/>
      <c r="C5100" s="334" t="s">
        <v>307</v>
      </c>
      <c r="D5100" s="377"/>
      <c r="E5100" s="380"/>
      <c r="F5100" s="378"/>
      <c r="G5100" s="380"/>
      <c r="H5100" s="380"/>
      <c r="I5100" s="399"/>
      <c r="J5100" s="377"/>
      <c r="K5100" s="380"/>
      <c r="L5100" s="378"/>
      <c r="M5100" s="380"/>
      <c r="N5100" s="380"/>
      <c r="O5100" s="380"/>
      <c r="P5100" s="380"/>
      <c r="Q5100" s="380"/>
    </row>
    <row r="5101" spans="1:17" x14ac:dyDescent="0.2">
      <c r="A5101" s="334" t="s">
        <v>1728</v>
      </c>
      <c r="B5101" s="380"/>
      <c r="C5101" s="334" t="s">
        <v>310</v>
      </c>
      <c r="D5101" s="377"/>
      <c r="E5101" s="380"/>
      <c r="F5101" s="378"/>
      <c r="G5101" s="380"/>
      <c r="H5101" s="380"/>
      <c r="I5101" s="399"/>
      <c r="J5101" s="377"/>
      <c r="K5101" s="380"/>
      <c r="L5101" s="378"/>
      <c r="M5101" s="380"/>
      <c r="N5101" s="380"/>
      <c r="O5101" s="380"/>
      <c r="P5101" s="380"/>
      <c r="Q5101" s="380"/>
    </row>
    <row r="5102" spans="1:17" x14ac:dyDescent="0.2">
      <c r="A5102" s="334" t="s">
        <v>1729</v>
      </c>
      <c r="B5102" s="380"/>
      <c r="C5102" s="380" t="s">
        <v>1551</v>
      </c>
      <c r="D5102" s="377"/>
      <c r="E5102" s="380"/>
      <c r="F5102" s="378"/>
      <c r="G5102" s="380"/>
      <c r="H5102" s="380"/>
      <c r="I5102" s="399"/>
      <c r="J5102" s="377"/>
      <c r="K5102" s="380"/>
      <c r="L5102" s="378"/>
      <c r="M5102" s="380"/>
      <c r="N5102" s="380"/>
      <c r="O5102" s="380"/>
      <c r="P5102" s="380"/>
      <c r="Q5102" s="380"/>
    </row>
    <row r="5103" spans="1:17" x14ac:dyDescent="0.2">
      <c r="A5103" s="334" t="s">
        <v>1735</v>
      </c>
      <c r="B5103" s="380"/>
      <c r="C5103" s="380" t="s">
        <v>194</v>
      </c>
      <c r="D5103" s="377"/>
      <c r="E5103" s="380"/>
      <c r="F5103" s="378"/>
      <c r="G5103" s="380"/>
      <c r="H5103" s="380"/>
      <c r="I5103" s="399"/>
      <c r="J5103" s="377"/>
      <c r="K5103" s="380"/>
      <c r="L5103" s="378"/>
      <c r="M5103" s="380"/>
      <c r="N5103" s="380"/>
      <c r="O5103" s="380"/>
      <c r="P5103" s="380"/>
      <c r="Q5103" s="380"/>
    </row>
    <row r="5104" spans="1:17" x14ac:dyDescent="0.2">
      <c r="A5104" s="403" t="s">
        <v>1741</v>
      </c>
      <c r="B5104" s="380"/>
      <c r="C5104" s="334" t="s">
        <v>1748</v>
      </c>
      <c r="D5104" s="377"/>
      <c r="E5104" s="380"/>
      <c r="F5104" s="378"/>
      <c r="G5104" s="380"/>
      <c r="H5104" s="380"/>
      <c r="I5104" s="399"/>
      <c r="J5104" s="377"/>
      <c r="K5104" s="380"/>
      <c r="L5104" s="378"/>
      <c r="M5104" s="380"/>
      <c r="N5104" s="380"/>
      <c r="O5104" s="380"/>
      <c r="P5104" s="380"/>
      <c r="Q5104" s="380"/>
    </row>
    <row r="5105" spans="1:17" x14ac:dyDescent="0.2">
      <c r="A5105" s="384" t="s">
        <v>1570</v>
      </c>
      <c r="B5105" s="380"/>
      <c r="C5105" s="334" t="s">
        <v>2040</v>
      </c>
      <c r="D5105" s="377"/>
      <c r="E5105" s="380"/>
      <c r="F5105" s="378"/>
      <c r="G5105" s="380"/>
      <c r="H5105" s="380"/>
      <c r="I5105" s="399"/>
      <c r="J5105" s="377"/>
      <c r="K5105" s="380"/>
      <c r="L5105" s="378"/>
      <c r="M5105" s="380"/>
      <c r="N5105" s="380"/>
      <c r="O5105" s="380"/>
      <c r="P5105" s="380"/>
      <c r="Q5105" s="380"/>
    </row>
    <row r="5106" spans="1:17" x14ac:dyDescent="0.2">
      <c r="A5106" s="384" t="s">
        <v>1903</v>
      </c>
      <c r="B5106" s="380"/>
      <c r="C5106" s="334" t="s">
        <v>35</v>
      </c>
      <c r="D5106" s="377"/>
      <c r="E5106" s="380"/>
      <c r="F5106" s="378"/>
      <c r="G5106" s="380"/>
      <c r="H5106" s="380"/>
      <c r="I5106" s="399"/>
      <c r="J5106" s="377"/>
      <c r="K5106" s="380"/>
      <c r="L5106" s="378"/>
      <c r="M5106" s="380"/>
      <c r="N5106" s="380"/>
      <c r="O5106" s="380"/>
      <c r="P5106" s="380"/>
      <c r="Q5106" s="380"/>
    </row>
    <row r="5107" spans="1:17" x14ac:dyDescent="0.2">
      <c r="A5107" s="334" t="s">
        <v>1730</v>
      </c>
      <c r="B5107" s="380"/>
      <c r="C5107" s="334" t="s">
        <v>1985</v>
      </c>
      <c r="D5107" s="377"/>
      <c r="E5107" s="380"/>
      <c r="F5107" s="378"/>
      <c r="G5107" s="380"/>
      <c r="H5107" s="380"/>
      <c r="I5107" s="399"/>
      <c r="J5107" s="377"/>
      <c r="K5107" s="380"/>
      <c r="L5107" s="378"/>
      <c r="M5107" s="380"/>
      <c r="N5107" s="380"/>
      <c r="O5107" s="380"/>
      <c r="P5107" s="380"/>
      <c r="Q5107" s="380"/>
    </row>
    <row r="5108" spans="1:17" x14ac:dyDescent="0.2">
      <c r="A5108" s="334" t="s">
        <v>1947</v>
      </c>
      <c r="B5108" s="380"/>
      <c r="C5108" s="334" t="s">
        <v>29</v>
      </c>
      <c r="D5108" s="377"/>
      <c r="E5108" s="380"/>
      <c r="F5108" s="378"/>
      <c r="G5108" s="380"/>
      <c r="H5108" s="380"/>
      <c r="I5108" s="399"/>
      <c r="J5108" s="377"/>
      <c r="K5108" s="380"/>
      <c r="L5108" s="378"/>
      <c r="M5108" s="380"/>
      <c r="N5108" s="380"/>
      <c r="O5108" s="380"/>
      <c r="P5108" s="380"/>
      <c r="Q5108" s="380"/>
    </row>
    <row r="5109" spans="1:17" x14ac:dyDescent="0.2">
      <c r="A5109" s="334" t="s">
        <v>1873</v>
      </c>
      <c r="B5109" s="380"/>
      <c r="C5109" s="334" t="s">
        <v>30</v>
      </c>
      <c r="D5109" s="377"/>
      <c r="E5109" s="380"/>
      <c r="F5109" s="378"/>
      <c r="G5109" s="380"/>
      <c r="H5109" s="380"/>
      <c r="I5109" s="399"/>
      <c r="J5109" s="377"/>
      <c r="K5109" s="380"/>
      <c r="L5109" s="378"/>
      <c r="M5109" s="380"/>
      <c r="N5109" s="380"/>
      <c r="O5109" s="380"/>
      <c r="P5109" s="380"/>
      <c r="Q5109" s="380"/>
    </row>
    <row r="5110" spans="1:17" x14ac:dyDescent="0.2">
      <c r="A5110" s="380"/>
      <c r="B5110" s="380"/>
      <c r="C5110" s="380"/>
      <c r="D5110" s="394"/>
      <c r="E5110" s="380"/>
      <c r="F5110" s="378"/>
      <c r="G5110" s="380"/>
      <c r="H5110" s="380"/>
      <c r="I5110" s="399"/>
      <c r="J5110" s="394"/>
      <c r="K5110" s="380"/>
      <c r="L5110" s="378"/>
      <c r="M5110" s="380"/>
      <c r="N5110" s="380"/>
      <c r="O5110" s="380"/>
      <c r="P5110" s="380"/>
      <c r="Q5110" s="380"/>
    </row>
    <row r="5111" spans="1:17" x14ac:dyDescent="0.2">
      <c r="A5111" s="380"/>
      <c r="B5111" s="380"/>
      <c r="C5111" s="380"/>
      <c r="D5111" s="377">
        <f>SUM(D5086:D5109)</f>
        <v>0</v>
      </c>
      <c r="E5111" s="380"/>
      <c r="F5111" s="378"/>
      <c r="G5111" s="380"/>
      <c r="H5111" s="380"/>
      <c r="I5111" s="399"/>
      <c r="J5111" s="377">
        <f>SUM(J5086:J5109)</f>
        <v>0</v>
      </c>
      <c r="K5111" s="380"/>
      <c r="L5111" s="378"/>
      <c r="M5111" s="380"/>
      <c r="N5111" s="380"/>
      <c r="O5111" s="380"/>
      <c r="P5111" s="380"/>
      <c r="Q5111" s="380"/>
    </row>
    <row r="5112" spans="1:17" ht="15.75" thickTop="1" x14ac:dyDescent="0.2">
      <c r="A5112" s="380"/>
      <c r="B5112" s="380"/>
      <c r="C5112" s="380"/>
      <c r="D5112" s="395">
        <f>D5111-D5086</f>
        <v>0</v>
      </c>
      <c r="E5112" s="380"/>
      <c r="F5112" s="378"/>
      <c r="G5112" s="380"/>
      <c r="H5112" s="380"/>
      <c r="I5112" s="382"/>
      <c r="J5112" s="395">
        <f>J5111-J5086</f>
        <v>0</v>
      </c>
      <c r="K5112" s="380"/>
      <c r="L5112" s="378"/>
      <c r="M5112" s="380"/>
      <c r="N5112" s="380"/>
      <c r="O5112" s="380"/>
      <c r="P5112" s="380"/>
      <c r="Q5112" s="380"/>
    </row>
    <row r="5113" spans="1:17" x14ac:dyDescent="0.2">
      <c r="A5113" s="380"/>
      <c r="B5113" s="380"/>
      <c r="C5113" s="380"/>
      <c r="D5113" s="380"/>
      <c r="E5113" s="380"/>
      <c r="F5113" s="378"/>
      <c r="G5113" s="380"/>
      <c r="H5113" s="380"/>
      <c r="I5113" s="382"/>
      <c r="J5113" s="380"/>
      <c r="K5113" s="380"/>
      <c r="L5113" s="378"/>
      <c r="M5113" s="380"/>
      <c r="N5113" s="380"/>
      <c r="O5113" s="380"/>
      <c r="P5113" s="380"/>
      <c r="Q5113" s="380"/>
    </row>
    <row r="5114" spans="1:17" x14ac:dyDescent="0.2">
      <c r="A5114" s="380"/>
      <c r="B5114" s="380"/>
      <c r="C5114" s="380"/>
      <c r="D5114" s="380"/>
      <c r="E5114" s="380"/>
      <c r="F5114" s="378"/>
      <c r="G5114" s="380"/>
      <c r="H5114" s="380"/>
      <c r="I5114" s="382"/>
      <c r="J5114" s="380"/>
      <c r="K5114" s="380"/>
      <c r="L5114" s="378"/>
      <c r="M5114" s="380"/>
      <c r="N5114" s="380"/>
      <c r="O5114" s="380"/>
      <c r="P5114" s="380"/>
      <c r="Q5114" s="380"/>
    </row>
    <row r="5115" spans="1:17" x14ac:dyDescent="0.2">
      <c r="A5115" s="380"/>
      <c r="B5115" s="380"/>
      <c r="C5115" s="380"/>
      <c r="D5115" s="380"/>
      <c r="E5115" s="380"/>
      <c r="F5115" s="378"/>
      <c r="G5115" s="380"/>
      <c r="H5115" s="380"/>
      <c r="I5115" s="382"/>
      <c r="J5115" s="380"/>
      <c r="K5115" s="380"/>
      <c r="L5115" s="378"/>
      <c r="M5115" s="380"/>
      <c r="N5115" s="380"/>
      <c r="O5115" s="380"/>
      <c r="P5115" s="380"/>
      <c r="Q5115" s="380"/>
    </row>
    <row r="5116" spans="1:17" x14ac:dyDescent="0.2">
      <c r="A5116" s="380"/>
      <c r="B5116" s="380"/>
      <c r="C5116" s="380"/>
      <c r="D5116" s="380"/>
      <c r="E5116" s="377"/>
      <c r="F5116" s="378"/>
      <c r="G5116" s="377"/>
      <c r="H5116" s="377"/>
      <c r="I5116" s="399"/>
      <c r="J5116" s="380"/>
      <c r="K5116" s="377"/>
      <c r="L5116" s="378"/>
      <c r="M5116" s="377"/>
      <c r="N5116" s="377"/>
      <c r="O5116" s="380"/>
      <c r="P5116" s="380"/>
      <c r="Q5116" s="380"/>
    </row>
    <row r="5117" spans="1:17" x14ac:dyDescent="0.2">
      <c r="A5117" s="377"/>
      <c r="B5117" s="377"/>
      <c r="C5117" s="377"/>
      <c r="D5117" s="377"/>
      <c r="E5117" s="380"/>
      <c r="F5117" s="378"/>
      <c r="G5117" s="380"/>
      <c r="H5117" s="380"/>
      <c r="I5117" s="382"/>
      <c r="J5117" s="377"/>
      <c r="K5117" s="380"/>
      <c r="L5117" s="378"/>
      <c r="M5117" s="380"/>
      <c r="N5117" s="380"/>
      <c r="O5117" s="380"/>
      <c r="P5117" s="380"/>
      <c r="Q5117" s="380"/>
    </row>
    <row r="5118" spans="1:17" x14ac:dyDescent="0.2">
      <c r="A5118" s="334" t="s">
        <v>1874</v>
      </c>
      <c r="B5118" s="380"/>
      <c r="C5118" s="380"/>
      <c r="D5118" s="380"/>
      <c r="E5118" s="380"/>
      <c r="F5118" s="378"/>
      <c r="G5118" s="380"/>
      <c r="H5118" s="380"/>
      <c r="I5118" s="385"/>
      <c r="J5118" s="380"/>
      <c r="K5118" s="380"/>
      <c r="L5118" s="378"/>
      <c r="M5118" s="380"/>
      <c r="N5118" s="380"/>
      <c r="O5118" s="380"/>
      <c r="P5118" s="380"/>
      <c r="Q5118" s="380"/>
    </row>
    <row r="5119" spans="1:17" x14ac:dyDescent="0.2">
      <c r="A5119" s="380"/>
      <c r="B5119" s="380"/>
      <c r="C5119" s="384" t="s">
        <v>2086</v>
      </c>
      <c r="D5119" s="334"/>
      <c r="E5119" s="380"/>
      <c r="F5119" s="378"/>
      <c r="G5119" s="380"/>
      <c r="H5119" s="380"/>
      <c r="I5119" s="382"/>
      <c r="J5119" s="334"/>
      <c r="K5119" s="380"/>
      <c r="L5119" s="378"/>
      <c r="M5119" s="380"/>
      <c r="N5119" s="380"/>
      <c r="O5119" s="380"/>
      <c r="P5119" s="380"/>
      <c r="Q5119" s="380"/>
    </row>
    <row r="5120" spans="1:17" x14ac:dyDescent="0.2">
      <c r="A5120" s="380"/>
      <c r="B5120" s="380"/>
      <c r="C5120" s="380"/>
      <c r="D5120" s="380"/>
      <c r="E5120" s="380"/>
      <c r="F5120" s="378"/>
      <c r="G5120" s="380"/>
      <c r="H5120" s="380"/>
      <c r="I5120" s="382"/>
      <c r="J5120" s="380"/>
      <c r="K5120" s="380"/>
      <c r="L5120" s="378"/>
      <c r="M5120" s="380"/>
      <c r="N5120" s="380"/>
      <c r="O5120" s="380"/>
      <c r="P5120" s="380"/>
      <c r="Q5120" s="380"/>
    </row>
    <row r="5121" spans="1:17" x14ac:dyDescent="0.2">
      <c r="A5121" s="380" t="s">
        <v>1723</v>
      </c>
      <c r="B5121" s="380"/>
      <c r="C5121" s="380" t="s">
        <v>1880</v>
      </c>
      <c r="D5121" s="380" t="s">
        <v>181</v>
      </c>
      <c r="E5121" s="380"/>
      <c r="F5121" s="378"/>
      <c r="G5121" s="380"/>
      <c r="H5121" s="380"/>
      <c r="I5121" s="382"/>
      <c r="J5121" s="380" t="s">
        <v>181</v>
      </c>
      <c r="K5121" s="380"/>
      <c r="L5121" s="378"/>
      <c r="M5121" s="380"/>
      <c r="N5121" s="380"/>
      <c r="O5121" s="380"/>
      <c r="P5121" s="380"/>
      <c r="Q5121" s="380"/>
    </row>
    <row r="5122" spans="1:17" x14ac:dyDescent="0.2">
      <c r="A5122" s="380"/>
      <c r="B5122" s="380"/>
      <c r="C5122" s="380"/>
      <c r="D5122" s="380"/>
      <c r="E5122" s="380"/>
      <c r="F5122" s="378"/>
      <c r="G5122" s="380"/>
      <c r="H5122" s="380"/>
      <c r="I5122" s="399"/>
      <c r="J5122" s="380"/>
      <c r="K5122" s="380"/>
      <c r="L5122" s="378"/>
      <c r="M5122" s="380"/>
      <c r="N5122" s="380"/>
      <c r="O5122" s="380"/>
      <c r="P5122" s="380"/>
      <c r="Q5122" s="380"/>
    </row>
    <row r="5123" spans="1:17" x14ac:dyDescent="0.2">
      <c r="A5123" s="334" t="s">
        <v>1724</v>
      </c>
      <c r="B5123" s="380"/>
      <c r="C5123" s="380" t="s">
        <v>1881</v>
      </c>
      <c r="D5123" s="379">
        <v>1500</v>
      </c>
      <c r="E5123" s="380"/>
      <c r="F5123" s="378"/>
      <c r="G5123" s="380"/>
      <c r="H5123" s="380"/>
      <c r="I5123" s="399"/>
      <c r="J5123" s="377"/>
      <c r="K5123" s="380"/>
      <c r="L5123" s="378"/>
      <c r="M5123" s="380"/>
      <c r="N5123" s="380"/>
      <c r="O5123" s="380"/>
      <c r="P5123" s="380"/>
      <c r="Q5123" s="380"/>
    </row>
    <row r="5124" spans="1:17" x14ac:dyDescent="0.2">
      <c r="A5124" s="391" t="s">
        <v>942</v>
      </c>
      <c r="B5124" s="380"/>
      <c r="C5124" s="392" t="s">
        <v>943</v>
      </c>
      <c r="D5124" s="379">
        <v>1000</v>
      </c>
      <c r="E5124" s="380"/>
      <c r="F5124" s="378"/>
      <c r="G5124" s="380"/>
      <c r="H5124" s="380"/>
      <c r="I5124" s="399"/>
      <c r="J5124" s="377">
        <v>1500</v>
      </c>
      <c r="K5124" s="380"/>
      <c r="L5124" s="378"/>
      <c r="M5124" s="380"/>
      <c r="N5124" s="380"/>
      <c r="O5124" s="380"/>
      <c r="P5124" s="380"/>
      <c r="Q5124" s="380"/>
    </row>
    <row r="5125" spans="1:17" x14ac:dyDescent="0.2">
      <c r="A5125" s="334" t="s">
        <v>1734</v>
      </c>
      <c r="B5125" s="380"/>
      <c r="C5125" s="334" t="s">
        <v>1746</v>
      </c>
      <c r="D5125" s="379"/>
      <c r="E5125" s="380"/>
      <c r="F5125" s="378"/>
      <c r="G5125" s="380"/>
      <c r="H5125" s="380"/>
      <c r="I5125" s="399"/>
      <c r="J5125" s="377">
        <v>1000</v>
      </c>
      <c r="K5125" s="380"/>
      <c r="L5125" s="378"/>
      <c r="M5125" s="380"/>
      <c r="N5125" s="380"/>
      <c r="O5125" s="380"/>
      <c r="P5125" s="380"/>
      <c r="Q5125" s="380"/>
    </row>
    <row r="5126" spans="1:17" x14ac:dyDescent="0.2">
      <c r="A5126" s="334" t="s">
        <v>1973</v>
      </c>
      <c r="B5126" s="380"/>
      <c r="C5126" s="380" t="s">
        <v>31</v>
      </c>
      <c r="D5126" s="379">
        <v>45600</v>
      </c>
      <c r="E5126" s="380"/>
      <c r="F5126" s="378"/>
      <c r="G5126" s="380"/>
      <c r="H5126" s="380"/>
      <c r="I5126" s="399"/>
      <c r="J5126" s="377"/>
      <c r="K5126" s="380"/>
      <c r="L5126" s="378"/>
      <c r="M5126" s="380"/>
      <c r="N5126" s="380"/>
      <c r="O5126" s="380"/>
      <c r="P5126" s="380"/>
      <c r="Q5126" s="380"/>
    </row>
    <row r="5127" spans="1:17" x14ac:dyDescent="0.2">
      <c r="A5127" s="334" t="s">
        <v>1958</v>
      </c>
      <c r="B5127" s="380"/>
      <c r="C5127" s="380" t="s">
        <v>33</v>
      </c>
      <c r="D5127" s="379">
        <v>1128</v>
      </c>
      <c r="E5127" s="380"/>
      <c r="F5127" s="378"/>
      <c r="G5127" s="380"/>
      <c r="H5127" s="380"/>
      <c r="I5127" s="399"/>
      <c r="J5127" s="377">
        <v>45600</v>
      </c>
      <c r="K5127" s="380"/>
      <c r="L5127" s="378"/>
      <c r="M5127" s="380"/>
      <c r="N5127" s="380"/>
      <c r="O5127" s="380"/>
      <c r="P5127" s="380"/>
      <c r="Q5127" s="380"/>
    </row>
    <row r="5128" spans="1:17" x14ac:dyDescent="0.2">
      <c r="A5128" s="384" t="s">
        <v>1588</v>
      </c>
      <c r="B5128" s="380"/>
      <c r="C5128" s="334" t="s">
        <v>191</v>
      </c>
      <c r="D5128" s="377"/>
      <c r="E5128" s="380"/>
      <c r="F5128" s="378"/>
      <c r="G5128" s="380"/>
      <c r="H5128" s="380"/>
      <c r="I5128" s="399"/>
      <c r="J5128" s="377">
        <v>1128</v>
      </c>
      <c r="K5128" s="380"/>
      <c r="L5128" s="378"/>
      <c r="M5128" s="380"/>
      <c r="N5128" s="380"/>
      <c r="O5128" s="380"/>
      <c r="P5128" s="380"/>
      <c r="Q5128" s="380"/>
    </row>
    <row r="5129" spans="1:17" x14ac:dyDescent="0.2">
      <c r="A5129" s="334" t="s">
        <v>1567</v>
      </c>
      <c r="B5129" s="380"/>
      <c r="C5129" s="334" t="s">
        <v>3142</v>
      </c>
      <c r="D5129" s="377"/>
      <c r="E5129" s="380"/>
      <c r="F5129" s="378"/>
      <c r="G5129" s="380"/>
      <c r="H5129" s="380"/>
      <c r="I5129" s="399"/>
      <c r="J5129" s="377"/>
      <c r="K5129" s="380"/>
      <c r="L5129" s="378"/>
      <c r="M5129" s="380"/>
      <c r="N5129" s="380"/>
      <c r="O5129" s="380"/>
      <c r="P5129" s="380"/>
      <c r="Q5129" s="380"/>
    </row>
    <row r="5130" spans="1:17" x14ac:dyDescent="0.2">
      <c r="A5130" s="380"/>
      <c r="B5130" s="380"/>
      <c r="C5130" s="380"/>
      <c r="D5130" s="394"/>
      <c r="E5130" s="380"/>
      <c r="F5130" s="378"/>
      <c r="G5130" s="380"/>
      <c r="H5130" s="380"/>
      <c r="I5130" s="399"/>
      <c r="J5130" s="394"/>
      <c r="K5130" s="380"/>
      <c r="L5130" s="378"/>
      <c r="M5130" s="380"/>
      <c r="N5130" s="380"/>
      <c r="O5130" s="380"/>
      <c r="P5130" s="380"/>
      <c r="Q5130" s="380"/>
    </row>
    <row r="5131" spans="1:17" x14ac:dyDescent="0.2">
      <c r="A5131" s="380"/>
      <c r="B5131" s="380"/>
      <c r="C5131" s="380"/>
      <c r="D5131" s="377">
        <f>SUM(D5123:D5129)</f>
        <v>49228</v>
      </c>
      <c r="E5131" s="380"/>
      <c r="F5131" s="378"/>
      <c r="G5131" s="380"/>
      <c r="H5131" s="380"/>
      <c r="I5131" s="399"/>
      <c r="J5131" s="377">
        <f>SUM(J5123:J5129)</f>
        <v>49228</v>
      </c>
      <c r="K5131" s="380"/>
      <c r="L5131" s="378"/>
      <c r="M5131" s="380"/>
      <c r="N5131" s="380"/>
      <c r="O5131" s="380"/>
      <c r="P5131" s="380"/>
      <c r="Q5131" s="380"/>
    </row>
    <row r="5132" spans="1:17" ht="15.75" thickTop="1" x14ac:dyDescent="0.2">
      <c r="A5132" s="380"/>
      <c r="B5132" s="380"/>
      <c r="C5132" s="380"/>
      <c r="D5132" s="395"/>
      <c r="E5132" s="380"/>
      <c r="F5132" s="378"/>
      <c r="G5132" s="380"/>
      <c r="H5132" s="380"/>
      <c r="I5132" s="382"/>
      <c r="J5132" s="395"/>
      <c r="K5132" s="380"/>
      <c r="L5132" s="378"/>
      <c r="M5132" s="380"/>
      <c r="N5132" s="380"/>
      <c r="O5132" s="380"/>
      <c r="P5132" s="380"/>
      <c r="Q5132" s="380"/>
    </row>
    <row r="5133" spans="1:17" x14ac:dyDescent="0.2">
      <c r="A5133" s="380"/>
      <c r="B5133" s="380"/>
      <c r="C5133" s="380"/>
      <c r="D5133" s="380"/>
      <c r="E5133" s="380"/>
      <c r="F5133" s="378"/>
      <c r="G5133" s="380"/>
      <c r="H5133" s="380"/>
      <c r="I5133" s="382"/>
      <c r="J5133" s="380"/>
      <c r="K5133" s="380"/>
      <c r="L5133" s="378"/>
      <c r="M5133" s="380"/>
      <c r="N5133" s="380"/>
      <c r="O5133" s="380"/>
      <c r="P5133" s="380"/>
      <c r="Q5133" s="380"/>
    </row>
    <row r="5134" spans="1:17" x14ac:dyDescent="0.2">
      <c r="A5134" s="380"/>
      <c r="B5134" s="380"/>
      <c r="C5134" s="380"/>
      <c r="D5134" s="380"/>
      <c r="E5134" s="377"/>
      <c r="F5134" s="378"/>
      <c r="G5134" s="377"/>
      <c r="H5134" s="377"/>
      <c r="I5134" s="399"/>
      <c r="J5134" s="380"/>
      <c r="K5134" s="377"/>
      <c r="L5134" s="378"/>
      <c r="M5134" s="377"/>
      <c r="N5134" s="377"/>
      <c r="O5134" s="380"/>
      <c r="P5134" s="380"/>
      <c r="Q5134" s="380"/>
    </row>
    <row r="5135" spans="1:17" x14ac:dyDescent="0.2">
      <c r="A5135" s="334" t="s">
        <v>1875</v>
      </c>
      <c r="B5135" s="377"/>
      <c r="C5135" s="377"/>
      <c r="D5135" s="377"/>
      <c r="E5135" s="380"/>
      <c r="F5135" s="378"/>
      <c r="G5135" s="380"/>
      <c r="H5135" s="380"/>
      <c r="I5135" s="385"/>
      <c r="J5135" s="377"/>
      <c r="K5135" s="380"/>
      <c r="L5135" s="378"/>
      <c r="M5135" s="380"/>
      <c r="N5135" s="380"/>
      <c r="O5135" s="380"/>
      <c r="P5135" s="380"/>
      <c r="Q5135" s="380"/>
    </row>
    <row r="5136" spans="1:17" x14ac:dyDescent="0.2">
      <c r="A5136" s="380"/>
      <c r="B5136" s="380"/>
      <c r="C5136" s="384" t="s">
        <v>2087</v>
      </c>
      <c r="D5136" s="434" t="s">
        <v>3155</v>
      </c>
      <c r="E5136" s="380"/>
      <c r="F5136" s="378"/>
      <c r="G5136" s="380"/>
      <c r="H5136" s="380"/>
      <c r="I5136" s="382"/>
      <c r="J5136" s="334"/>
      <c r="K5136" s="380"/>
      <c r="L5136" s="378"/>
      <c r="M5136" s="380"/>
      <c r="N5136" s="380"/>
      <c r="O5136" s="380"/>
      <c r="P5136" s="380"/>
      <c r="Q5136" s="380"/>
    </row>
    <row r="5137" spans="1:17" x14ac:dyDescent="0.2">
      <c r="A5137" s="380"/>
      <c r="B5137" s="380"/>
      <c r="C5137" s="380"/>
      <c r="D5137" s="380"/>
      <c r="E5137" s="380"/>
      <c r="F5137" s="378"/>
      <c r="G5137" s="380"/>
      <c r="H5137" s="380"/>
      <c r="I5137" s="382"/>
      <c r="J5137" s="380"/>
      <c r="K5137" s="380"/>
      <c r="L5137" s="378"/>
      <c r="M5137" s="380"/>
      <c r="N5137" s="380"/>
      <c r="O5137" s="380"/>
      <c r="P5137" s="380"/>
      <c r="Q5137" s="380"/>
    </row>
    <row r="5138" spans="1:17" x14ac:dyDescent="0.2">
      <c r="A5138" s="380" t="s">
        <v>1723</v>
      </c>
      <c r="B5138" s="380"/>
      <c r="C5138" s="380" t="s">
        <v>1880</v>
      </c>
      <c r="D5138" s="380" t="s">
        <v>181</v>
      </c>
      <c r="E5138" s="380"/>
      <c r="F5138" s="378"/>
      <c r="G5138" s="380"/>
      <c r="H5138" s="380"/>
      <c r="I5138" s="382"/>
      <c r="J5138" s="380" t="s">
        <v>181</v>
      </c>
      <c r="K5138" s="380"/>
      <c r="L5138" s="378"/>
      <c r="M5138" s="380"/>
      <c r="N5138" s="380"/>
      <c r="O5138" s="380"/>
      <c r="P5138" s="380"/>
      <c r="Q5138" s="380"/>
    </row>
    <row r="5139" spans="1:17" x14ac:dyDescent="0.2">
      <c r="A5139" s="380"/>
      <c r="B5139" s="380"/>
      <c r="C5139" s="380"/>
      <c r="D5139" s="380"/>
      <c r="E5139" s="380"/>
      <c r="F5139" s="378"/>
      <c r="G5139" s="380"/>
      <c r="H5139" s="380"/>
      <c r="I5139" s="399"/>
      <c r="J5139" s="380"/>
      <c r="K5139" s="380"/>
      <c r="L5139" s="378"/>
      <c r="M5139" s="380"/>
      <c r="N5139" s="380"/>
      <c r="O5139" s="380"/>
      <c r="P5139" s="380"/>
      <c r="Q5139" s="380"/>
    </row>
    <row r="5140" spans="1:17" x14ac:dyDescent="0.2">
      <c r="A5140" s="380"/>
      <c r="B5140" s="380"/>
      <c r="C5140" s="380" t="s">
        <v>1000</v>
      </c>
      <c r="D5140" s="377"/>
      <c r="E5140" s="380"/>
      <c r="F5140" s="378"/>
      <c r="G5140" s="380"/>
      <c r="H5140" s="380"/>
      <c r="I5140" s="399"/>
      <c r="J5140" s="377"/>
      <c r="K5140" s="380"/>
      <c r="L5140" s="378"/>
      <c r="M5140" s="380"/>
      <c r="N5140" s="380"/>
      <c r="O5140" s="380"/>
      <c r="P5140" s="380"/>
      <c r="Q5140" s="380"/>
    </row>
    <row r="5141" spans="1:17" x14ac:dyDescent="0.2">
      <c r="A5141" s="334" t="s">
        <v>1569</v>
      </c>
      <c r="B5141" s="380"/>
      <c r="C5141" s="334" t="s">
        <v>1888</v>
      </c>
      <c r="D5141" s="377"/>
      <c r="E5141" s="380"/>
      <c r="F5141" s="378"/>
      <c r="G5141" s="380"/>
      <c r="H5141" s="380"/>
      <c r="I5141" s="399"/>
      <c r="J5141" s="377"/>
      <c r="K5141" s="380"/>
      <c r="L5141" s="378"/>
      <c r="M5141" s="380"/>
      <c r="N5141" s="380"/>
      <c r="O5141" s="380"/>
      <c r="P5141" s="380"/>
      <c r="Q5141" s="380"/>
    </row>
    <row r="5142" spans="1:17" x14ac:dyDescent="0.2">
      <c r="A5142" s="334" t="s">
        <v>1973</v>
      </c>
      <c r="B5142" s="380"/>
      <c r="C5142" s="380" t="s">
        <v>31</v>
      </c>
      <c r="D5142" s="427">
        <v>0</v>
      </c>
      <c r="E5142" s="380"/>
      <c r="F5142" s="412"/>
      <c r="G5142" s="334"/>
      <c r="H5142" s="380"/>
      <c r="I5142" s="399"/>
      <c r="J5142" s="377">
        <v>0</v>
      </c>
      <c r="K5142" s="380"/>
      <c r="L5142" s="412"/>
      <c r="M5142" s="334"/>
      <c r="N5142" s="380"/>
      <c r="O5142" s="380"/>
      <c r="P5142" s="380"/>
      <c r="Q5142" s="380"/>
    </row>
    <row r="5143" spans="1:17" x14ac:dyDescent="0.2">
      <c r="A5143" s="334" t="s">
        <v>1979</v>
      </c>
      <c r="B5143" s="380"/>
      <c r="C5143" s="380" t="s">
        <v>32</v>
      </c>
      <c r="D5143" s="427">
        <v>0</v>
      </c>
      <c r="E5143" s="380"/>
      <c r="F5143" s="378"/>
      <c r="G5143" s="380"/>
      <c r="H5143" s="380"/>
      <c r="I5143" s="399"/>
      <c r="J5143" s="377">
        <v>0</v>
      </c>
      <c r="K5143" s="380"/>
      <c r="L5143" s="378"/>
      <c r="M5143" s="380"/>
      <c r="N5143" s="380"/>
      <c r="O5143" s="380"/>
      <c r="P5143" s="380"/>
      <c r="Q5143" s="380"/>
    </row>
    <row r="5144" spans="1:17" x14ac:dyDescent="0.2">
      <c r="A5144" s="334" t="s">
        <v>1958</v>
      </c>
      <c r="B5144" s="380"/>
      <c r="C5144" s="380" t="s">
        <v>33</v>
      </c>
      <c r="D5144" s="427">
        <v>0</v>
      </c>
      <c r="E5144" s="380"/>
      <c r="F5144" s="378"/>
      <c r="G5144" s="380"/>
      <c r="H5144" s="380"/>
      <c r="I5144" s="399"/>
      <c r="J5144" s="377">
        <f>23000-3079</f>
        <v>19921</v>
      </c>
      <c r="K5144" s="380"/>
      <c r="L5144" s="378"/>
      <c r="M5144" s="380"/>
      <c r="N5144" s="380"/>
      <c r="O5144" s="380"/>
      <c r="P5144" s="380"/>
      <c r="Q5144" s="380"/>
    </row>
    <row r="5145" spans="1:17" x14ac:dyDescent="0.2">
      <c r="A5145" s="380"/>
      <c r="B5145" s="380"/>
      <c r="C5145" s="380"/>
      <c r="D5145" s="394"/>
      <c r="E5145" s="380"/>
      <c r="F5145" s="378"/>
      <c r="G5145" s="380"/>
      <c r="H5145" s="380"/>
      <c r="I5145" s="399"/>
      <c r="J5145" s="394"/>
      <c r="K5145" s="380"/>
      <c r="L5145" s="378"/>
      <c r="M5145" s="380"/>
      <c r="N5145" s="380"/>
      <c r="O5145" s="380"/>
      <c r="P5145" s="380"/>
      <c r="Q5145" s="380"/>
    </row>
    <row r="5146" spans="1:17" x14ac:dyDescent="0.2">
      <c r="A5146" s="380"/>
      <c r="B5146" s="380"/>
      <c r="C5146" s="380"/>
      <c r="D5146" s="377">
        <f>SUM(D5140:D5145)</f>
        <v>0</v>
      </c>
      <c r="E5146" s="380"/>
      <c r="F5146" s="378"/>
      <c r="G5146" s="380"/>
      <c r="H5146" s="380"/>
      <c r="I5146" s="399"/>
      <c r="J5146" s="377">
        <f>SUM(J5140:J5145)</f>
        <v>19921</v>
      </c>
      <c r="K5146" s="380"/>
      <c r="L5146" s="378"/>
      <c r="M5146" s="380"/>
      <c r="N5146" s="380"/>
      <c r="O5146" s="380"/>
      <c r="P5146" s="380"/>
      <c r="Q5146" s="380"/>
    </row>
    <row r="5147" spans="1:17" ht="15.75" thickTop="1" x14ac:dyDescent="0.2">
      <c r="A5147" s="380"/>
      <c r="B5147" s="380"/>
      <c r="C5147" s="380"/>
      <c r="D5147" s="395"/>
      <c r="E5147" s="380"/>
      <c r="F5147" s="378"/>
      <c r="G5147" s="380"/>
      <c r="H5147" s="380"/>
      <c r="I5147" s="382"/>
      <c r="J5147" s="395"/>
      <c r="K5147" s="380"/>
      <c r="L5147" s="378"/>
      <c r="M5147" s="380"/>
      <c r="N5147" s="380"/>
      <c r="O5147" s="380"/>
      <c r="P5147" s="380"/>
      <c r="Q5147" s="380"/>
    </row>
    <row r="5148" spans="1:17" x14ac:dyDescent="0.2">
      <c r="A5148" s="380"/>
      <c r="B5148" s="380"/>
      <c r="C5148" s="380"/>
      <c r="D5148" s="380"/>
      <c r="E5148" s="377"/>
      <c r="F5148" s="378"/>
      <c r="G5148" s="377"/>
      <c r="H5148" s="377"/>
      <c r="I5148" s="399"/>
      <c r="J5148" s="380"/>
      <c r="K5148" s="377"/>
      <c r="L5148" s="378"/>
      <c r="M5148" s="377"/>
      <c r="N5148" s="377"/>
      <c r="O5148" s="380"/>
      <c r="P5148" s="380"/>
      <c r="Q5148" s="380"/>
    </row>
    <row r="5149" spans="1:17" x14ac:dyDescent="0.2">
      <c r="A5149" s="377"/>
      <c r="B5149" s="377"/>
      <c r="C5149" s="377"/>
      <c r="D5149" s="377"/>
      <c r="E5149" s="380"/>
      <c r="F5149" s="378"/>
      <c r="G5149" s="380"/>
      <c r="H5149" s="380"/>
      <c r="I5149" s="382"/>
      <c r="J5149" s="377"/>
      <c r="K5149" s="380"/>
      <c r="L5149" s="378"/>
      <c r="M5149" s="380"/>
      <c r="N5149" s="380"/>
      <c r="O5149" s="380"/>
      <c r="P5149" s="380"/>
      <c r="Q5149" s="380"/>
    </row>
    <row r="5150" spans="1:17" x14ac:dyDescent="0.2">
      <c r="A5150" s="334" t="s">
        <v>1876</v>
      </c>
      <c r="B5150" s="380"/>
      <c r="C5150" s="380"/>
      <c r="D5150" s="380"/>
      <c r="E5150" s="380"/>
      <c r="F5150" s="378"/>
      <c r="G5150" s="380"/>
      <c r="H5150" s="380"/>
      <c r="I5150" s="382"/>
      <c r="J5150" s="380"/>
      <c r="K5150" s="380"/>
      <c r="L5150" s="378"/>
      <c r="M5150" s="380"/>
      <c r="N5150" s="380"/>
      <c r="O5150" s="380"/>
      <c r="P5150" s="380"/>
      <c r="Q5150" s="380"/>
    </row>
    <row r="5151" spans="1:17" x14ac:dyDescent="0.2">
      <c r="A5151" s="380"/>
      <c r="B5151" s="380"/>
      <c r="C5151" s="384" t="s">
        <v>2188</v>
      </c>
      <c r="D5151" s="380"/>
      <c r="E5151" s="380"/>
      <c r="F5151" s="378"/>
      <c r="G5151" s="380"/>
      <c r="H5151" s="380"/>
      <c r="I5151" s="382"/>
      <c r="J5151" s="380"/>
      <c r="K5151" s="380"/>
      <c r="L5151" s="378"/>
      <c r="M5151" s="380"/>
      <c r="N5151" s="380"/>
      <c r="O5151" s="380"/>
      <c r="P5151" s="380"/>
      <c r="Q5151" s="380"/>
    </row>
    <row r="5152" spans="1:17" x14ac:dyDescent="0.2">
      <c r="A5152" s="380"/>
      <c r="B5152" s="380"/>
      <c r="C5152" s="380"/>
      <c r="D5152" s="380"/>
      <c r="E5152" s="380"/>
      <c r="F5152" s="378"/>
      <c r="G5152" s="380"/>
      <c r="H5152" s="380"/>
      <c r="I5152" s="382"/>
      <c r="J5152" s="380"/>
      <c r="K5152" s="380"/>
      <c r="L5152" s="378"/>
      <c r="M5152" s="380"/>
      <c r="N5152" s="380"/>
      <c r="O5152" s="380"/>
      <c r="P5152" s="380"/>
      <c r="Q5152" s="380"/>
    </row>
    <row r="5153" spans="1:17" x14ac:dyDescent="0.2">
      <c r="A5153" s="380" t="s">
        <v>1723</v>
      </c>
      <c r="B5153" s="380"/>
      <c r="C5153" s="380" t="s">
        <v>1880</v>
      </c>
      <c r="D5153" s="380" t="s">
        <v>181</v>
      </c>
      <c r="E5153" s="380"/>
      <c r="F5153" s="378"/>
      <c r="G5153" s="380"/>
      <c r="H5153" s="380"/>
      <c r="I5153" s="399"/>
      <c r="J5153" s="380" t="s">
        <v>181</v>
      </c>
      <c r="K5153" s="380"/>
      <c r="L5153" s="378"/>
      <c r="M5153" s="380"/>
      <c r="N5153" s="380"/>
      <c r="O5153" s="380"/>
      <c r="P5153" s="380"/>
      <c r="Q5153" s="380"/>
    </row>
    <row r="5154" spans="1:17" x14ac:dyDescent="0.2">
      <c r="A5154" s="380"/>
      <c r="B5154" s="380"/>
      <c r="C5154" s="380"/>
      <c r="D5154" s="377"/>
      <c r="E5154" s="380"/>
      <c r="F5154" s="378"/>
      <c r="G5154" s="380"/>
      <c r="H5154" s="380"/>
      <c r="I5154" s="399"/>
      <c r="J5154" s="377"/>
      <c r="K5154" s="380"/>
      <c r="L5154" s="378"/>
      <c r="M5154" s="380"/>
      <c r="N5154" s="380"/>
      <c r="O5154" s="380"/>
      <c r="P5154" s="380"/>
      <c r="Q5154" s="380"/>
    </row>
    <row r="5155" spans="1:17" x14ac:dyDescent="0.2">
      <c r="A5155" s="334" t="s">
        <v>1724</v>
      </c>
      <c r="B5155" s="380"/>
      <c r="C5155" s="380" t="s">
        <v>1881</v>
      </c>
      <c r="D5155" s="379">
        <v>250</v>
      </c>
      <c r="E5155" s="380"/>
      <c r="F5155" s="378"/>
      <c r="G5155" s="380"/>
      <c r="H5155" s="380"/>
      <c r="I5155" s="399"/>
      <c r="J5155" s="377">
        <v>250</v>
      </c>
      <c r="K5155" s="380"/>
      <c r="L5155" s="378"/>
      <c r="M5155" s="380"/>
      <c r="N5155" s="380"/>
      <c r="O5155" s="380"/>
      <c r="P5155" s="380"/>
      <c r="Q5155" s="380"/>
    </row>
    <row r="5156" spans="1:17" x14ac:dyDescent="0.2">
      <c r="A5156" s="334" t="s">
        <v>1736</v>
      </c>
      <c r="B5156" s="380"/>
      <c r="C5156" s="380" t="s">
        <v>1747</v>
      </c>
      <c r="D5156" s="379"/>
      <c r="E5156" s="380"/>
      <c r="F5156" s="378"/>
      <c r="G5156" s="380"/>
      <c r="H5156" s="380"/>
      <c r="I5156" s="399"/>
      <c r="J5156" s="377"/>
      <c r="K5156" s="380"/>
      <c r="L5156" s="378"/>
      <c r="M5156" s="380"/>
      <c r="N5156" s="380"/>
      <c r="O5156" s="380"/>
      <c r="P5156" s="380"/>
      <c r="Q5156" s="380"/>
    </row>
    <row r="5157" spans="1:17" x14ac:dyDescent="0.2">
      <c r="A5157" s="384" t="s">
        <v>1744</v>
      </c>
      <c r="B5157" s="380"/>
      <c r="C5157" s="334" t="s">
        <v>1254</v>
      </c>
      <c r="D5157" s="379"/>
      <c r="E5157" s="380"/>
      <c r="F5157" s="378"/>
      <c r="G5157" s="380"/>
      <c r="H5157" s="380"/>
      <c r="I5157" s="399"/>
      <c r="J5157" s="377"/>
      <c r="K5157" s="380"/>
      <c r="L5157" s="378"/>
      <c r="M5157" s="380"/>
      <c r="N5157" s="380"/>
      <c r="O5157" s="380"/>
      <c r="P5157" s="380"/>
      <c r="Q5157" s="380"/>
    </row>
    <row r="5158" spans="1:17" x14ac:dyDescent="0.2">
      <c r="A5158" s="334" t="s">
        <v>1725</v>
      </c>
      <c r="B5158" s="380"/>
      <c r="C5158" s="334" t="s">
        <v>1890</v>
      </c>
      <c r="D5158" s="379">
        <v>80</v>
      </c>
      <c r="E5158" s="380"/>
      <c r="F5158" s="378"/>
      <c r="G5158" s="380"/>
      <c r="H5158" s="380"/>
      <c r="I5158" s="399"/>
      <c r="J5158" s="377">
        <v>80</v>
      </c>
      <c r="K5158" s="380"/>
      <c r="L5158" s="378"/>
      <c r="M5158" s="380"/>
      <c r="N5158" s="380"/>
      <c r="O5158" s="380"/>
      <c r="P5158" s="380"/>
      <c r="Q5158" s="380"/>
    </row>
    <row r="5159" spans="1:17" x14ac:dyDescent="0.2">
      <c r="A5159" s="334" t="s">
        <v>1565</v>
      </c>
      <c r="B5159" s="380"/>
      <c r="C5159" s="334" t="s">
        <v>1927</v>
      </c>
      <c r="D5159" s="379"/>
      <c r="E5159" s="380"/>
      <c r="F5159" s="378"/>
      <c r="G5159" s="380"/>
      <c r="H5159" s="380"/>
      <c r="I5159" s="399"/>
      <c r="J5159" s="377"/>
      <c r="K5159" s="380"/>
      <c r="L5159" s="378"/>
      <c r="M5159" s="380"/>
      <c r="N5159" s="380"/>
      <c r="O5159" s="380"/>
      <c r="P5159" s="380"/>
      <c r="Q5159" s="380"/>
    </row>
    <row r="5160" spans="1:17" x14ac:dyDescent="0.2">
      <c r="A5160" s="334" t="s">
        <v>1737</v>
      </c>
      <c r="B5160" s="380"/>
      <c r="C5160" s="334" t="s">
        <v>1984</v>
      </c>
      <c r="D5160" s="379">
        <v>80</v>
      </c>
      <c r="E5160" s="380"/>
      <c r="F5160" s="378"/>
      <c r="G5160" s="380"/>
      <c r="H5160" s="380"/>
      <c r="I5160" s="399"/>
      <c r="J5160" s="377">
        <v>80</v>
      </c>
      <c r="K5160" s="380"/>
      <c r="L5160" s="378"/>
      <c r="M5160" s="380"/>
      <c r="N5160" s="380"/>
      <c r="O5160" s="380"/>
      <c r="P5160" s="380"/>
      <c r="Q5160" s="380"/>
    </row>
    <row r="5161" spans="1:17" x14ac:dyDescent="0.2">
      <c r="A5161" s="334" t="s">
        <v>1726</v>
      </c>
      <c r="B5161" s="380"/>
      <c r="C5161" s="334" t="s">
        <v>1117</v>
      </c>
      <c r="D5161" s="379"/>
      <c r="E5161" s="380"/>
      <c r="F5161" s="378"/>
      <c r="G5161" s="380"/>
      <c r="H5161" s="380"/>
      <c r="I5161" s="399"/>
      <c r="J5161" s="377"/>
      <c r="K5161" s="380"/>
      <c r="L5161" s="378"/>
      <c r="M5161" s="380"/>
      <c r="N5161" s="380"/>
      <c r="O5161" s="380"/>
      <c r="P5161" s="380"/>
      <c r="Q5161" s="380"/>
    </row>
    <row r="5162" spans="1:17" x14ac:dyDescent="0.2">
      <c r="A5162" s="334" t="s">
        <v>1738</v>
      </c>
      <c r="B5162" s="380"/>
      <c r="C5162" s="334" t="s">
        <v>1591</v>
      </c>
      <c r="D5162" s="379">
        <v>20</v>
      </c>
      <c r="E5162" s="380"/>
      <c r="F5162" s="378"/>
      <c r="G5162" s="380"/>
      <c r="H5162" s="380"/>
      <c r="I5162" s="399"/>
      <c r="J5162" s="377">
        <v>20</v>
      </c>
      <c r="K5162" s="380"/>
      <c r="L5162" s="378"/>
      <c r="M5162" s="380"/>
      <c r="N5162" s="380"/>
      <c r="O5162" s="380"/>
      <c r="P5162" s="380"/>
      <c r="Q5162" s="380"/>
    </row>
    <row r="5163" spans="1:17" x14ac:dyDescent="0.2">
      <c r="A5163" s="334" t="s">
        <v>1727</v>
      </c>
      <c r="B5163" s="380"/>
      <c r="C5163" s="334" t="s">
        <v>307</v>
      </c>
      <c r="D5163" s="379">
        <v>20</v>
      </c>
      <c r="E5163" s="380"/>
      <c r="F5163" s="378"/>
      <c r="G5163" s="380"/>
      <c r="H5163" s="380"/>
      <c r="I5163" s="399"/>
      <c r="J5163" s="377">
        <v>20</v>
      </c>
      <c r="K5163" s="380"/>
      <c r="L5163" s="378"/>
      <c r="M5163" s="380"/>
      <c r="N5163" s="380"/>
      <c r="O5163" s="380"/>
      <c r="P5163" s="380"/>
      <c r="Q5163" s="380"/>
    </row>
    <row r="5164" spans="1:17" x14ac:dyDescent="0.2">
      <c r="A5164" s="384" t="s">
        <v>1728</v>
      </c>
      <c r="B5164" s="380"/>
      <c r="C5164" s="334" t="s">
        <v>310</v>
      </c>
      <c r="D5164" s="379"/>
      <c r="E5164" s="380"/>
      <c r="F5164" s="378"/>
      <c r="G5164" s="380"/>
      <c r="H5164" s="380"/>
      <c r="I5164" s="399"/>
      <c r="J5164" s="377"/>
      <c r="K5164" s="380"/>
      <c r="L5164" s="378"/>
      <c r="M5164" s="380"/>
      <c r="N5164" s="380"/>
      <c r="O5164" s="380"/>
      <c r="P5164" s="380"/>
      <c r="Q5164" s="380"/>
    </row>
    <row r="5165" spans="1:17" x14ac:dyDescent="0.2">
      <c r="A5165" s="334" t="s">
        <v>1729</v>
      </c>
      <c r="B5165" s="380"/>
      <c r="C5165" s="380" t="s">
        <v>1551</v>
      </c>
      <c r="D5165" s="379">
        <v>-600</v>
      </c>
      <c r="E5165" s="380"/>
      <c r="F5165" s="378"/>
      <c r="G5165" s="380"/>
      <c r="H5165" s="380"/>
      <c r="I5165" s="399"/>
      <c r="J5165" s="377"/>
      <c r="K5165" s="380"/>
      <c r="L5165" s="378"/>
      <c r="M5165" s="380"/>
      <c r="N5165" s="380"/>
      <c r="O5165" s="380"/>
      <c r="P5165" s="380"/>
      <c r="Q5165" s="380"/>
    </row>
    <row r="5166" spans="1:17" x14ac:dyDescent="0.2">
      <c r="A5166" s="384" t="s">
        <v>1735</v>
      </c>
      <c r="B5166" s="380"/>
      <c r="C5166" s="380" t="s">
        <v>194</v>
      </c>
      <c r="D5166" s="379"/>
      <c r="E5166" s="380"/>
      <c r="F5166" s="378"/>
      <c r="G5166" s="380"/>
      <c r="H5166" s="380"/>
      <c r="I5166" s="399"/>
      <c r="J5166" s="377"/>
      <c r="K5166" s="380"/>
      <c r="L5166" s="378"/>
      <c r="M5166" s="380"/>
      <c r="N5166" s="380"/>
      <c r="O5166" s="380"/>
      <c r="P5166" s="380"/>
      <c r="Q5166" s="380"/>
    </row>
    <row r="5167" spans="1:17" x14ac:dyDescent="0.2">
      <c r="A5167" s="384" t="s">
        <v>1754</v>
      </c>
      <c r="B5167" s="380"/>
      <c r="C5167" s="334" t="s">
        <v>1929</v>
      </c>
      <c r="D5167" s="379"/>
      <c r="E5167" s="380"/>
      <c r="F5167" s="378"/>
      <c r="G5167" s="380"/>
      <c r="H5167" s="380"/>
      <c r="I5167" s="399"/>
      <c r="J5167" s="377"/>
      <c r="K5167" s="380"/>
      <c r="L5167" s="378"/>
      <c r="M5167" s="380"/>
      <c r="N5167" s="380"/>
      <c r="O5167" s="380"/>
      <c r="P5167" s="380"/>
      <c r="Q5167" s="380"/>
    </row>
    <row r="5168" spans="1:17" x14ac:dyDescent="0.2">
      <c r="A5168" s="334" t="s">
        <v>1580</v>
      </c>
      <c r="B5168" s="380"/>
      <c r="C5168" s="334" t="s">
        <v>1935</v>
      </c>
      <c r="D5168" s="379">
        <v>40</v>
      </c>
      <c r="E5168" s="380"/>
      <c r="F5168" s="378"/>
      <c r="G5168" s="380"/>
      <c r="H5168" s="380"/>
      <c r="I5168" s="399"/>
      <c r="J5168" s="377">
        <v>40</v>
      </c>
      <c r="K5168" s="380"/>
      <c r="L5168" s="378"/>
      <c r="M5168" s="380"/>
      <c r="N5168" s="380"/>
      <c r="O5168" s="380"/>
      <c r="P5168" s="380"/>
      <c r="Q5168" s="380"/>
    </row>
    <row r="5169" spans="1:17" x14ac:dyDescent="0.2">
      <c r="A5169" s="334" t="s">
        <v>1730</v>
      </c>
      <c r="B5169" s="380"/>
      <c r="C5169" s="334" t="s">
        <v>1985</v>
      </c>
      <c r="D5169" s="379">
        <v>250</v>
      </c>
      <c r="E5169" s="380"/>
      <c r="F5169" s="378"/>
      <c r="G5169" s="380"/>
      <c r="H5169" s="380"/>
      <c r="I5169" s="399"/>
      <c r="J5169" s="377">
        <v>250</v>
      </c>
      <c r="K5169" s="380"/>
      <c r="L5169" s="378"/>
      <c r="M5169" s="380"/>
      <c r="N5169" s="380"/>
      <c r="O5169" s="380"/>
      <c r="P5169" s="380"/>
      <c r="Q5169" s="380"/>
    </row>
    <row r="5170" spans="1:17" x14ac:dyDescent="0.2">
      <c r="A5170" s="334" t="s">
        <v>1566</v>
      </c>
      <c r="B5170" s="380"/>
      <c r="C5170" s="334" t="s">
        <v>366</v>
      </c>
      <c r="D5170" s="379">
        <v>400</v>
      </c>
      <c r="E5170" s="380"/>
      <c r="F5170" s="378"/>
      <c r="G5170" s="380"/>
      <c r="H5170" s="380"/>
      <c r="I5170" s="399"/>
      <c r="J5170" s="377">
        <v>400</v>
      </c>
      <c r="K5170" s="380"/>
      <c r="L5170" s="378"/>
      <c r="M5170" s="380"/>
      <c r="N5170" s="380"/>
      <c r="O5170" s="380"/>
      <c r="P5170" s="380"/>
      <c r="Q5170" s="380"/>
    </row>
    <row r="5171" spans="1:17" x14ac:dyDescent="0.2">
      <c r="A5171" s="384" t="s">
        <v>1587</v>
      </c>
      <c r="B5171" s="380"/>
      <c r="C5171" s="334" t="s">
        <v>34</v>
      </c>
      <c r="D5171" s="377"/>
      <c r="E5171" s="380"/>
      <c r="F5171" s="378"/>
      <c r="G5171" s="380"/>
      <c r="H5171" s="380"/>
      <c r="I5171" s="399"/>
      <c r="J5171" s="377"/>
      <c r="K5171" s="380"/>
      <c r="L5171" s="378"/>
      <c r="M5171" s="380"/>
      <c r="N5171" s="380"/>
      <c r="O5171" s="380"/>
      <c r="P5171" s="380"/>
      <c r="Q5171" s="380"/>
    </row>
    <row r="5172" spans="1:17" x14ac:dyDescent="0.2">
      <c r="A5172" s="380"/>
      <c r="B5172" s="380"/>
      <c r="C5172" s="380"/>
      <c r="D5172" s="394"/>
      <c r="E5172" s="380"/>
      <c r="F5172" s="378"/>
      <c r="G5172" s="380"/>
      <c r="H5172" s="380"/>
      <c r="I5172" s="399"/>
      <c r="J5172" s="394"/>
      <c r="K5172" s="380"/>
      <c r="L5172" s="378"/>
      <c r="M5172" s="380"/>
      <c r="N5172" s="380"/>
      <c r="O5172" s="380"/>
      <c r="P5172" s="380"/>
      <c r="Q5172" s="380"/>
    </row>
    <row r="5173" spans="1:17" x14ac:dyDescent="0.2">
      <c r="A5173" s="380"/>
      <c r="B5173" s="380"/>
      <c r="C5173" s="380"/>
      <c r="D5173" s="377">
        <f>SUM(D5155:D5171)</f>
        <v>540</v>
      </c>
      <c r="E5173" s="380"/>
      <c r="F5173" s="378"/>
      <c r="G5173" s="380"/>
      <c r="H5173" s="380"/>
      <c r="I5173" s="399"/>
      <c r="J5173" s="377">
        <f>SUM(J5155:J5171)</f>
        <v>1140</v>
      </c>
      <c r="K5173" s="380"/>
      <c r="L5173" s="378"/>
      <c r="M5173" s="380"/>
      <c r="N5173" s="380"/>
      <c r="O5173" s="380"/>
      <c r="P5173" s="380"/>
      <c r="Q5173" s="380"/>
    </row>
    <row r="5174" spans="1:17" ht="15.75" thickTop="1" x14ac:dyDescent="0.2">
      <c r="A5174" s="380"/>
      <c r="B5174" s="380"/>
      <c r="C5174" s="380"/>
      <c r="D5174" s="395"/>
      <c r="E5174" s="380"/>
      <c r="F5174" s="378"/>
      <c r="G5174" s="380"/>
      <c r="H5174" s="380"/>
      <c r="I5174" s="382"/>
      <c r="J5174" s="395"/>
      <c r="K5174" s="380"/>
      <c r="L5174" s="378"/>
      <c r="M5174" s="380"/>
      <c r="N5174" s="380"/>
      <c r="O5174" s="380"/>
      <c r="P5174" s="380"/>
      <c r="Q5174" s="380"/>
    </row>
    <row r="5175" spans="1:17" x14ac:dyDescent="0.2">
      <c r="A5175" s="380"/>
      <c r="B5175" s="380"/>
      <c r="C5175" s="380"/>
      <c r="D5175" s="380"/>
      <c r="E5175" s="377"/>
      <c r="F5175" s="378"/>
      <c r="G5175" s="377"/>
      <c r="H5175" s="377"/>
      <c r="I5175" s="399"/>
      <c r="J5175" s="380"/>
      <c r="K5175" s="377"/>
      <c r="L5175" s="378"/>
      <c r="M5175" s="377"/>
      <c r="N5175" s="377"/>
      <c r="O5175" s="380"/>
      <c r="P5175" s="380"/>
      <c r="Q5175" s="380"/>
    </row>
    <row r="5176" spans="1:17" x14ac:dyDescent="0.2">
      <c r="A5176" s="334" t="s">
        <v>1877</v>
      </c>
      <c r="B5176" s="377"/>
      <c r="C5176" s="377"/>
      <c r="D5176" s="377"/>
      <c r="E5176" s="380"/>
      <c r="F5176" s="378"/>
      <c r="G5176" s="380"/>
      <c r="H5176" s="380"/>
      <c r="I5176" s="382"/>
      <c r="J5176" s="377"/>
      <c r="K5176" s="380"/>
      <c r="L5176" s="378"/>
      <c r="M5176" s="380"/>
      <c r="N5176" s="380"/>
      <c r="O5176" s="380"/>
      <c r="P5176" s="380"/>
      <c r="Q5176" s="380"/>
    </row>
    <row r="5177" spans="1:17" x14ac:dyDescent="0.2">
      <c r="A5177" s="380"/>
      <c r="B5177" s="380"/>
      <c r="C5177" s="384" t="s">
        <v>2189</v>
      </c>
      <c r="D5177" s="380"/>
      <c r="E5177" s="380"/>
      <c r="F5177" s="378"/>
      <c r="G5177" s="380"/>
      <c r="H5177" s="380"/>
      <c r="I5177" s="382"/>
      <c r="J5177" s="380"/>
      <c r="K5177" s="380"/>
      <c r="L5177" s="378"/>
      <c r="M5177" s="380"/>
      <c r="N5177" s="380"/>
      <c r="O5177" s="380"/>
      <c r="P5177" s="380"/>
      <c r="Q5177" s="380"/>
    </row>
    <row r="5178" spans="1:17" x14ac:dyDescent="0.2">
      <c r="A5178" s="380"/>
      <c r="B5178" s="380"/>
      <c r="C5178" s="380"/>
      <c r="D5178" s="380"/>
      <c r="E5178" s="380"/>
      <c r="F5178" s="378"/>
      <c r="G5178" s="380"/>
      <c r="H5178" s="380"/>
      <c r="I5178" s="382"/>
      <c r="J5178" s="380"/>
      <c r="K5178" s="380"/>
      <c r="L5178" s="378"/>
      <c r="M5178" s="380"/>
      <c r="N5178" s="380"/>
      <c r="O5178" s="380"/>
      <c r="P5178" s="380"/>
      <c r="Q5178" s="380"/>
    </row>
    <row r="5179" spans="1:17" x14ac:dyDescent="0.2">
      <c r="A5179" s="380" t="s">
        <v>1723</v>
      </c>
      <c r="B5179" s="380"/>
      <c r="C5179" s="380" t="s">
        <v>1880</v>
      </c>
      <c r="D5179" s="380" t="s">
        <v>181</v>
      </c>
      <c r="E5179" s="380"/>
      <c r="F5179" s="378"/>
      <c r="G5179" s="380"/>
      <c r="H5179" s="380"/>
      <c r="I5179" s="399"/>
      <c r="J5179" s="380" t="s">
        <v>181</v>
      </c>
      <c r="K5179" s="380"/>
      <c r="L5179" s="378"/>
      <c r="M5179" s="380"/>
      <c r="N5179" s="380"/>
      <c r="O5179" s="380"/>
      <c r="P5179" s="380"/>
      <c r="Q5179" s="380"/>
    </row>
    <row r="5180" spans="1:17" x14ac:dyDescent="0.2">
      <c r="A5180" s="380"/>
      <c r="B5180" s="380"/>
      <c r="C5180" s="380"/>
      <c r="D5180" s="377"/>
      <c r="E5180" s="380"/>
      <c r="F5180" s="378"/>
      <c r="G5180" s="380"/>
      <c r="H5180" s="380"/>
      <c r="I5180" s="399"/>
      <c r="J5180" s="377"/>
      <c r="K5180" s="380"/>
      <c r="L5180" s="378"/>
      <c r="M5180" s="380"/>
      <c r="N5180" s="380"/>
      <c r="O5180" s="380"/>
      <c r="P5180" s="380"/>
      <c r="Q5180" s="380"/>
    </row>
    <row r="5181" spans="1:17" x14ac:dyDescent="0.2">
      <c r="A5181" s="334" t="s">
        <v>1724</v>
      </c>
      <c r="B5181" s="380"/>
      <c r="C5181" s="380" t="s">
        <v>1881</v>
      </c>
      <c r="D5181" s="379">
        <v>100</v>
      </c>
      <c r="E5181" s="380"/>
      <c r="F5181" s="378"/>
      <c r="G5181" s="380"/>
      <c r="H5181" s="380"/>
      <c r="I5181" s="399"/>
      <c r="J5181" s="377">
        <v>100</v>
      </c>
      <c r="K5181" s="380"/>
      <c r="L5181" s="378"/>
      <c r="M5181" s="380"/>
      <c r="N5181" s="380"/>
      <c r="O5181" s="380"/>
      <c r="P5181" s="380"/>
      <c r="Q5181" s="380"/>
    </row>
    <row r="5182" spans="1:17" x14ac:dyDescent="0.2">
      <c r="A5182" s="334" t="s">
        <v>1736</v>
      </c>
      <c r="B5182" s="380"/>
      <c r="C5182" s="380" t="s">
        <v>1747</v>
      </c>
      <c r="D5182" s="379">
        <v>572</v>
      </c>
      <c r="E5182" s="380"/>
      <c r="F5182" s="378"/>
      <c r="G5182" s="380"/>
      <c r="H5182" s="380"/>
      <c r="I5182" s="399"/>
      <c r="J5182" s="377">
        <v>572</v>
      </c>
      <c r="K5182" s="380"/>
      <c r="L5182" s="378"/>
      <c r="M5182" s="380"/>
      <c r="N5182" s="380"/>
      <c r="O5182" s="380"/>
      <c r="P5182" s="380"/>
      <c r="Q5182" s="380"/>
    </row>
    <row r="5183" spans="1:17" x14ac:dyDescent="0.2">
      <c r="A5183" s="334" t="s">
        <v>1744</v>
      </c>
      <c r="B5183" s="380"/>
      <c r="C5183" s="334" t="s">
        <v>1254</v>
      </c>
      <c r="D5183" s="379"/>
      <c r="E5183" s="380"/>
      <c r="F5183" s="378"/>
      <c r="G5183" s="380"/>
      <c r="H5183" s="380"/>
      <c r="I5183" s="399"/>
      <c r="J5183" s="377"/>
      <c r="K5183" s="380"/>
      <c r="L5183" s="378"/>
      <c r="M5183" s="380"/>
      <c r="N5183" s="380"/>
      <c r="O5183" s="380"/>
      <c r="P5183" s="380"/>
      <c r="Q5183" s="380"/>
    </row>
    <row r="5184" spans="1:17" x14ac:dyDescent="0.2">
      <c r="A5184" s="384" t="s">
        <v>1582</v>
      </c>
      <c r="B5184" s="380"/>
      <c r="C5184" s="334" t="s">
        <v>3135</v>
      </c>
      <c r="D5184" s="379"/>
      <c r="E5184" s="380"/>
      <c r="F5184" s="378"/>
      <c r="G5184" s="380"/>
      <c r="H5184" s="380"/>
      <c r="I5184" s="399"/>
      <c r="J5184" s="377"/>
      <c r="K5184" s="380"/>
      <c r="L5184" s="378"/>
      <c r="M5184" s="380"/>
      <c r="N5184" s="380"/>
      <c r="O5184" s="380"/>
      <c r="P5184" s="380"/>
      <c r="Q5184" s="380"/>
    </row>
    <row r="5185" spans="1:17" x14ac:dyDescent="0.2">
      <c r="A5185" s="334" t="s">
        <v>1725</v>
      </c>
      <c r="B5185" s="380"/>
      <c r="C5185" s="334" t="s">
        <v>1890</v>
      </c>
      <c r="D5185" s="379"/>
      <c r="E5185" s="380"/>
      <c r="F5185" s="378"/>
      <c r="G5185" s="380"/>
      <c r="H5185" s="380"/>
      <c r="I5185" s="399"/>
      <c r="J5185" s="377"/>
      <c r="K5185" s="380"/>
      <c r="L5185" s="378"/>
      <c r="M5185" s="380"/>
      <c r="N5185" s="380"/>
      <c r="O5185" s="380"/>
      <c r="P5185" s="380"/>
      <c r="Q5185" s="380"/>
    </row>
    <row r="5186" spans="1:17" x14ac:dyDescent="0.2">
      <c r="A5186" s="334" t="s">
        <v>1737</v>
      </c>
      <c r="B5186" s="380"/>
      <c r="C5186" s="334" t="s">
        <v>1984</v>
      </c>
      <c r="D5186" s="379"/>
      <c r="E5186" s="380"/>
      <c r="F5186" s="378"/>
      <c r="G5186" s="380"/>
      <c r="H5186" s="380"/>
      <c r="I5186" s="399"/>
      <c r="J5186" s="377"/>
      <c r="K5186" s="380"/>
      <c r="L5186" s="378"/>
      <c r="M5186" s="380"/>
      <c r="N5186" s="380"/>
      <c r="O5186" s="380"/>
      <c r="P5186" s="380"/>
      <c r="Q5186" s="380"/>
    </row>
    <row r="5187" spans="1:17" x14ac:dyDescent="0.2">
      <c r="A5187" s="334" t="s">
        <v>1738</v>
      </c>
      <c r="B5187" s="380"/>
      <c r="C5187" s="334" t="s">
        <v>1591</v>
      </c>
      <c r="D5187" s="379"/>
      <c r="E5187" s="380"/>
      <c r="F5187" s="378"/>
      <c r="G5187" s="380"/>
      <c r="H5187" s="380"/>
      <c r="I5187" s="399"/>
      <c r="J5187" s="377"/>
      <c r="K5187" s="380"/>
      <c r="L5187" s="378"/>
      <c r="M5187" s="380"/>
      <c r="N5187" s="380"/>
      <c r="O5187" s="380"/>
      <c r="P5187" s="380"/>
      <c r="Q5187" s="380"/>
    </row>
    <row r="5188" spans="1:17" x14ac:dyDescent="0.2">
      <c r="A5188" s="334" t="s">
        <v>1727</v>
      </c>
      <c r="B5188" s="380"/>
      <c r="C5188" s="334" t="s">
        <v>307</v>
      </c>
      <c r="D5188" s="379"/>
      <c r="E5188" s="380"/>
      <c r="F5188" s="378"/>
      <c r="G5188" s="380"/>
      <c r="H5188" s="380"/>
      <c r="I5188" s="399"/>
      <c r="J5188" s="377"/>
      <c r="K5188" s="380"/>
      <c r="L5188" s="378"/>
      <c r="M5188" s="380"/>
      <c r="N5188" s="380"/>
      <c r="O5188" s="380"/>
      <c r="P5188" s="380"/>
      <c r="Q5188" s="380"/>
    </row>
    <row r="5189" spans="1:17" x14ac:dyDescent="0.2">
      <c r="A5189" s="334" t="s">
        <v>1729</v>
      </c>
      <c r="B5189" s="380"/>
      <c r="C5189" s="380" t="s">
        <v>1551</v>
      </c>
      <c r="D5189" s="379">
        <v>-674.4</v>
      </c>
      <c r="E5189" s="380"/>
      <c r="F5189" s="378"/>
      <c r="G5189" s="380"/>
      <c r="H5189" s="380"/>
      <c r="I5189" s="399"/>
      <c r="J5189" s="377"/>
      <c r="K5189" s="380"/>
      <c r="L5189" s="378"/>
      <c r="M5189" s="380"/>
      <c r="N5189" s="380"/>
      <c r="O5189" s="380"/>
      <c r="P5189" s="380"/>
      <c r="Q5189" s="380"/>
    </row>
    <row r="5190" spans="1:17" x14ac:dyDescent="0.2">
      <c r="A5190" s="334" t="s">
        <v>1580</v>
      </c>
      <c r="B5190" s="380"/>
      <c r="C5190" s="334" t="s">
        <v>1935</v>
      </c>
      <c r="D5190" s="379"/>
      <c r="E5190" s="380"/>
      <c r="F5190" s="378"/>
      <c r="G5190" s="380"/>
      <c r="H5190" s="380"/>
      <c r="I5190" s="399"/>
      <c r="J5190" s="377"/>
      <c r="K5190" s="380"/>
      <c r="L5190" s="378"/>
      <c r="M5190" s="380"/>
      <c r="N5190" s="380"/>
      <c r="O5190" s="380"/>
      <c r="P5190" s="380"/>
      <c r="Q5190" s="380"/>
    </row>
    <row r="5191" spans="1:17" x14ac:dyDescent="0.2">
      <c r="A5191" s="334" t="s">
        <v>1572</v>
      </c>
      <c r="B5191" s="380"/>
      <c r="C5191" s="334" t="s">
        <v>3134</v>
      </c>
      <c r="D5191" s="379"/>
      <c r="E5191" s="380"/>
      <c r="F5191" s="378"/>
      <c r="G5191" s="380"/>
      <c r="H5191" s="380"/>
      <c r="I5191" s="399"/>
      <c r="J5191" s="377"/>
      <c r="K5191" s="380"/>
      <c r="L5191" s="378"/>
      <c r="M5191" s="380"/>
      <c r="N5191" s="380"/>
      <c r="O5191" s="380"/>
      <c r="P5191" s="380"/>
      <c r="Q5191" s="380"/>
    </row>
    <row r="5192" spans="1:17" x14ac:dyDescent="0.2">
      <c r="A5192" s="391" t="s">
        <v>1730</v>
      </c>
      <c r="B5192" s="380"/>
      <c r="C5192" s="334" t="s">
        <v>1985</v>
      </c>
      <c r="D5192" s="379">
        <v>1500</v>
      </c>
      <c r="E5192" s="380"/>
      <c r="F5192" s="378"/>
      <c r="G5192" s="380"/>
      <c r="H5192" s="380"/>
      <c r="I5192" s="399"/>
      <c r="J5192" s="377">
        <v>1500</v>
      </c>
      <c r="K5192" s="380"/>
      <c r="L5192" s="378"/>
      <c r="M5192" s="380"/>
      <c r="N5192" s="380"/>
      <c r="O5192" s="380"/>
      <c r="P5192" s="380"/>
      <c r="Q5192" s="380"/>
    </row>
    <row r="5193" spans="1:17" x14ac:dyDescent="0.2">
      <c r="A5193" s="334" t="s">
        <v>1566</v>
      </c>
      <c r="B5193" s="380"/>
      <c r="C5193" s="334" t="s">
        <v>366</v>
      </c>
      <c r="D5193" s="379">
        <v>1200</v>
      </c>
      <c r="E5193" s="380"/>
      <c r="F5193" s="378"/>
      <c r="G5193" s="380"/>
      <c r="H5193" s="380"/>
      <c r="I5193" s="399"/>
      <c r="J5193" s="377">
        <v>1200</v>
      </c>
      <c r="K5193" s="380"/>
      <c r="L5193" s="378"/>
      <c r="M5193" s="380"/>
      <c r="N5193" s="380"/>
      <c r="O5193" s="380"/>
      <c r="P5193" s="380"/>
      <c r="Q5193" s="380"/>
    </row>
    <row r="5194" spans="1:17" x14ac:dyDescent="0.2">
      <c r="A5194" s="380"/>
      <c r="B5194" s="380"/>
      <c r="C5194" s="380"/>
      <c r="D5194" s="394"/>
      <c r="E5194" s="380"/>
      <c r="F5194" s="378"/>
      <c r="G5194" s="380"/>
      <c r="H5194" s="380"/>
      <c r="I5194" s="399"/>
      <c r="J5194" s="394"/>
      <c r="K5194" s="380"/>
      <c r="L5194" s="378"/>
      <c r="M5194" s="380"/>
      <c r="N5194" s="380"/>
      <c r="O5194" s="380"/>
      <c r="P5194" s="380"/>
      <c r="Q5194" s="380"/>
    </row>
    <row r="5195" spans="1:17" x14ac:dyDescent="0.2">
      <c r="A5195" s="380"/>
      <c r="B5195" s="380"/>
      <c r="C5195" s="380"/>
      <c r="D5195" s="377">
        <f>SUM(D5181:D5193)</f>
        <v>2697.6</v>
      </c>
      <c r="E5195" s="380"/>
      <c r="F5195" s="378"/>
      <c r="G5195" s="380"/>
      <c r="H5195" s="380"/>
      <c r="I5195" s="399"/>
      <c r="J5195" s="377">
        <f>SUM(J5181:J5193)</f>
        <v>3372</v>
      </c>
      <c r="K5195" s="380"/>
      <c r="L5195" s="378"/>
      <c r="M5195" s="380"/>
      <c r="N5195" s="380"/>
      <c r="O5195" s="380"/>
      <c r="P5195" s="380"/>
      <c r="Q5195" s="380"/>
    </row>
    <row r="5196" spans="1:17" ht="15.75" thickTop="1" x14ac:dyDescent="0.2">
      <c r="A5196" s="380"/>
      <c r="B5196" s="380"/>
      <c r="C5196" s="380"/>
      <c r="D5196" s="395"/>
      <c r="E5196" s="380"/>
      <c r="F5196" s="378"/>
      <c r="G5196" s="380"/>
      <c r="H5196" s="380"/>
      <c r="I5196" s="382"/>
      <c r="J5196" s="395"/>
      <c r="K5196" s="380"/>
      <c r="L5196" s="378"/>
      <c r="M5196" s="380"/>
      <c r="N5196" s="380"/>
      <c r="O5196" s="380"/>
      <c r="P5196" s="380"/>
      <c r="Q5196" s="380"/>
    </row>
    <row r="5197" spans="1:17" x14ac:dyDescent="0.2">
      <c r="A5197" s="380"/>
      <c r="B5197" s="380"/>
      <c r="C5197" s="380"/>
      <c r="D5197" s="380"/>
      <c r="E5197" s="380"/>
      <c r="F5197" s="378"/>
      <c r="G5197" s="380"/>
      <c r="H5197" s="380"/>
      <c r="I5197" s="382"/>
      <c r="J5197" s="380"/>
      <c r="K5197" s="380"/>
      <c r="L5197" s="378"/>
      <c r="M5197" s="380"/>
      <c r="N5197" s="380"/>
      <c r="O5197" s="380"/>
      <c r="P5197" s="380"/>
      <c r="Q5197" s="380"/>
    </row>
    <row r="5198" spans="1:17" x14ac:dyDescent="0.2">
      <c r="A5198" s="380"/>
      <c r="B5198" s="380"/>
      <c r="C5198" s="380"/>
      <c r="D5198" s="380"/>
      <c r="E5198" s="380"/>
      <c r="F5198" s="378"/>
      <c r="G5198" s="380"/>
      <c r="H5198" s="380"/>
      <c r="I5198" s="382"/>
      <c r="J5198" s="380"/>
      <c r="K5198" s="380"/>
      <c r="L5198" s="378"/>
      <c r="M5198" s="380"/>
      <c r="N5198" s="380"/>
      <c r="O5198" s="380"/>
      <c r="P5198" s="380"/>
      <c r="Q5198" s="380"/>
    </row>
    <row r="5199" spans="1:17" x14ac:dyDescent="0.2">
      <c r="A5199" s="380"/>
      <c r="B5199" s="380"/>
      <c r="C5199" s="380"/>
      <c r="D5199" s="380"/>
      <c r="E5199" s="399"/>
      <c r="F5199" s="416"/>
      <c r="G5199" s="382"/>
      <c r="H5199" s="399"/>
      <c r="I5199" s="399"/>
      <c r="J5199" s="380"/>
      <c r="K5199" s="399"/>
      <c r="L5199" s="416"/>
      <c r="M5199" s="382"/>
      <c r="N5199" s="399"/>
      <c r="O5199" s="380"/>
      <c r="P5199" s="380"/>
      <c r="Q5199" s="380"/>
    </row>
    <row r="5200" spans="1:17" x14ac:dyDescent="0.2">
      <c r="A5200" s="380" t="s">
        <v>18</v>
      </c>
      <c r="B5200" s="380"/>
      <c r="C5200" s="380"/>
      <c r="D5200" s="399"/>
      <c r="E5200" s="399"/>
      <c r="F5200" s="416"/>
      <c r="G5200" s="382"/>
      <c r="H5200" s="399"/>
      <c r="I5200" s="399"/>
      <c r="J5200" s="399"/>
      <c r="K5200" s="399"/>
      <c r="L5200" s="416"/>
      <c r="M5200" s="382"/>
      <c r="N5200" s="399"/>
      <c r="O5200" s="380"/>
      <c r="P5200" s="380"/>
      <c r="Q5200" s="380"/>
    </row>
    <row r="5201" spans="1:17" x14ac:dyDescent="0.2">
      <c r="A5201" s="380"/>
      <c r="B5201" s="380"/>
      <c r="C5201" s="384" t="s">
        <v>2190</v>
      </c>
      <c r="D5201" s="399"/>
      <c r="E5201" s="399"/>
      <c r="F5201" s="416"/>
      <c r="G5201" s="382"/>
      <c r="H5201" s="399"/>
      <c r="I5201" s="399"/>
      <c r="J5201" s="399"/>
      <c r="K5201" s="399"/>
      <c r="L5201" s="416"/>
      <c r="M5201" s="382"/>
      <c r="N5201" s="399"/>
      <c r="O5201" s="380"/>
      <c r="P5201" s="380"/>
      <c r="Q5201" s="380"/>
    </row>
    <row r="5202" spans="1:17" x14ac:dyDescent="0.2">
      <c r="A5202" s="380"/>
      <c r="B5202" s="380"/>
      <c r="C5202" s="380"/>
      <c r="D5202" s="399"/>
      <c r="E5202" s="399"/>
      <c r="F5202" s="416"/>
      <c r="G5202" s="382"/>
      <c r="H5202" s="399"/>
      <c r="I5202" s="385"/>
      <c r="J5202" s="399"/>
      <c r="K5202" s="399"/>
      <c r="L5202" s="416"/>
      <c r="M5202" s="382"/>
      <c r="N5202" s="399"/>
      <c r="O5202" s="380"/>
      <c r="P5202" s="380"/>
      <c r="Q5202" s="380"/>
    </row>
    <row r="5203" spans="1:17" x14ac:dyDescent="0.2">
      <c r="A5203" s="334" t="s">
        <v>1723</v>
      </c>
      <c r="B5203" s="380"/>
      <c r="C5203" s="334" t="s">
        <v>1880</v>
      </c>
      <c r="D5203" s="334" t="s">
        <v>181</v>
      </c>
      <c r="E5203" s="399"/>
      <c r="F5203" s="416"/>
      <c r="G5203" s="382"/>
      <c r="H5203" s="399"/>
      <c r="I5203" s="399"/>
      <c r="J5203" s="334" t="s">
        <v>181</v>
      </c>
      <c r="K5203" s="399"/>
      <c r="L5203" s="416"/>
      <c r="M5203" s="382"/>
      <c r="N5203" s="399"/>
      <c r="O5203" s="380"/>
      <c r="P5203" s="380"/>
      <c r="Q5203" s="380"/>
    </row>
    <row r="5204" spans="1:17" x14ac:dyDescent="0.2">
      <c r="A5204" s="334" t="s">
        <v>342</v>
      </c>
      <c r="B5204" s="380"/>
      <c r="C5204" s="334" t="s">
        <v>342</v>
      </c>
      <c r="D5204" s="377"/>
      <c r="E5204" s="399"/>
      <c r="F5204" s="416"/>
      <c r="G5204" s="382"/>
      <c r="H5204" s="399"/>
      <c r="I5204" s="399"/>
      <c r="J5204" s="377"/>
      <c r="K5204" s="399"/>
      <c r="L5204" s="416"/>
      <c r="M5204" s="382"/>
      <c r="N5204" s="399"/>
      <c r="O5204" s="380"/>
      <c r="P5204" s="380"/>
      <c r="Q5204" s="380"/>
    </row>
    <row r="5205" spans="1:17" x14ac:dyDescent="0.2">
      <c r="A5205" s="334" t="s">
        <v>1724</v>
      </c>
      <c r="B5205" s="380"/>
      <c r="C5205" s="334" t="s">
        <v>1881</v>
      </c>
      <c r="D5205" s="377">
        <v>300</v>
      </c>
      <c r="E5205" s="399"/>
      <c r="F5205" s="416"/>
      <c r="G5205" s="382"/>
      <c r="H5205" s="399"/>
      <c r="I5205" s="399"/>
      <c r="J5205" s="377">
        <v>300</v>
      </c>
      <c r="K5205" s="399"/>
      <c r="L5205" s="416"/>
      <c r="M5205" s="382"/>
      <c r="N5205" s="399"/>
      <c r="O5205" s="380"/>
      <c r="P5205" s="380"/>
      <c r="Q5205" s="380"/>
    </row>
    <row r="5206" spans="1:17" x14ac:dyDescent="0.2">
      <c r="A5206" s="334" t="s">
        <v>1736</v>
      </c>
      <c r="B5206" s="380"/>
      <c r="C5206" s="334" t="s">
        <v>1747</v>
      </c>
      <c r="D5206" s="377"/>
      <c r="E5206" s="399"/>
      <c r="F5206" s="416"/>
      <c r="G5206" s="382"/>
      <c r="H5206" s="399"/>
      <c r="I5206" s="399"/>
      <c r="J5206" s="377"/>
      <c r="K5206" s="399"/>
      <c r="L5206" s="416"/>
      <c r="M5206" s="382"/>
      <c r="N5206" s="399"/>
      <c r="O5206" s="380"/>
      <c r="P5206" s="380"/>
      <c r="Q5206" s="380"/>
    </row>
    <row r="5207" spans="1:17" x14ac:dyDescent="0.2">
      <c r="A5207" s="384" t="s">
        <v>1582</v>
      </c>
      <c r="B5207" s="380"/>
      <c r="C5207" s="334" t="s">
        <v>3135</v>
      </c>
      <c r="D5207" s="377"/>
      <c r="E5207" s="399"/>
      <c r="F5207" s="416"/>
      <c r="G5207" s="382"/>
      <c r="H5207" s="399"/>
      <c r="I5207" s="399"/>
      <c r="J5207" s="377">
        <v>900</v>
      </c>
      <c r="K5207" s="399"/>
      <c r="L5207" s="416"/>
      <c r="M5207" s="382"/>
      <c r="N5207" s="399"/>
      <c r="O5207" s="380"/>
      <c r="P5207" s="380"/>
      <c r="Q5207" s="380"/>
    </row>
    <row r="5208" spans="1:17" x14ac:dyDescent="0.2">
      <c r="A5208" s="334" t="s">
        <v>1575</v>
      </c>
      <c r="B5208" s="380"/>
      <c r="C5208" s="334" t="s">
        <v>1889</v>
      </c>
      <c r="D5208" s="377"/>
      <c r="E5208" s="399"/>
      <c r="F5208" s="416"/>
      <c r="G5208" s="382"/>
      <c r="H5208" s="399"/>
      <c r="I5208" s="399"/>
      <c r="J5208" s="377"/>
      <c r="K5208" s="399"/>
      <c r="L5208" s="416"/>
      <c r="M5208" s="382"/>
      <c r="N5208" s="399"/>
      <c r="O5208" s="380"/>
      <c r="P5208" s="380"/>
      <c r="Q5208" s="380"/>
    </row>
    <row r="5209" spans="1:17" x14ac:dyDescent="0.2">
      <c r="A5209" s="334" t="s">
        <v>1725</v>
      </c>
      <c r="B5209" s="380"/>
      <c r="C5209" s="334" t="s">
        <v>1890</v>
      </c>
      <c r="D5209" s="377">
        <v>100</v>
      </c>
      <c r="E5209" s="399"/>
      <c r="F5209" s="416"/>
      <c r="G5209" s="382"/>
      <c r="H5209" s="399"/>
      <c r="I5209" s="399"/>
      <c r="J5209" s="377">
        <v>200</v>
      </c>
      <c r="K5209" s="399"/>
      <c r="L5209" s="416"/>
      <c r="M5209" s="382"/>
      <c r="N5209" s="399"/>
      <c r="O5209" s="380"/>
      <c r="P5209" s="380"/>
      <c r="Q5209" s="380"/>
    </row>
    <row r="5210" spans="1:17" x14ac:dyDescent="0.2">
      <c r="A5210" s="334" t="s">
        <v>1737</v>
      </c>
      <c r="B5210" s="380"/>
      <c r="C5210" s="334" t="s">
        <v>1984</v>
      </c>
      <c r="D5210" s="377">
        <v>100</v>
      </c>
      <c r="E5210" s="399"/>
      <c r="F5210" s="416"/>
      <c r="G5210" s="382"/>
      <c r="H5210" s="399"/>
      <c r="I5210" s="399"/>
      <c r="J5210" s="377">
        <v>100</v>
      </c>
      <c r="K5210" s="399"/>
      <c r="L5210" s="416"/>
      <c r="M5210" s="382"/>
      <c r="N5210" s="399"/>
      <c r="O5210" s="380"/>
      <c r="P5210" s="380"/>
      <c r="Q5210" s="380"/>
    </row>
    <row r="5211" spans="1:17" x14ac:dyDescent="0.2">
      <c r="A5211" s="334" t="s">
        <v>1726</v>
      </c>
      <c r="B5211" s="380"/>
      <c r="C5211" s="334" t="s">
        <v>1117</v>
      </c>
      <c r="D5211" s="377">
        <v>100</v>
      </c>
      <c r="E5211" s="399"/>
      <c r="F5211" s="416"/>
      <c r="G5211" s="382"/>
      <c r="H5211" s="399"/>
      <c r="I5211" s="399"/>
      <c r="J5211" s="377">
        <v>100</v>
      </c>
      <c r="K5211" s="399"/>
      <c r="L5211" s="416"/>
      <c r="M5211" s="382"/>
      <c r="N5211" s="399"/>
      <c r="O5211" s="380"/>
      <c r="P5211" s="380"/>
      <c r="Q5211" s="380"/>
    </row>
    <row r="5212" spans="1:17" x14ac:dyDescent="0.2">
      <c r="A5212" s="384" t="s">
        <v>1751</v>
      </c>
      <c r="B5212" s="380"/>
      <c r="C5212" s="334" t="s">
        <v>3138</v>
      </c>
      <c r="D5212" s="377">
        <v>100</v>
      </c>
      <c r="E5212" s="399"/>
      <c r="F5212" s="416"/>
      <c r="G5212" s="382"/>
      <c r="H5212" s="399"/>
      <c r="I5212" s="399"/>
      <c r="J5212" s="377"/>
      <c r="K5212" s="399"/>
      <c r="L5212" s="416"/>
      <c r="M5212" s="382"/>
      <c r="N5212" s="399"/>
      <c r="O5212" s="380"/>
      <c r="P5212" s="380"/>
      <c r="Q5212" s="380"/>
    </row>
    <row r="5213" spans="1:17" x14ac:dyDescent="0.2">
      <c r="A5213" s="384" t="s">
        <v>1577</v>
      </c>
      <c r="B5213" s="380"/>
      <c r="C5213" s="334" t="s">
        <v>1815</v>
      </c>
      <c r="D5213" s="377"/>
      <c r="E5213" s="399"/>
      <c r="F5213" s="416"/>
      <c r="G5213" s="382"/>
      <c r="H5213" s="399"/>
      <c r="I5213" s="399"/>
      <c r="J5213" s="377"/>
      <c r="K5213" s="399"/>
      <c r="L5213" s="416"/>
      <c r="M5213" s="382"/>
      <c r="N5213" s="399"/>
      <c r="O5213" s="380"/>
      <c r="P5213" s="380"/>
      <c r="Q5213" s="380"/>
    </row>
    <row r="5214" spans="1:17" x14ac:dyDescent="0.2">
      <c r="A5214" s="334" t="s">
        <v>1734</v>
      </c>
      <c r="B5214" s="380"/>
      <c r="C5214" s="334" t="s">
        <v>1746</v>
      </c>
      <c r="D5214" s="377"/>
      <c r="E5214" s="399"/>
      <c r="F5214" s="416"/>
      <c r="G5214" s="382"/>
      <c r="H5214" s="399"/>
      <c r="I5214" s="399"/>
      <c r="J5214" s="377"/>
      <c r="K5214" s="399"/>
      <c r="L5214" s="416"/>
      <c r="M5214" s="382"/>
      <c r="N5214" s="399"/>
      <c r="O5214" s="380"/>
      <c r="P5214" s="380"/>
      <c r="Q5214" s="380"/>
    </row>
    <row r="5215" spans="1:17" x14ac:dyDescent="0.2">
      <c r="A5215" s="334" t="s">
        <v>1738</v>
      </c>
      <c r="B5215" s="380"/>
      <c r="C5215" s="334" t="s">
        <v>1591</v>
      </c>
      <c r="D5215" s="377">
        <v>50</v>
      </c>
      <c r="E5215" s="399"/>
      <c r="F5215" s="416"/>
      <c r="G5215" s="382"/>
      <c r="H5215" s="399"/>
      <c r="I5215" s="399"/>
      <c r="J5215" s="377">
        <v>50</v>
      </c>
      <c r="K5215" s="399"/>
      <c r="L5215" s="416"/>
      <c r="M5215" s="382"/>
      <c r="N5215" s="399"/>
      <c r="O5215" s="380"/>
      <c r="P5215" s="380"/>
      <c r="Q5215" s="380"/>
    </row>
    <row r="5216" spans="1:17" x14ac:dyDescent="0.2">
      <c r="A5216" s="334" t="s">
        <v>1727</v>
      </c>
      <c r="B5216" s="380"/>
      <c r="C5216" s="334" t="s">
        <v>307</v>
      </c>
      <c r="D5216" s="377"/>
      <c r="E5216" s="399"/>
      <c r="F5216" s="416"/>
      <c r="G5216" s="382"/>
      <c r="H5216" s="399"/>
      <c r="I5216" s="399"/>
      <c r="J5216" s="377">
        <v>25</v>
      </c>
      <c r="K5216" s="399"/>
      <c r="L5216" s="416"/>
      <c r="M5216" s="382"/>
      <c r="N5216" s="399"/>
      <c r="O5216" s="380"/>
      <c r="P5216" s="380"/>
      <c r="Q5216" s="380"/>
    </row>
    <row r="5217" spans="1:17" x14ac:dyDescent="0.2">
      <c r="A5217" s="334" t="s">
        <v>1728</v>
      </c>
      <c r="B5217" s="380"/>
      <c r="C5217" s="334" t="s">
        <v>310</v>
      </c>
      <c r="D5217" s="377"/>
      <c r="E5217" s="399"/>
      <c r="F5217" s="416"/>
      <c r="G5217" s="382"/>
      <c r="H5217" s="399"/>
      <c r="I5217" s="399"/>
      <c r="J5217" s="377"/>
      <c r="K5217" s="399"/>
      <c r="L5217" s="416"/>
      <c r="M5217" s="382"/>
      <c r="N5217" s="399"/>
      <c r="O5217" s="380"/>
      <c r="P5217" s="380"/>
      <c r="Q5217" s="380"/>
    </row>
    <row r="5218" spans="1:17" x14ac:dyDescent="0.2">
      <c r="A5218" s="334" t="s">
        <v>1729</v>
      </c>
      <c r="B5218" s="380"/>
      <c r="C5218" s="380" t="s">
        <v>1551</v>
      </c>
      <c r="D5218" s="377">
        <v>-400</v>
      </c>
      <c r="E5218" s="399"/>
      <c r="F5218" s="416"/>
      <c r="G5218" s="382"/>
      <c r="H5218" s="399"/>
      <c r="I5218" s="399"/>
      <c r="J5218" s="377"/>
      <c r="K5218" s="399"/>
      <c r="L5218" s="416"/>
      <c r="M5218" s="382"/>
      <c r="N5218" s="399"/>
      <c r="O5218" s="380"/>
      <c r="P5218" s="380"/>
      <c r="Q5218" s="380"/>
    </row>
    <row r="5219" spans="1:17" x14ac:dyDescent="0.2">
      <c r="A5219" s="334" t="s">
        <v>1735</v>
      </c>
      <c r="B5219" s="380"/>
      <c r="C5219" s="380" t="s">
        <v>194</v>
      </c>
      <c r="D5219" s="377"/>
      <c r="E5219" s="399"/>
      <c r="F5219" s="416"/>
      <c r="G5219" s="382"/>
      <c r="H5219" s="399"/>
      <c r="I5219" s="399"/>
      <c r="J5219" s="377"/>
      <c r="K5219" s="399"/>
      <c r="L5219" s="416"/>
      <c r="M5219" s="382"/>
      <c r="N5219" s="399"/>
      <c r="O5219" s="380"/>
      <c r="P5219" s="380"/>
      <c r="Q5219" s="380"/>
    </row>
    <row r="5220" spans="1:17" x14ac:dyDescent="0.2">
      <c r="A5220" s="384" t="s">
        <v>1580</v>
      </c>
      <c r="B5220" s="380"/>
      <c r="C5220" s="334" t="s">
        <v>1935</v>
      </c>
      <c r="D5220" s="377"/>
      <c r="E5220" s="399"/>
      <c r="F5220" s="416"/>
      <c r="G5220" s="382"/>
      <c r="H5220" s="399"/>
      <c r="I5220" s="399"/>
      <c r="J5220" s="377">
        <v>50</v>
      </c>
      <c r="K5220" s="399"/>
      <c r="L5220" s="416"/>
      <c r="M5220" s="382"/>
      <c r="N5220" s="399"/>
      <c r="O5220" s="380"/>
      <c r="P5220" s="380"/>
      <c r="Q5220" s="380"/>
    </row>
    <row r="5221" spans="1:17" x14ac:dyDescent="0.2">
      <c r="A5221" s="334" t="s">
        <v>1572</v>
      </c>
      <c r="B5221" s="380"/>
      <c r="C5221" s="334" t="s">
        <v>3134</v>
      </c>
      <c r="D5221" s="377"/>
      <c r="E5221" s="399"/>
      <c r="F5221" s="416"/>
      <c r="G5221" s="382"/>
      <c r="H5221" s="399"/>
      <c r="I5221" s="399"/>
      <c r="J5221" s="377"/>
      <c r="K5221" s="399"/>
      <c r="L5221" s="416"/>
      <c r="M5221" s="382"/>
      <c r="N5221" s="399"/>
      <c r="O5221" s="380"/>
      <c r="P5221" s="380"/>
      <c r="Q5221" s="380"/>
    </row>
    <row r="5222" spans="1:17" x14ac:dyDescent="0.2">
      <c r="A5222" s="334" t="s">
        <v>1730</v>
      </c>
      <c r="B5222" s="380"/>
      <c r="C5222" s="334" t="s">
        <v>1985</v>
      </c>
      <c r="D5222" s="377">
        <v>300</v>
      </c>
      <c r="E5222" s="399"/>
      <c r="F5222" s="416"/>
      <c r="G5222" s="382"/>
      <c r="H5222" s="399"/>
      <c r="I5222" s="399"/>
      <c r="J5222" s="377">
        <v>300</v>
      </c>
      <c r="K5222" s="399"/>
      <c r="L5222" s="416"/>
      <c r="M5222" s="382"/>
      <c r="N5222" s="399"/>
      <c r="O5222" s="380"/>
      <c r="P5222" s="380"/>
      <c r="Q5222" s="380"/>
    </row>
    <row r="5223" spans="1:17" x14ac:dyDescent="0.2">
      <c r="A5223" s="334" t="s">
        <v>1566</v>
      </c>
      <c r="B5223" s="380"/>
      <c r="C5223" s="334" t="s">
        <v>366</v>
      </c>
      <c r="D5223" s="377">
        <v>400</v>
      </c>
      <c r="E5223" s="399"/>
      <c r="F5223" s="416"/>
      <c r="G5223" s="382"/>
      <c r="H5223" s="399"/>
      <c r="I5223" s="399"/>
      <c r="J5223" s="377">
        <v>400</v>
      </c>
      <c r="K5223" s="399"/>
      <c r="L5223" s="416"/>
      <c r="M5223" s="382"/>
      <c r="N5223" s="399"/>
      <c r="O5223" s="380"/>
      <c r="P5223" s="380"/>
      <c r="Q5223" s="380"/>
    </row>
    <row r="5224" spans="1:17" x14ac:dyDescent="0.2">
      <c r="A5224" s="384" t="s">
        <v>1962</v>
      </c>
      <c r="B5224" s="380"/>
      <c r="C5224" s="380" t="s">
        <v>572</v>
      </c>
      <c r="D5224" s="377"/>
      <c r="E5224" s="399"/>
      <c r="F5224" s="416"/>
      <c r="G5224" s="382"/>
      <c r="H5224" s="399"/>
      <c r="I5224" s="385"/>
      <c r="J5224" s="377"/>
      <c r="K5224" s="399"/>
      <c r="L5224" s="416"/>
      <c r="M5224" s="382"/>
      <c r="N5224" s="399"/>
      <c r="O5224" s="380"/>
      <c r="P5224" s="380"/>
      <c r="Q5224" s="380"/>
    </row>
    <row r="5225" spans="1:17" x14ac:dyDescent="0.2">
      <c r="A5225" s="380"/>
      <c r="B5225" s="380"/>
      <c r="C5225" s="380"/>
      <c r="D5225" s="410" t="s">
        <v>342</v>
      </c>
      <c r="E5225" s="399"/>
      <c r="F5225" s="416"/>
      <c r="G5225" s="382"/>
      <c r="H5225" s="399"/>
      <c r="I5225" s="385"/>
      <c r="J5225" s="410" t="s">
        <v>342</v>
      </c>
      <c r="K5225" s="399"/>
      <c r="L5225" s="416"/>
      <c r="M5225" s="382"/>
      <c r="N5225" s="399"/>
      <c r="O5225" s="380"/>
      <c r="P5225" s="380"/>
      <c r="Q5225" s="380"/>
    </row>
    <row r="5226" spans="1:17" ht="15.75" thickBot="1" x14ac:dyDescent="0.25">
      <c r="A5226" s="380"/>
      <c r="B5226" s="380"/>
      <c r="C5226" s="380"/>
      <c r="D5226" s="411">
        <f>SUM(D5205:D5224)</f>
        <v>1050</v>
      </c>
      <c r="E5226" s="399"/>
      <c r="F5226" s="416"/>
      <c r="G5226" s="382"/>
      <c r="H5226" s="399"/>
      <c r="I5226" s="399"/>
      <c r="J5226" s="411">
        <f>SUM(J5205:J5224)</f>
        <v>2425</v>
      </c>
      <c r="K5226" s="399"/>
      <c r="L5226" s="416"/>
      <c r="M5226" s="382"/>
      <c r="N5226" s="399"/>
      <c r="O5226" s="380"/>
      <c r="P5226" s="380"/>
      <c r="Q5226" s="380"/>
    </row>
    <row r="5227" spans="1:17" x14ac:dyDescent="0.2">
      <c r="A5227" s="380"/>
      <c r="B5227" s="380"/>
      <c r="C5227" s="380"/>
      <c r="D5227" s="399"/>
      <c r="E5227" s="399"/>
      <c r="F5227" s="416"/>
      <c r="G5227" s="382"/>
      <c r="H5227" s="399"/>
      <c r="I5227" s="399"/>
      <c r="J5227" s="399"/>
      <c r="K5227" s="399"/>
      <c r="L5227" s="416"/>
      <c r="M5227" s="382"/>
      <c r="N5227" s="399"/>
      <c r="O5227" s="380"/>
      <c r="P5227" s="380"/>
      <c r="Q5227" s="380"/>
    </row>
    <row r="5228" spans="1:17" x14ac:dyDescent="0.2">
      <c r="A5228" s="380" t="s">
        <v>19</v>
      </c>
      <c r="B5228" s="380"/>
      <c r="C5228" s="380"/>
      <c r="D5228" s="399"/>
      <c r="E5228" s="399"/>
      <c r="F5228" s="416"/>
      <c r="G5228" s="382"/>
      <c r="H5228" s="399"/>
      <c r="I5228" s="399"/>
      <c r="J5228" s="399"/>
      <c r="K5228" s="399"/>
      <c r="L5228" s="416"/>
      <c r="M5228" s="382"/>
      <c r="N5228" s="399"/>
      <c r="O5228" s="380"/>
      <c r="P5228" s="380"/>
      <c r="Q5228" s="380"/>
    </row>
    <row r="5229" spans="1:17" x14ac:dyDescent="0.2">
      <c r="A5229" s="380"/>
      <c r="B5229" s="380"/>
      <c r="C5229" s="384" t="s">
        <v>2191</v>
      </c>
      <c r="D5229" s="399"/>
      <c r="E5229" s="399"/>
      <c r="F5229" s="416"/>
      <c r="G5229" s="382"/>
      <c r="H5229" s="399"/>
      <c r="I5229" s="399"/>
      <c r="J5229" s="399"/>
      <c r="K5229" s="399"/>
      <c r="L5229" s="416"/>
      <c r="M5229" s="382"/>
      <c r="N5229" s="399"/>
      <c r="O5229" s="380"/>
      <c r="P5229" s="380"/>
      <c r="Q5229" s="380"/>
    </row>
    <row r="5230" spans="1:17" x14ac:dyDescent="0.2">
      <c r="A5230" s="380"/>
      <c r="B5230" s="380"/>
      <c r="C5230" s="380"/>
      <c r="D5230" s="399"/>
      <c r="E5230" s="399"/>
      <c r="F5230" s="416"/>
      <c r="G5230" s="382"/>
      <c r="H5230" s="399"/>
      <c r="I5230" s="385"/>
      <c r="J5230" s="399"/>
      <c r="K5230" s="399"/>
      <c r="L5230" s="416"/>
      <c r="M5230" s="382"/>
      <c r="N5230" s="399"/>
      <c r="O5230" s="380"/>
      <c r="P5230" s="380"/>
      <c r="Q5230" s="380"/>
    </row>
    <row r="5231" spans="1:17" x14ac:dyDescent="0.2">
      <c r="A5231" s="334" t="s">
        <v>1723</v>
      </c>
      <c r="B5231" s="380"/>
      <c r="C5231" s="334" t="s">
        <v>1880</v>
      </c>
      <c r="D5231" s="334" t="s">
        <v>181</v>
      </c>
      <c r="E5231" s="399"/>
      <c r="F5231" s="416"/>
      <c r="G5231" s="382"/>
      <c r="H5231" s="399"/>
      <c r="I5231" s="399"/>
      <c r="J5231" s="334" t="s">
        <v>181</v>
      </c>
      <c r="K5231" s="399"/>
      <c r="L5231" s="416"/>
      <c r="M5231" s="382"/>
      <c r="N5231" s="399"/>
      <c r="O5231" s="380"/>
      <c r="P5231" s="380"/>
      <c r="Q5231" s="380"/>
    </row>
    <row r="5232" spans="1:17" x14ac:dyDescent="0.2">
      <c r="A5232" s="334" t="s">
        <v>342</v>
      </c>
      <c r="B5232" s="380"/>
      <c r="C5232" s="334" t="s">
        <v>342</v>
      </c>
      <c r="D5232" s="377"/>
      <c r="E5232" s="399"/>
      <c r="F5232" s="416"/>
      <c r="G5232" s="382"/>
      <c r="H5232" s="399"/>
      <c r="I5232" s="399"/>
      <c r="J5232" s="377"/>
      <c r="K5232" s="399"/>
      <c r="L5232" s="416"/>
      <c r="M5232" s="382"/>
      <c r="N5232" s="399"/>
      <c r="O5232" s="380"/>
      <c r="P5232" s="380"/>
      <c r="Q5232" s="380"/>
    </row>
    <row r="5233" spans="1:17" x14ac:dyDescent="0.2">
      <c r="A5233" s="334" t="s">
        <v>1724</v>
      </c>
      <c r="B5233" s="380"/>
      <c r="C5233" s="334" t="s">
        <v>1881</v>
      </c>
      <c r="D5233" s="377">
        <v>230</v>
      </c>
      <c r="E5233" s="399"/>
      <c r="F5233" s="416"/>
      <c r="G5233" s="382"/>
      <c r="H5233" s="399"/>
      <c r="I5233" s="399"/>
      <c r="J5233" s="377">
        <v>230</v>
      </c>
      <c r="K5233" s="399"/>
      <c r="L5233" s="416"/>
      <c r="M5233" s="382"/>
      <c r="N5233" s="399"/>
      <c r="O5233" s="380"/>
      <c r="P5233" s="380"/>
      <c r="Q5233" s="380"/>
    </row>
    <row r="5234" spans="1:17" x14ac:dyDescent="0.2">
      <c r="A5234" s="334" t="s">
        <v>1736</v>
      </c>
      <c r="B5234" s="380"/>
      <c r="C5234" s="334" t="s">
        <v>1747</v>
      </c>
      <c r="D5234" s="377">
        <v>100</v>
      </c>
      <c r="E5234" s="399"/>
      <c r="F5234" s="416"/>
      <c r="G5234" s="382"/>
      <c r="H5234" s="399"/>
      <c r="I5234" s="399"/>
      <c r="J5234" s="377">
        <v>100</v>
      </c>
      <c r="K5234" s="399"/>
      <c r="L5234" s="416"/>
      <c r="M5234" s="382"/>
      <c r="N5234" s="399"/>
      <c r="O5234" s="380"/>
      <c r="P5234" s="380"/>
      <c r="Q5234" s="380"/>
    </row>
    <row r="5235" spans="1:17" x14ac:dyDescent="0.2">
      <c r="A5235" s="384" t="s">
        <v>1582</v>
      </c>
      <c r="B5235" s="380"/>
      <c r="C5235" s="334" t="s">
        <v>3135</v>
      </c>
      <c r="D5235" s="377"/>
      <c r="E5235" s="399"/>
      <c r="F5235" s="416"/>
      <c r="G5235" s="382"/>
      <c r="H5235" s="399"/>
      <c r="I5235" s="399"/>
      <c r="J5235" s="377"/>
      <c r="K5235" s="399"/>
      <c r="L5235" s="416"/>
      <c r="M5235" s="382"/>
      <c r="N5235" s="399"/>
      <c r="O5235" s="380"/>
      <c r="P5235" s="380"/>
      <c r="Q5235" s="380"/>
    </row>
    <row r="5236" spans="1:17" x14ac:dyDescent="0.2">
      <c r="A5236" s="334" t="s">
        <v>1575</v>
      </c>
      <c r="B5236" s="380"/>
      <c r="C5236" s="334" t="s">
        <v>1889</v>
      </c>
      <c r="D5236" s="377"/>
      <c r="E5236" s="399"/>
      <c r="F5236" s="416"/>
      <c r="G5236" s="382"/>
      <c r="H5236" s="399"/>
      <c r="I5236" s="399"/>
      <c r="J5236" s="377"/>
      <c r="K5236" s="399"/>
      <c r="L5236" s="416"/>
      <c r="M5236" s="382"/>
      <c r="N5236" s="399"/>
      <c r="O5236" s="380"/>
      <c r="P5236" s="380"/>
      <c r="Q5236" s="380"/>
    </row>
    <row r="5237" spans="1:17" x14ac:dyDescent="0.2">
      <c r="A5237" s="334" t="s">
        <v>1725</v>
      </c>
      <c r="B5237" s="380"/>
      <c r="C5237" s="334" t="s">
        <v>1890</v>
      </c>
      <c r="D5237" s="377"/>
      <c r="E5237" s="399"/>
      <c r="F5237" s="416"/>
      <c r="G5237" s="382"/>
      <c r="H5237" s="399"/>
      <c r="I5237" s="399"/>
      <c r="J5237" s="377"/>
      <c r="K5237" s="399"/>
      <c r="L5237" s="416"/>
      <c r="M5237" s="382"/>
      <c r="N5237" s="399"/>
      <c r="O5237" s="380"/>
      <c r="P5237" s="380"/>
      <c r="Q5237" s="380"/>
    </row>
    <row r="5238" spans="1:17" x14ac:dyDescent="0.2">
      <c r="A5238" s="384" t="s">
        <v>1565</v>
      </c>
      <c r="B5238" s="380"/>
      <c r="C5238" s="334" t="s">
        <v>1927</v>
      </c>
      <c r="D5238" s="377"/>
      <c r="E5238" s="399"/>
      <c r="F5238" s="416"/>
      <c r="G5238" s="382"/>
      <c r="H5238" s="399"/>
      <c r="I5238" s="399"/>
      <c r="J5238" s="377"/>
      <c r="K5238" s="399"/>
      <c r="L5238" s="416"/>
      <c r="M5238" s="382"/>
      <c r="N5238" s="399"/>
      <c r="O5238" s="380"/>
      <c r="P5238" s="380"/>
      <c r="Q5238" s="380"/>
    </row>
    <row r="5239" spans="1:17" x14ac:dyDescent="0.2">
      <c r="A5239" s="334" t="s">
        <v>1737</v>
      </c>
      <c r="B5239" s="380"/>
      <c r="C5239" s="334" t="s">
        <v>1984</v>
      </c>
      <c r="D5239" s="377"/>
      <c r="E5239" s="399"/>
      <c r="F5239" s="416"/>
      <c r="G5239" s="382"/>
      <c r="H5239" s="399"/>
      <c r="I5239" s="399"/>
      <c r="J5239" s="377"/>
      <c r="K5239" s="399"/>
      <c r="L5239" s="416"/>
      <c r="M5239" s="382"/>
      <c r="N5239" s="399"/>
      <c r="O5239" s="380"/>
      <c r="P5239" s="380"/>
      <c r="Q5239" s="380"/>
    </row>
    <row r="5240" spans="1:17" x14ac:dyDescent="0.2">
      <c r="A5240" s="334" t="s">
        <v>1726</v>
      </c>
      <c r="B5240" s="380"/>
      <c r="C5240" s="334" t="s">
        <v>1117</v>
      </c>
      <c r="D5240" s="377"/>
      <c r="E5240" s="399"/>
      <c r="F5240" s="416"/>
      <c r="G5240" s="382"/>
      <c r="H5240" s="399"/>
      <c r="I5240" s="399"/>
      <c r="J5240" s="377"/>
      <c r="K5240" s="399"/>
      <c r="L5240" s="416"/>
      <c r="M5240" s="382"/>
      <c r="N5240" s="399"/>
      <c r="O5240" s="380"/>
      <c r="P5240" s="380"/>
      <c r="Q5240" s="380"/>
    </row>
    <row r="5241" spans="1:17" x14ac:dyDescent="0.2">
      <c r="A5241" s="384" t="s">
        <v>1751</v>
      </c>
      <c r="B5241" s="380"/>
      <c r="C5241" s="334" t="s">
        <v>3138</v>
      </c>
      <c r="D5241" s="377"/>
      <c r="E5241" s="399"/>
      <c r="F5241" s="416"/>
      <c r="G5241" s="382"/>
      <c r="H5241" s="399"/>
      <c r="I5241" s="399"/>
      <c r="J5241" s="377"/>
      <c r="K5241" s="399"/>
      <c r="L5241" s="416"/>
      <c r="M5241" s="382"/>
      <c r="N5241" s="399"/>
      <c r="O5241" s="380"/>
      <c r="P5241" s="380"/>
      <c r="Q5241" s="380"/>
    </row>
    <row r="5242" spans="1:17" x14ac:dyDescent="0.2">
      <c r="A5242" s="384" t="s">
        <v>1577</v>
      </c>
      <c r="B5242" s="380"/>
      <c r="C5242" s="334" t="s">
        <v>1815</v>
      </c>
      <c r="D5242" s="377"/>
      <c r="E5242" s="399"/>
      <c r="F5242" s="416"/>
      <c r="G5242" s="382"/>
      <c r="H5242" s="399"/>
      <c r="I5242" s="399"/>
      <c r="J5242" s="377"/>
      <c r="K5242" s="399"/>
      <c r="L5242" s="416"/>
      <c r="M5242" s="382"/>
      <c r="N5242" s="399"/>
      <c r="O5242" s="380"/>
      <c r="P5242" s="380"/>
      <c r="Q5242" s="380"/>
    </row>
    <row r="5243" spans="1:17" x14ac:dyDescent="0.2">
      <c r="A5243" s="334" t="s">
        <v>1734</v>
      </c>
      <c r="B5243" s="380"/>
      <c r="C5243" s="334" t="s">
        <v>1746</v>
      </c>
      <c r="D5243" s="377"/>
      <c r="E5243" s="399"/>
      <c r="F5243" s="416"/>
      <c r="G5243" s="382"/>
      <c r="H5243" s="399"/>
      <c r="I5243" s="399"/>
      <c r="J5243" s="377"/>
      <c r="K5243" s="399"/>
      <c r="L5243" s="416"/>
      <c r="M5243" s="382"/>
      <c r="N5243" s="399"/>
      <c r="O5243" s="380"/>
      <c r="P5243" s="380"/>
      <c r="Q5243" s="380"/>
    </row>
    <row r="5244" spans="1:17" x14ac:dyDescent="0.2">
      <c r="A5244" s="334" t="s">
        <v>1738</v>
      </c>
      <c r="B5244" s="380"/>
      <c r="C5244" s="334" t="s">
        <v>1591</v>
      </c>
      <c r="D5244" s="377">
        <v>25</v>
      </c>
      <c r="E5244" s="399"/>
      <c r="F5244" s="416"/>
      <c r="G5244" s="382"/>
      <c r="H5244" s="399"/>
      <c r="I5244" s="399"/>
      <c r="J5244" s="377">
        <v>25</v>
      </c>
      <c r="K5244" s="399"/>
      <c r="L5244" s="416"/>
      <c r="M5244" s="382"/>
      <c r="N5244" s="399"/>
      <c r="O5244" s="380"/>
      <c r="P5244" s="380"/>
      <c r="Q5244" s="380"/>
    </row>
    <row r="5245" spans="1:17" x14ac:dyDescent="0.2">
      <c r="A5245" s="334" t="s">
        <v>1727</v>
      </c>
      <c r="B5245" s="380"/>
      <c r="C5245" s="334" t="s">
        <v>307</v>
      </c>
      <c r="D5245" s="377">
        <v>25</v>
      </c>
      <c r="E5245" s="399"/>
      <c r="F5245" s="416"/>
      <c r="G5245" s="382"/>
      <c r="H5245" s="399"/>
      <c r="I5245" s="399"/>
      <c r="J5245" s="377">
        <v>25</v>
      </c>
      <c r="K5245" s="399"/>
      <c r="L5245" s="416"/>
      <c r="M5245" s="382"/>
      <c r="N5245" s="399"/>
      <c r="O5245" s="380"/>
      <c r="P5245" s="380"/>
      <c r="Q5245" s="380"/>
    </row>
    <row r="5246" spans="1:17" x14ac:dyDescent="0.2">
      <c r="A5246" s="334" t="s">
        <v>1728</v>
      </c>
      <c r="B5246" s="380"/>
      <c r="C5246" s="334" t="s">
        <v>310</v>
      </c>
      <c r="D5246" s="377"/>
      <c r="E5246" s="399"/>
      <c r="F5246" s="416"/>
      <c r="G5246" s="382"/>
      <c r="H5246" s="399"/>
      <c r="I5246" s="399"/>
      <c r="J5246" s="377"/>
      <c r="K5246" s="399"/>
      <c r="L5246" s="416"/>
      <c r="M5246" s="382"/>
      <c r="N5246" s="399"/>
      <c r="O5246" s="380"/>
      <c r="P5246" s="380"/>
      <c r="Q5246" s="380"/>
    </row>
    <row r="5247" spans="1:17" x14ac:dyDescent="0.2">
      <c r="A5247" s="334" t="s">
        <v>1729</v>
      </c>
      <c r="B5247" s="380"/>
      <c r="C5247" s="380" t="s">
        <v>1551</v>
      </c>
      <c r="D5247" s="377">
        <v>-136</v>
      </c>
      <c r="E5247" s="399"/>
      <c r="F5247" s="416"/>
      <c r="G5247" s="382"/>
      <c r="H5247" s="399"/>
      <c r="I5247" s="399"/>
      <c r="J5247" s="377"/>
      <c r="K5247" s="399"/>
      <c r="L5247" s="416"/>
      <c r="M5247" s="382"/>
      <c r="N5247" s="399"/>
      <c r="O5247" s="380"/>
      <c r="P5247" s="380"/>
      <c r="Q5247" s="380"/>
    </row>
    <row r="5248" spans="1:17" x14ac:dyDescent="0.2">
      <c r="A5248" s="334" t="s">
        <v>1735</v>
      </c>
      <c r="B5248" s="380"/>
      <c r="C5248" s="380" t="s">
        <v>194</v>
      </c>
      <c r="D5248" s="377"/>
      <c r="E5248" s="399"/>
      <c r="F5248" s="416"/>
      <c r="G5248" s="382"/>
      <c r="H5248" s="399"/>
      <c r="I5248" s="399"/>
      <c r="J5248" s="377"/>
      <c r="K5248" s="399"/>
      <c r="L5248" s="416"/>
      <c r="M5248" s="382"/>
      <c r="N5248" s="399"/>
      <c r="O5248" s="380"/>
      <c r="P5248" s="380"/>
      <c r="Q5248" s="380"/>
    </row>
    <row r="5249" spans="1:17" x14ac:dyDescent="0.2">
      <c r="A5249" s="384" t="s">
        <v>1754</v>
      </c>
      <c r="B5249" s="380"/>
      <c r="C5249" s="334" t="s">
        <v>1929</v>
      </c>
      <c r="D5249" s="377"/>
      <c r="E5249" s="399"/>
      <c r="F5249" s="416"/>
      <c r="G5249" s="382"/>
      <c r="H5249" s="399"/>
      <c r="I5249" s="399"/>
      <c r="J5249" s="377"/>
      <c r="K5249" s="399"/>
      <c r="L5249" s="416"/>
      <c r="M5249" s="382"/>
      <c r="N5249" s="399"/>
      <c r="O5249" s="380"/>
      <c r="P5249" s="380"/>
      <c r="Q5249" s="380"/>
    </row>
    <row r="5250" spans="1:17" x14ac:dyDescent="0.2">
      <c r="A5250" s="384" t="s">
        <v>1580</v>
      </c>
      <c r="B5250" s="380"/>
      <c r="C5250" s="334" t="s">
        <v>1935</v>
      </c>
      <c r="D5250" s="377"/>
      <c r="E5250" s="399"/>
      <c r="F5250" s="416"/>
      <c r="G5250" s="382"/>
      <c r="H5250" s="399"/>
      <c r="I5250" s="399"/>
      <c r="J5250" s="377">
        <v>100</v>
      </c>
      <c r="K5250" s="399"/>
      <c r="L5250" s="416"/>
      <c r="M5250" s="382"/>
      <c r="N5250" s="399"/>
      <c r="O5250" s="380"/>
      <c r="P5250" s="380"/>
      <c r="Q5250" s="380"/>
    </row>
    <row r="5251" spans="1:17" x14ac:dyDescent="0.2">
      <c r="A5251" s="334" t="s">
        <v>1572</v>
      </c>
      <c r="B5251" s="380"/>
      <c r="C5251" s="334" t="s">
        <v>3134</v>
      </c>
      <c r="D5251" s="377"/>
      <c r="E5251" s="399"/>
      <c r="F5251" s="416"/>
      <c r="G5251" s="382"/>
      <c r="H5251" s="399"/>
      <c r="I5251" s="399"/>
      <c r="J5251" s="377"/>
      <c r="K5251" s="399"/>
      <c r="L5251" s="416"/>
      <c r="M5251" s="382"/>
      <c r="N5251" s="399"/>
      <c r="O5251" s="380"/>
      <c r="P5251" s="380"/>
      <c r="Q5251" s="380"/>
    </row>
    <row r="5252" spans="1:17" x14ac:dyDescent="0.2">
      <c r="A5252" s="334" t="s">
        <v>1730</v>
      </c>
      <c r="B5252" s="380"/>
      <c r="C5252" s="334" t="s">
        <v>1985</v>
      </c>
      <c r="D5252" s="377">
        <v>300</v>
      </c>
      <c r="E5252" s="399"/>
      <c r="F5252" s="416"/>
      <c r="G5252" s="382"/>
      <c r="H5252" s="399"/>
      <c r="I5252" s="399"/>
      <c r="J5252" s="377">
        <v>300</v>
      </c>
      <c r="K5252" s="399"/>
      <c r="L5252" s="416"/>
      <c r="M5252" s="382"/>
      <c r="N5252" s="399"/>
      <c r="O5252" s="380"/>
      <c r="P5252" s="380"/>
      <c r="Q5252" s="380"/>
    </row>
    <row r="5253" spans="1:17" x14ac:dyDescent="0.2">
      <c r="A5253" s="334" t="s">
        <v>1566</v>
      </c>
      <c r="B5253" s="380"/>
      <c r="C5253" s="334" t="s">
        <v>366</v>
      </c>
      <c r="D5253" s="377"/>
      <c r="E5253" s="399"/>
      <c r="F5253" s="416"/>
      <c r="G5253" s="382"/>
      <c r="H5253" s="399"/>
      <c r="I5253" s="399"/>
      <c r="J5253" s="377"/>
      <c r="K5253" s="399"/>
      <c r="L5253" s="416"/>
      <c r="M5253" s="382"/>
      <c r="N5253" s="399"/>
      <c r="O5253" s="380"/>
      <c r="P5253" s="380"/>
      <c r="Q5253" s="380"/>
    </row>
    <row r="5254" spans="1:17" x14ac:dyDescent="0.2">
      <c r="A5254" s="384" t="s">
        <v>1962</v>
      </c>
      <c r="B5254" s="380"/>
      <c r="C5254" s="380" t="s">
        <v>572</v>
      </c>
      <c r="D5254" s="377"/>
      <c r="E5254" s="399"/>
      <c r="F5254" s="416"/>
      <c r="G5254" s="382"/>
      <c r="H5254" s="399"/>
      <c r="I5254" s="385"/>
      <c r="J5254" s="377"/>
      <c r="K5254" s="399"/>
      <c r="L5254" s="416"/>
      <c r="M5254" s="382"/>
      <c r="N5254" s="399"/>
      <c r="O5254" s="380"/>
      <c r="P5254" s="380"/>
      <c r="Q5254" s="380"/>
    </row>
    <row r="5255" spans="1:17" x14ac:dyDescent="0.2">
      <c r="A5255" s="380"/>
      <c r="B5255" s="380"/>
      <c r="C5255" s="380"/>
      <c r="D5255" s="410" t="s">
        <v>342</v>
      </c>
      <c r="E5255" s="399"/>
      <c r="F5255" s="416"/>
      <c r="G5255" s="382"/>
      <c r="H5255" s="399"/>
      <c r="I5255" s="385"/>
      <c r="J5255" s="410" t="s">
        <v>342</v>
      </c>
      <c r="K5255" s="399"/>
      <c r="L5255" s="416"/>
      <c r="M5255" s="382"/>
      <c r="N5255" s="399"/>
      <c r="O5255" s="380"/>
      <c r="P5255" s="380"/>
      <c r="Q5255" s="380"/>
    </row>
    <row r="5256" spans="1:17" ht="15.75" thickBot="1" x14ac:dyDescent="0.25">
      <c r="A5256" s="380"/>
      <c r="B5256" s="380"/>
      <c r="C5256" s="380"/>
      <c r="D5256" s="411">
        <f>SUM(D5233:D5254)</f>
        <v>544</v>
      </c>
      <c r="E5256" s="399"/>
      <c r="F5256" s="416"/>
      <c r="G5256" s="382"/>
      <c r="H5256" s="399"/>
      <c r="I5256" s="385"/>
      <c r="J5256" s="411">
        <f>SUM(J5233:J5254)</f>
        <v>780</v>
      </c>
      <c r="K5256" s="399"/>
      <c r="L5256" s="416"/>
      <c r="M5256" s="382"/>
      <c r="N5256" s="399"/>
      <c r="O5256" s="380"/>
      <c r="P5256" s="380"/>
      <c r="Q5256" s="380"/>
    </row>
    <row r="5257" spans="1:17" x14ac:dyDescent="0.2">
      <c r="A5257" s="380"/>
      <c r="B5257" s="380"/>
      <c r="C5257" s="380"/>
      <c r="D5257" s="334"/>
      <c r="E5257" s="380"/>
      <c r="F5257" s="378"/>
      <c r="G5257" s="380"/>
      <c r="H5257" s="380"/>
      <c r="I5257" s="399"/>
      <c r="J5257" s="334"/>
      <c r="K5257" s="380"/>
      <c r="L5257" s="378"/>
      <c r="M5257" s="380"/>
      <c r="N5257" s="380"/>
      <c r="O5257" s="380"/>
      <c r="P5257" s="380"/>
      <c r="Q5257" s="380"/>
    </row>
    <row r="5258" spans="1:17" x14ac:dyDescent="0.2">
      <c r="A5258" s="389" t="s">
        <v>1791</v>
      </c>
      <c r="B5258" s="377"/>
      <c r="C5258" s="377"/>
      <c r="D5258" s="377"/>
      <c r="E5258" s="380"/>
      <c r="F5258" s="378"/>
      <c r="G5258" s="380"/>
      <c r="H5258" s="380"/>
      <c r="I5258" s="382"/>
      <c r="J5258" s="377"/>
      <c r="K5258" s="380"/>
      <c r="L5258" s="378"/>
      <c r="M5258" s="380"/>
      <c r="N5258" s="380"/>
      <c r="O5258" s="380"/>
      <c r="P5258" s="380"/>
      <c r="Q5258" s="380"/>
    </row>
    <row r="5259" spans="1:17" x14ac:dyDescent="0.2">
      <c r="A5259" s="334" t="s">
        <v>342</v>
      </c>
      <c r="B5259" s="380"/>
      <c r="C5259" s="384" t="s">
        <v>2192</v>
      </c>
      <c r="D5259" s="380"/>
      <c r="E5259" s="380"/>
      <c r="F5259" s="378"/>
      <c r="G5259" s="380"/>
      <c r="H5259" s="380"/>
      <c r="I5259" s="382"/>
      <c r="J5259" s="380"/>
      <c r="K5259" s="380"/>
      <c r="L5259" s="378"/>
      <c r="M5259" s="380"/>
      <c r="N5259" s="380"/>
      <c r="O5259" s="380"/>
      <c r="P5259" s="380"/>
      <c r="Q5259" s="380"/>
    </row>
    <row r="5260" spans="1:17" x14ac:dyDescent="0.2">
      <c r="A5260" s="334" t="s">
        <v>342</v>
      </c>
      <c r="B5260" s="380"/>
      <c r="C5260" s="334" t="s">
        <v>342</v>
      </c>
      <c r="D5260" s="380"/>
      <c r="E5260" s="380"/>
      <c r="F5260" s="378"/>
      <c r="G5260" s="380"/>
      <c r="H5260" s="380"/>
      <c r="I5260" s="385"/>
      <c r="J5260" s="380"/>
      <c r="K5260" s="380"/>
      <c r="L5260" s="378"/>
      <c r="M5260" s="380"/>
      <c r="N5260" s="380"/>
      <c r="O5260" s="380"/>
      <c r="P5260" s="380"/>
      <c r="Q5260" s="380"/>
    </row>
    <row r="5261" spans="1:17" x14ac:dyDescent="0.2">
      <c r="A5261" s="334" t="s">
        <v>1723</v>
      </c>
      <c r="B5261" s="380"/>
      <c r="C5261" s="334" t="s">
        <v>1880</v>
      </c>
      <c r="D5261" s="334" t="s">
        <v>181</v>
      </c>
      <c r="E5261" s="380"/>
      <c r="F5261" s="378"/>
      <c r="G5261" s="380"/>
      <c r="H5261" s="380"/>
      <c r="I5261" s="399"/>
      <c r="J5261" s="334" t="s">
        <v>181</v>
      </c>
      <c r="K5261" s="380"/>
      <c r="L5261" s="378"/>
      <c r="M5261" s="380"/>
      <c r="N5261" s="380"/>
      <c r="O5261" s="380"/>
      <c r="P5261" s="380"/>
      <c r="Q5261" s="380"/>
    </row>
    <row r="5262" spans="1:17" x14ac:dyDescent="0.2">
      <c r="A5262" s="334" t="s">
        <v>342</v>
      </c>
      <c r="B5262" s="380"/>
      <c r="C5262" s="334" t="s">
        <v>342</v>
      </c>
      <c r="D5262" s="377"/>
      <c r="E5262" s="380"/>
      <c r="F5262" s="378"/>
      <c r="G5262" s="380"/>
      <c r="H5262" s="380"/>
      <c r="I5262" s="399"/>
      <c r="J5262" s="377"/>
      <c r="K5262" s="380"/>
      <c r="L5262" s="378"/>
      <c r="M5262" s="380"/>
      <c r="N5262" s="380"/>
      <c r="O5262" s="380"/>
      <c r="P5262" s="380"/>
      <c r="Q5262" s="380"/>
    </row>
    <row r="5263" spans="1:17" x14ac:dyDescent="0.2">
      <c r="A5263" s="334" t="s">
        <v>1724</v>
      </c>
      <c r="B5263" s="380"/>
      <c r="C5263" s="334" t="s">
        <v>1881</v>
      </c>
      <c r="D5263" s="377"/>
      <c r="E5263" s="380"/>
      <c r="F5263" s="378"/>
      <c r="G5263" s="380"/>
      <c r="H5263" s="380"/>
      <c r="I5263" s="399"/>
      <c r="J5263" s="377"/>
      <c r="K5263" s="380"/>
      <c r="L5263" s="378"/>
      <c r="M5263" s="380"/>
      <c r="N5263" s="380"/>
      <c r="O5263" s="380"/>
      <c r="P5263" s="380"/>
      <c r="Q5263" s="380"/>
    </row>
    <row r="5264" spans="1:17" x14ac:dyDescent="0.2">
      <c r="A5264" s="334" t="s">
        <v>1736</v>
      </c>
      <c r="B5264" s="380"/>
      <c r="C5264" s="334" t="s">
        <v>1747</v>
      </c>
      <c r="D5264" s="377"/>
      <c r="E5264" s="380"/>
      <c r="F5264" s="378"/>
      <c r="G5264" s="380"/>
      <c r="H5264" s="380"/>
      <c r="I5264" s="399"/>
      <c r="J5264" s="377"/>
      <c r="K5264" s="380"/>
      <c r="L5264" s="378"/>
      <c r="M5264" s="380"/>
      <c r="N5264" s="380"/>
      <c r="O5264" s="380"/>
      <c r="P5264" s="380"/>
      <c r="Q5264" s="380"/>
    </row>
    <row r="5265" spans="1:17" x14ac:dyDescent="0.2">
      <c r="A5265" s="384" t="s">
        <v>1744</v>
      </c>
      <c r="B5265" s="380"/>
      <c r="C5265" s="334" t="s">
        <v>1254</v>
      </c>
      <c r="D5265" s="377"/>
      <c r="E5265" s="380"/>
      <c r="F5265" s="378"/>
      <c r="G5265" s="380"/>
      <c r="H5265" s="380"/>
      <c r="I5265" s="399"/>
      <c r="J5265" s="377"/>
      <c r="K5265" s="380"/>
      <c r="L5265" s="378"/>
      <c r="M5265" s="380"/>
      <c r="N5265" s="380"/>
      <c r="O5265" s="380"/>
      <c r="P5265" s="380"/>
      <c r="Q5265" s="380"/>
    </row>
    <row r="5266" spans="1:17" x14ac:dyDescent="0.2">
      <c r="A5266" s="384" t="s">
        <v>1582</v>
      </c>
      <c r="B5266" s="380"/>
      <c r="C5266" s="334" t="s">
        <v>3135</v>
      </c>
      <c r="D5266" s="377"/>
      <c r="E5266" s="380"/>
      <c r="F5266" s="378"/>
      <c r="G5266" s="380"/>
      <c r="H5266" s="380"/>
      <c r="I5266" s="399"/>
      <c r="J5266" s="377"/>
      <c r="K5266" s="380"/>
      <c r="L5266" s="378"/>
      <c r="M5266" s="380"/>
      <c r="N5266" s="380"/>
      <c r="O5266" s="380"/>
      <c r="P5266" s="380"/>
      <c r="Q5266" s="380"/>
    </row>
    <row r="5267" spans="1:17" x14ac:dyDescent="0.2">
      <c r="A5267" s="334" t="s">
        <v>1575</v>
      </c>
      <c r="B5267" s="380"/>
      <c r="C5267" s="334" t="s">
        <v>1889</v>
      </c>
      <c r="D5267" s="377"/>
      <c r="E5267" s="380"/>
      <c r="F5267" s="378"/>
      <c r="G5267" s="380"/>
      <c r="H5267" s="380"/>
      <c r="I5267" s="399"/>
      <c r="J5267" s="377"/>
      <c r="K5267" s="380"/>
      <c r="L5267" s="378"/>
      <c r="M5267" s="380"/>
      <c r="N5267" s="380"/>
      <c r="O5267" s="380"/>
      <c r="P5267" s="380"/>
      <c r="Q5267" s="380"/>
    </row>
    <row r="5268" spans="1:17" x14ac:dyDescent="0.2">
      <c r="A5268" s="334" t="s">
        <v>1725</v>
      </c>
      <c r="B5268" s="380"/>
      <c r="C5268" s="334" t="s">
        <v>1890</v>
      </c>
      <c r="D5268" s="377"/>
      <c r="E5268" s="380"/>
      <c r="F5268" s="378"/>
      <c r="G5268" s="380"/>
      <c r="H5268" s="380"/>
      <c r="I5268" s="399"/>
      <c r="J5268" s="377"/>
      <c r="K5268" s="380"/>
      <c r="L5268" s="378"/>
      <c r="M5268" s="380"/>
      <c r="N5268" s="380"/>
      <c r="O5268" s="380"/>
      <c r="P5268" s="380"/>
      <c r="Q5268" s="380"/>
    </row>
    <row r="5269" spans="1:17" x14ac:dyDescent="0.2">
      <c r="A5269" s="334" t="s">
        <v>1737</v>
      </c>
      <c r="B5269" s="380"/>
      <c r="C5269" s="334" t="s">
        <v>1984</v>
      </c>
      <c r="D5269" s="377"/>
      <c r="E5269" s="380"/>
      <c r="F5269" s="378"/>
      <c r="G5269" s="380"/>
      <c r="H5269" s="380"/>
      <c r="I5269" s="399"/>
      <c r="J5269" s="377"/>
      <c r="K5269" s="380"/>
      <c r="L5269" s="378"/>
      <c r="M5269" s="380"/>
      <c r="N5269" s="380"/>
      <c r="O5269" s="380"/>
      <c r="P5269" s="380"/>
      <c r="Q5269" s="380"/>
    </row>
    <row r="5270" spans="1:17" x14ac:dyDescent="0.2">
      <c r="A5270" s="334" t="s">
        <v>1726</v>
      </c>
      <c r="B5270" s="380"/>
      <c r="C5270" s="334" t="s">
        <v>1117</v>
      </c>
      <c r="D5270" s="377"/>
      <c r="E5270" s="380"/>
      <c r="F5270" s="378"/>
      <c r="G5270" s="380"/>
      <c r="H5270" s="380"/>
      <c r="I5270" s="399"/>
      <c r="J5270" s="377"/>
      <c r="K5270" s="380"/>
      <c r="L5270" s="378"/>
      <c r="M5270" s="380"/>
      <c r="N5270" s="380"/>
      <c r="O5270" s="380"/>
      <c r="P5270" s="380"/>
      <c r="Q5270" s="380"/>
    </row>
    <row r="5271" spans="1:17" x14ac:dyDescent="0.2">
      <c r="A5271" s="334" t="s">
        <v>1734</v>
      </c>
      <c r="B5271" s="380"/>
      <c r="C5271" s="334" t="s">
        <v>1746</v>
      </c>
      <c r="D5271" s="377"/>
      <c r="E5271" s="380"/>
      <c r="F5271" s="378"/>
      <c r="G5271" s="380"/>
      <c r="H5271" s="380"/>
      <c r="I5271" s="399"/>
      <c r="J5271" s="377"/>
      <c r="K5271" s="380"/>
      <c r="L5271" s="378"/>
      <c r="M5271" s="380"/>
      <c r="N5271" s="380"/>
      <c r="O5271" s="380"/>
      <c r="P5271" s="380"/>
      <c r="Q5271" s="380"/>
    </row>
    <row r="5272" spans="1:17" x14ac:dyDescent="0.2">
      <c r="A5272" s="334" t="s">
        <v>1738</v>
      </c>
      <c r="B5272" s="380"/>
      <c r="C5272" s="334" t="s">
        <v>1591</v>
      </c>
      <c r="D5272" s="377"/>
      <c r="E5272" s="380"/>
      <c r="F5272" s="378"/>
      <c r="G5272" s="380"/>
      <c r="H5272" s="380"/>
      <c r="I5272" s="399"/>
      <c r="J5272" s="377"/>
      <c r="K5272" s="380"/>
      <c r="L5272" s="378"/>
      <c r="M5272" s="380"/>
      <c r="N5272" s="380"/>
      <c r="O5272" s="380"/>
      <c r="P5272" s="380"/>
      <c r="Q5272" s="380"/>
    </row>
    <row r="5273" spans="1:17" x14ac:dyDescent="0.2">
      <c r="A5273" s="334" t="s">
        <v>1727</v>
      </c>
      <c r="B5273" s="380"/>
      <c r="C5273" s="334" t="s">
        <v>307</v>
      </c>
      <c r="D5273" s="377"/>
      <c r="E5273" s="380"/>
      <c r="F5273" s="378"/>
      <c r="G5273" s="380"/>
      <c r="H5273" s="380"/>
      <c r="I5273" s="399"/>
      <c r="J5273" s="377"/>
      <c r="K5273" s="380"/>
      <c r="L5273" s="378"/>
      <c r="M5273" s="380"/>
      <c r="N5273" s="380"/>
      <c r="O5273" s="380"/>
      <c r="P5273" s="380"/>
      <c r="Q5273" s="380"/>
    </row>
    <row r="5274" spans="1:17" x14ac:dyDescent="0.2">
      <c r="A5274" s="334" t="s">
        <v>1728</v>
      </c>
      <c r="B5274" s="380"/>
      <c r="C5274" s="334" t="s">
        <v>310</v>
      </c>
      <c r="D5274" s="377"/>
      <c r="E5274" s="380"/>
      <c r="F5274" s="378"/>
      <c r="G5274" s="380"/>
      <c r="H5274" s="380"/>
      <c r="I5274" s="399"/>
      <c r="J5274" s="377"/>
      <c r="K5274" s="380"/>
      <c r="L5274" s="378"/>
      <c r="M5274" s="380"/>
      <c r="N5274" s="380"/>
      <c r="O5274" s="380"/>
      <c r="P5274" s="380"/>
      <c r="Q5274" s="380"/>
    </row>
    <row r="5275" spans="1:17" x14ac:dyDescent="0.2">
      <c r="A5275" s="334" t="s">
        <v>1729</v>
      </c>
      <c r="B5275" s="380"/>
      <c r="C5275" s="380" t="s">
        <v>1551</v>
      </c>
      <c r="D5275" s="377"/>
      <c r="E5275" s="380"/>
      <c r="F5275" s="378"/>
      <c r="G5275" s="380"/>
      <c r="H5275" s="380"/>
      <c r="I5275" s="399"/>
      <c r="J5275" s="377"/>
      <c r="K5275" s="380"/>
      <c r="L5275" s="378"/>
      <c r="M5275" s="380"/>
      <c r="N5275" s="380"/>
      <c r="O5275" s="380"/>
      <c r="P5275" s="380"/>
      <c r="Q5275" s="380"/>
    </row>
    <row r="5276" spans="1:17" x14ac:dyDescent="0.2">
      <c r="A5276" s="334" t="s">
        <v>1735</v>
      </c>
      <c r="B5276" s="380"/>
      <c r="C5276" s="380" t="s">
        <v>194</v>
      </c>
      <c r="D5276" s="377"/>
      <c r="E5276" s="380"/>
      <c r="F5276" s="378"/>
      <c r="G5276" s="380"/>
      <c r="H5276" s="380"/>
      <c r="I5276" s="399"/>
      <c r="J5276" s="377"/>
      <c r="K5276" s="380"/>
      <c r="L5276" s="378"/>
      <c r="M5276" s="380"/>
      <c r="N5276" s="380"/>
      <c r="O5276" s="380"/>
      <c r="P5276" s="380"/>
      <c r="Q5276" s="380"/>
    </row>
    <row r="5277" spans="1:17" x14ac:dyDescent="0.2">
      <c r="A5277" s="391" t="s">
        <v>1754</v>
      </c>
      <c r="B5277" s="380"/>
      <c r="C5277" s="334" t="s">
        <v>1929</v>
      </c>
      <c r="D5277" s="377"/>
      <c r="E5277" s="380"/>
      <c r="F5277" s="378"/>
      <c r="G5277" s="380"/>
      <c r="H5277" s="380"/>
      <c r="I5277" s="399"/>
      <c r="J5277" s="377"/>
      <c r="K5277" s="380"/>
      <c r="L5277" s="378"/>
      <c r="M5277" s="380"/>
      <c r="N5277" s="380"/>
      <c r="O5277" s="380"/>
      <c r="P5277" s="380"/>
      <c r="Q5277" s="380"/>
    </row>
    <row r="5278" spans="1:17" x14ac:dyDescent="0.2">
      <c r="A5278" s="334" t="s">
        <v>1572</v>
      </c>
      <c r="B5278" s="380"/>
      <c r="C5278" s="334" t="s">
        <v>3134</v>
      </c>
      <c r="D5278" s="377"/>
      <c r="E5278" s="380"/>
      <c r="F5278" s="378"/>
      <c r="G5278" s="380"/>
      <c r="H5278" s="380"/>
      <c r="I5278" s="399"/>
      <c r="J5278" s="377"/>
      <c r="K5278" s="380"/>
      <c r="L5278" s="378"/>
      <c r="M5278" s="380"/>
      <c r="N5278" s="380"/>
      <c r="O5278" s="380"/>
      <c r="P5278" s="380"/>
      <c r="Q5278" s="380"/>
    </row>
    <row r="5279" spans="1:17" x14ac:dyDescent="0.2">
      <c r="A5279" s="334" t="s">
        <v>1730</v>
      </c>
      <c r="B5279" s="380"/>
      <c r="C5279" s="334" t="s">
        <v>1985</v>
      </c>
      <c r="D5279" s="377"/>
      <c r="E5279" s="380"/>
      <c r="F5279" s="378"/>
      <c r="G5279" s="380"/>
      <c r="H5279" s="380"/>
      <c r="I5279" s="399"/>
      <c r="J5279" s="377"/>
      <c r="K5279" s="380"/>
      <c r="L5279" s="378"/>
      <c r="M5279" s="380"/>
      <c r="N5279" s="380"/>
      <c r="O5279" s="380"/>
      <c r="P5279" s="380"/>
      <c r="Q5279" s="380"/>
    </row>
    <row r="5280" spans="1:17" x14ac:dyDescent="0.2">
      <c r="A5280" s="334" t="s">
        <v>1566</v>
      </c>
      <c r="B5280" s="380"/>
      <c r="C5280" s="334" t="s">
        <v>366</v>
      </c>
      <c r="D5280" s="377"/>
      <c r="E5280" s="380"/>
      <c r="F5280" s="378"/>
      <c r="G5280" s="380"/>
      <c r="H5280" s="380"/>
      <c r="I5280" s="399"/>
      <c r="J5280" s="377"/>
      <c r="K5280" s="380"/>
      <c r="L5280" s="378"/>
      <c r="M5280" s="380"/>
      <c r="N5280" s="380"/>
      <c r="O5280" s="380"/>
      <c r="P5280" s="380"/>
      <c r="Q5280" s="380"/>
    </row>
    <row r="5281" spans="1:17" x14ac:dyDescent="0.2">
      <c r="A5281" s="384" t="s">
        <v>1962</v>
      </c>
      <c r="B5281" s="380"/>
      <c r="C5281" s="380" t="s">
        <v>572</v>
      </c>
      <c r="D5281" s="377"/>
      <c r="E5281" s="380"/>
      <c r="F5281" s="378"/>
      <c r="G5281" s="380"/>
      <c r="H5281" s="380"/>
      <c r="I5281" s="385"/>
      <c r="J5281" s="377"/>
      <c r="K5281" s="380"/>
      <c r="L5281" s="378"/>
      <c r="M5281" s="380"/>
      <c r="N5281" s="380"/>
      <c r="O5281" s="380"/>
      <c r="P5281" s="380"/>
      <c r="Q5281" s="380"/>
    </row>
    <row r="5282" spans="1:17" x14ac:dyDescent="0.2">
      <c r="A5282" s="380"/>
      <c r="B5282" s="380"/>
      <c r="C5282" s="380"/>
      <c r="D5282" s="410" t="s">
        <v>342</v>
      </c>
      <c r="E5282" s="380"/>
      <c r="F5282" s="378"/>
      <c r="G5282" s="380"/>
      <c r="H5282" s="380"/>
      <c r="I5282" s="385"/>
      <c r="J5282" s="410" t="s">
        <v>342</v>
      </c>
      <c r="K5282" s="380"/>
      <c r="L5282" s="378"/>
      <c r="M5282" s="380"/>
      <c r="N5282" s="380"/>
      <c r="O5282" s="380"/>
      <c r="P5282" s="380"/>
      <c r="Q5282" s="380"/>
    </row>
    <row r="5283" spans="1:17" x14ac:dyDescent="0.2">
      <c r="A5283" s="380"/>
      <c r="B5283" s="380"/>
      <c r="C5283" s="380"/>
      <c r="D5283" s="334">
        <f>SUM(D5263:D5281)</f>
        <v>0</v>
      </c>
      <c r="E5283" s="380"/>
      <c r="F5283" s="378"/>
      <c r="G5283" s="380"/>
      <c r="H5283" s="380"/>
      <c r="I5283" s="399"/>
      <c r="J5283" s="334">
        <f>SUM(J5263:J5281)</f>
        <v>0</v>
      </c>
      <c r="K5283" s="380"/>
      <c r="L5283" s="378"/>
      <c r="M5283" s="380"/>
      <c r="N5283" s="380"/>
      <c r="O5283" s="380"/>
      <c r="P5283" s="380"/>
      <c r="Q5283" s="380"/>
    </row>
    <row r="5284" spans="1:17" ht="15.75" thickTop="1" x14ac:dyDescent="0.2">
      <c r="A5284" s="380"/>
      <c r="B5284" s="380"/>
      <c r="C5284" s="380"/>
      <c r="D5284" s="395"/>
      <c r="E5284" s="380"/>
      <c r="F5284" s="378"/>
      <c r="G5284" s="380"/>
      <c r="H5284" s="380"/>
      <c r="I5284" s="382"/>
      <c r="J5284" s="395"/>
      <c r="K5284" s="380"/>
      <c r="L5284" s="378"/>
      <c r="M5284" s="380"/>
      <c r="N5284" s="380"/>
      <c r="O5284" s="380"/>
      <c r="P5284" s="380"/>
      <c r="Q5284" s="380"/>
    </row>
    <row r="5285" spans="1:17" x14ac:dyDescent="0.2">
      <c r="A5285" s="380"/>
      <c r="B5285" s="380"/>
      <c r="C5285" s="380"/>
      <c r="D5285" s="380"/>
      <c r="E5285" s="377"/>
      <c r="F5285" s="378"/>
      <c r="G5285" s="377"/>
      <c r="H5285" s="377"/>
      <c r="I5285" s="399"/>
      <c r="J5285" s="380"/>
      <c r="K5285" s="377"/>
      <c r="L5285" s="378"/>
      <c r="M5285" s="377"/>
      <c r="N5285" s="377"/>
      <c r="O5285" s="380"/>
      <c r="P5285" s="380"/>
      <c r="Q5285" s="380"/>
    </row>
    <row r="5286" spans="1:17" x14ac:dyDescent="0.2">
      <c r="A5286" s="389" t="s">
        <v>711</v>
      </c>
      <c r="B5286" s="377"/>
      <c r="C5286" s="377"/>
      <c r="D5286" s="377"/>
      <c r="E5286" s="380"/>
      <c r="F5286" s="378"/>
      <c r="G5286" s="380"/>
      <c r="H5286" s="380"/>
      <c r="I5286" s="382"/>
      <c r="J5286" s="377"/>
      <c r="K5286" s="380"/>
      <c r="L5286" s="378"/>
      <c r="M5286" s="380"/>
      <c r="N5286" s="380"/>
      <c r="O5286" s="380"/>
      <c r="P5286" s="380"/>
      <c r="Q5286" s="380"/>
    </row>
    <row r="5287" spans="1:17" x14ac:dyDescent="0.2">
      <c r="A5287" s="334" t="s">
        <v>342</v>
      </c>
      <c r="B5287" s="380"/>
      <c r="C5287" s="384" t="s">
        <v>2193</v>
      </c>
      <c r="D5287" s="380"/>
      <c r="E5287" s="380"/>
      <c r="F5287" s="378"/>
      <c r="G5287" s="380"/>
      <c r="H5287" s="380"/>
      <c r="I5287" s="382"/>
      <c r="J5287" s="380"/>
      <c r="K5287" s="380"/>
      <c r="L5287" s="378"/>
      <c r="M5287" s="380"/>
      <c r="N5287" s="380"/>
      <c r="O5287" s="380"/>
      <c r="P5287" s="380"/>
      <c r="Q5287" s="380"/>
    </row>
    <row r="5288" spans="1:17" x14ac:dyDescent="0.2">
      <c r="A5288" s="334" t="s">
        <v>342</v>
      </c>
      <c r="B5288" s="380"/>
      <c r="C5288" s="334" t="s">
        <v>342</v>
      </c>
      <c r="D5288" s="380"/>
      <c r="E5288" s="380"/>
      <c r="F5288" s="378"/>
      <c r="G5288" s="380"/>
      <c r="H5288" s="380"/>
      <c r="I5288" s="385"/>
      <c r="J5288" s="380"/>
      <c r="K5288" s="380"/>
      <c r="L5288" s="378"/>
      <c r="M5288" s="380"/>
      <c r="N5288" s="380"/>
      <c r="O5288" s="380"/>
      <c r="P5288" s="380"/>
      <c r="Q5288" s="380"/>
    </row>
    <row r="5289" spans="1:17" x14ac:dyDescent="0.2">
      <c r="A5289" s="334" t="s">
        <v>1723</v>
      </c>
      <c r="B5289" s="380"/>
      <c r="C5289" s="334" t="s">
        <v>1880</v>
      </c>
      <c r="D5289" s="334" t="s">
        <v>181</v>
      </c>
      <c r="E5289" s="380"/>
      <c r="F5289" s="378"/>
      <c r="G5289" s="380"/>
      <c r="H5289" s="380"/>
      <c r="I5289" s="399"/>
      <c r="J5289" s="334" t="s">
        <v>181</v>
      </c>
      <c r="K5289" s="380"/>
      <c r="L5289" s="378"/>
      <c r="M5289" s="380"/>
      <c r="N5289" s="380"/>
      <c r="O5289" s="380"/>
      <c r="P5289" s="380"/>
      <c r="Q5289" s="380"/>
    </row>
    <row r="5290" spans="1:17" x14ac:dyDescent="0.2">
      <c r="A5290" s="334" t="s">
        <v>342</v>
      </c>
      <c r="B5290" s="380"/>
      <c r="C5290" s="334" t="s">
        <v>342</v>
      </c>
      <c r="D5290" s="377"/>
      <c r="E5290" s="380"/>
      <c r="F5290" s="378"/>
      <c r="G5290" s="380"/>
      <c r="H5290" s="380"/>
      <c r="I5290" s="399"/>
      <c r="J5290" s="377"/>
      <c r="K5290" s="380"/>
      <c r="L5290" s="378"/>
      <c r="M5290" s="380"/>
      <c r="N5290" s="380"/>
      <c r="O5290" s="380"/>
      <c r="P5290" s="380"/>
      <c r="Q5290" s="380"/>
    </row>
    <row r="5291" spans="1:17" x14ac:dyDescent="0.2">
      <c r="A5291" s="334" t="s">
        <v>1724</v>
      </c>
      <c r="B5291" s="380"/>
      <c r="C5291" s="334" t="s">
        <v>1881</v>
      </c>
      <c r="D5291" s="379">
        <v>125</v>
      </c>
      <c r="E5291" s="380"/>
      <c r="F5291" s="378"/>
      <c r="G5291" s="380"/>
      <c r="H5291" s="380"/>
      <c r="I5291" s="399"/>
      <c r="J5291" s="377">
        <v>100</v>
      </c>
      <c r="K5291" s="380"/>
      <c r="L5291" s="378"/>
      <c r="M5291" s="380"/>
      <c r="N5291" s="380"/>
      <c r="O5291" s="380"/>
      <c r="P5291" s="380"/>
      <c r="Q5291" s="380"/>
    </row>
    <row r="5292" spans="1:17" x14ac:dyDescent="0.2">
      <c r="A5292" s="334" t="s">
        <v>1736</v>
      </c>
      <c r="B5292" s="380"/>
      <c r="C5292" s="334" t="s">
        <v>1747</v>
      </c>
      <c r="D5292" s="379"/>
      <c r="E5292" s="380"/>
      <c r="F5292" s="378"/>
      <c r="G5292" s="380"/>
      <c r="H5292" s="380"/>
      <c r="I5292" s="399"/>
      <c r="J5292" s="377"/>
      <c r="K5292" s="380"/>
      <c r="L5292" s="378"/>
      <c r="M5292" s="380"/>
      <c r="N5292" s="380"/>
      <c r="O5292" s="380"/>
      <c r="P5292" s="380"/>
      <c r="Q5292" s="380"/>
    </row>
    <row r="5293" spans="1:17" x14ac:dyDescent="0.2">
      <c r="A5293" s="384" t="s">
        <v>1744</v>
      </c>
      <c r="B5293" s="380"/>
      <c r="C5293" s="334" t="s">
        <v>1254</v>
      </c>
      <c r="D5293" s="379"/>
      <c r="E5293" s="380"/>
      <c r="F5293" s="378"/>
      <c r="G5293" s="380"/>
      <c r="H5293" s="380"/>
      <c r="I5293" s="399"/>
      <c r="J5293" s="377"/>
      <c r="K5293" s="380"/>
      <c r="L5293" s="378"/>
      <c r="M5293" s="380"/>
      <c r="N5293" s="380"/>
      <c r="O5293" s="380"/>
      <c r="P5293" s="380"/>
      <c r="Q5293" s="380"/>
    </row>
    <row r="5294" spans="1:17" x14ac:dyDescent="0.2">
      <c r="A5294" s="384" t="s">
        <v>1582</v>
      </c>
      <c r="B5294" s="380"/>
      <c r="C5294" s="334" t="s">
        <v>3135</v>
      </c>
      <c r="D5294" s="379"/>
      <c r="E5294" s="380"/>
      <c r="F5294" s="378"/>
      <c r="G5294" s="380"/>
      <c r="H5294" s="380"/>
      <c r="I5294" s="399"/>
      <c r="J5294" s="377"/>
      <c r="K5294" s="380"/>
      <c r="L5294" s="378"/>
      <c r="M5294" s="380"/>
      <c r="N5294" s="380"/>
      <c r="O5294" s="380"/>
      <c r="P5294" s="380"/>
      <c r="Q5294" s="380"/>
    </row>
    <row r="5295" spans="1:17" x14ac:dyDescent="0.2">
      <c r="A5295" s="334" t="s">
        <v>1575</v>
      </c>
      <c r="B5295" s="380"/>
      <c r="C5295" s="334" t="s">
        <v>1889</v>
      </c>
      <c r="D5295" s="379"/>
      <c r="E5295" s="377"/>
      <c r="F5295" s="378"/>
      <c r="G5295" s="380"/>
      <c r="H5295" s="380"/>
      <c r="I5295" s="399"/>
      <c r="J5295" s="377"/>
      <c r="K5295" s="377"/>
      <c r="L5295" s="378"/>
      <c r="M5295" s="380"/>
      <c r="N5295" s="380"/>
      <c r="O5295" s="380"/>
      <c r="P5295" s="380"/>
      <c r="Q5295" s="380"/>
    </row>
    <row r="5296" spans="1:17" x14ac:dyDescent="0.2">
      <c r="A5296" s="403" t="s">
        <v>1745</v>
      </c>
      <c r="B5296" s="380"/>
      <c r="C5296" s="334" t="s">
        <v>1887</v>
      </c>
      <c r="D5296" s="379"/>
      <c r="E5296" s="380"/>
      <c r="F5296" s="378"/>
      <c r="G5296" s="380"/>
      <c r="H5296" s="380"/>
      <c r="I5296" s="399"/>
      <c r="J5296" s="377"/>
      <c r="K5296" s="380"/>
      <c r="L5296" s="378"/>
      <c r="M5296" s="380"/>
      <c r="N5296" s="380"/>
      <c r="O5296" s="380"/>
      <c r="P5296" s="380"/>
      <c r="Q5296" s="380"/>
    </row>
    <row r="5297" spans="1:17" x14ac:dyDescent="0.2">
      <c r="A5297" s="334" t="s">
        <v>1737</v>
      </c>
      <c r="B5297" s="380"/>
      <c r="C5297" s="334" t="s">
        <v>1984</v>
      </c>
      <c r="D5297" s="379"/>
      <c r="E5297" s="380"/>
      <c r="F5297" s="378"/>
      <c r="G5297" s="380"/>
      <c r="H5297" s="380"/>
      <c r="I5297" s="399"/>
      <c r="J5297" s="377"/>
      <c r="K5297" s="380"/>
      <c r="L5297" s="378"/>
      <c r="M5297" s="380"/>
      <c r="N5297" s="380"/>
      <c r="O5297" s="380"/>
      <c r="P5297" s="380"/>
      <c r="Q5297" s="380"/>
    </row>
    <row r="5298" spans="1:17" x14ac:dyDescent="0.2">
      <c r="A5298" s="334" t="s">
        <v>1726</v>
      </c>
      <c r="B5298" s="380"/>
      <c r="C5298" s="334" t="s">
        <v>1117</v>
      </c>
      <c r="D5298" s="379"/>
      <c r="E5298" s="380"/>
      <c r="F5298" s="378"/>
      <c r="G5298" s="380"/>
      <c r="H5298" s="380"/>
      <c r="I5298" s="399"/>
      <c r="J5298" s="377"/>
      <c r="K5298" s="380"/>
      <c r="L5298" s="378"/>
      <c r="M5298" s="380"/>
      <c r="N5298" s="380"/>
      <c r="O5298" s="380"/>
      <c r="P5298" s="380"/>
      <c r="Q5298" s="380"/>
    </row>
    <row r="5299" spans="1:17" x14ac:dyDescent="0.2">
      <c r="A5299" s="334" t="s">
        <v>1734</v>
      </c>
      <c r="B5299" s="380"/>
      <c r="C5299" s="334" t="s">
        <v>1746</v>
      </c>
      <c r="D5299" s="379"/>
      <c r="E5299" s="380"/>
      <c r="F5299" s="378"/>
      <c r="G5299" s="380"/>
      <c r="H5299" s="380"/>
      <c r="I5299" s="399"/>
      <c r="J5299" s="377"/>
      <c r="K5299" s="380"/>
      <c r="L5299" s="378"/>
      <c r="M5299" s="380"/>
      <c r="N5299" s="380"/>
      <c r="O5299" s="380"/>
      <c r="P5299" s="380"/>
      <c r="Q5299" s="380"/>
    </row>
    <row r="5300" spans="1:17" x14ac:dyDescent="0.2">
      <c r="A5300" s="334" t="s">
        <v>1738</v>
      </c>
      <c r="B5300" s="380"/>
      <c r="C5300" s="334" t="s">
        <v>1591</v>
      </c>
      <c r="D5300" s="379">
        <v>200</v>
      </c>
      <c r="E5300" s="380"/>
      <c r="F5300" s="378"/>
      <c r="G5300" s="380"/>
      <c r="H5300" s="380"/>
      <c r="I5300" s="399"/>
      <c r="J5300" s="377">
        <v>200</v>
      </c>
      <c r="K5300" s="380"/>
      <c r="L5300" s="378"/>
      <c r="M5300" s="380"/>
      <c r="N5300" s="380"/>
      <c r="O5300" s="380"/>
      <c r="P5300" s="380"/>
      <c r="Q5300" s="380"/>
    </row>
    <row r="5301" spans="1:17" x14ac:dyDescent="0.2">
      <c r="A5301" s="334" t="s">
        <v>1727</v>
      </c>
      <c r="B5301" s="380"/>
      <c r="C5301" s="334" t="s">
        <v>307</v>
      </c>
      <c r="D5301" s="379">
        <v>150</v>
      </c>
      <c r="E5301" s="380"/>
      <c r="F5301" s="378"/>
      <c r="G5301" s="380"/>
      <c r="H5301" s="380"/>
      <c r="I5301" s="399"/>
      <c r="J5301" s="377">
        <v>150</v>
      </c>
      <c r="K5301" s="380"/>
      <c r="L5301" s="378"/>
      <c r="M5301" s="380"/>
      <c r="N5301" s="380"/>
      <c r="O5301" s="380"/>
      <c r="P5301" s="380"/>
      <c r="Q5301" s="380"/>
    </row>
    <row r="5302" spans="1:17" x14ac:dyDescent="0.2">
      <c r="A5302" s="334" t="s">
        <v>1728</v>
      </c>
      <c r="B5302" s="380"/>
      <c r="C5302" s="334" t="s">
        <v>310</v>
      </c>
      <c r="D5302" s="379">
        <v>150</v>
      </c>
      <c r="E5302" s="380"/>
      <c r="F5302" s="378"/>
      <c r="G5302" s="380"/>
      <c r="H5302" s="380"/>
      <c r="I5302" s="399"/>
      <c r="J5302" s="377">
        <v>150</v>
      </c>
      <c r="K5302" s="380"/>
      <c r="L5302" s="378"/>
      <c r="M5302" s="380"/>
      <c r="N5302" s="380"/>
      <c r="O5302" s="380"/>
      <c r="P5302" s="380"/>
      <c r="Q5302" s="380"/>
    </row>
    <row r="5303" spans="1:17" x14ac:dyDescent="0.2">
      <c r="A5303" s="334" t="s">
        <v>1729</v>
      </c>
      <c r="B5303" s="380"/>
      <c r="C5303" s="380" t="s">
        <v>1551</v>
      </c>
      <c r="D5303" s="379">
        <f>-265-1000</f>
        <v>-1265</v>
      </c>
      <c r="E5303" s="380"/>
      <c r="F5303" s="378"/>
      <c r="G5303" s="380"/>
      <c r="H5303" s="380"/>
      <c r="I5303" s="399"/>
      <c r="J5303" s="377">
        <v>25</v>
      </c>
      <c r="K5303" s="380"/>
      <c r="L5303" s="378"/>
      <c r="M5303" s="380"/>
      <c r="N5303" s="380"/>
      <c r="O5303" s="380"/>
      <c r="P5303" s="380"/>
      <c r="Q5303" s="380"/>
    </row>
    <row r="5304" spans="1:17" x14ac:dyDescent="0.2">
      <c r="A5304" s="334" t="s">
        <v>1735</v>
      </c>
      <c r="B5304" s="380"/>
      <c r="C5304" s="380" t="s">
        <v>194</v>
      </c>
      <c r="D5304" s="379">
        <v>50</v>
      </c>
      <c r="E5304" s="380"/>
      <c r="F5304" s="378"/>
      <c r="G5304" s="380"/>
      <c r="H5304" s="380"/>
      <c r="I5304" s="399"/>
      <c r="J5304" s="377">
        <v>50</v>
      </c>
      <c r="K5304" s="380"/>
      <c r="L5304" s="378"/>
      <c r="M5304" s="380"/>
      <c r="N5304" s="380"/>
      <c r="O5304" s="380"/>
      <c r="P5304" s="380"/>
      <c r="Q5304" s="380"/>
    </row>
    <row r="5305" spans="1:17" x14ac:dyDescent="0.2">
      <c r="A5305" s="334" t="s">
        <v>1572</v>
      </c>
      <c r="B5305" s="380"/>
      <c r="C5305" s="334" t="s">
        <v>3134</v>
      </c>
      <c r="D5305" s="379"/>
      <c r="E5305" s="380"/>
      <c r="F5305" s="378"/>
      <c r="G5305" s="380"/>
      <c r="H5305" s="380"/>
      <c r="I5305" s="399"/>
      <c r="J5305" s="377"/>
      <c r="K5305" s="380"/>
      <c r="L5305" s="378"/>
      <c r="M5305" s="380"/>
      <c r="N5305" s="380"/>
      <c r="O5305" s="380"/>
      <c r="P5305" s="380"/>
      <c r="Q5305" s="380"/>
    </row>
    <row r="5306" spans="1:17" x14ac:dyDescent="0.2">
      <c r="A5306" s="334" t="s">
        <v>1730</v>
      </c>
      <c r="B5306" s="380"/>
      <c r="C5306" s="334" t="s">
        <v>1985</v>
      </c>
      <c r="D5306" s="379">
        <v>250</v>
      </c>
      <c r="E5306" s="380"/>
      <c r="F5306" s="378"/>
      <c r="G5306" s="380"/>
      <c r="H5306" s="380"/>
      <c r="I5306" s="399"/>
      <c r="J5306" s="377">
        <v>250</v>
      </c>
      <c r="K5306" s="380"/>
      <c r="L5306" s="378"/>
      <c r="M5306" s="380"/>
      <c r="N5306" s="380"/>
      <c r="O5306" s="380"/>
      <c r="P5306" s="380"/>
      <c r="Q5306" s="380"/>
    </row>
    <row r="5307" spans="1:17" x14ac:dyDescent="0.2">
      <c r="A5307" s="334" t="s">
        <v>1566</v>
      </c>
      <c r="B5307" s="380"/>
      <c r="C5307" s="334" t="s">
        <v>366</v>
      </c>
      <c r="D5307" s="379">
        <v>400</v>
      </c>
      <c r="E5307" s="380"/>
      <c r="F5307" s="378"/>
      <c r="G5307" s="380"/>
      <c r="H5307" s="380"/>
      <c r="I5307" s="399"/>
      <c r="J5307" s="377">
        <v>400</v>
      </c>
      <c r="K5307" s="380"/>
      <c r="L5307" s="378"/>
      <c r="M5307" s="380"/>
      <c r="N5307" s="380"/>
      <c r="O5307" s="380"/>
      <c r="P5307" s="380"/>
      <c r="Q5307" s="380"/>
    </row>
    <row r="5308" spans="1:17" x14ac:dyDescent="0.2">
      <c r="A5308" s="384" t="s">
        <v>1962</v>
      </c>
      <c r="B5308" s="380"/>
      <c r="C5308" s="380" t="s">
        <v>572</v>
      </c>
      <c r="D5308" s="377"/>
      <c r="E5308" s="380"/>
      <c r="F5308" s="378"/>
      <c r="G5308" s="380"/>
      <c r="H5308" s="380"/>
      <c r="I5308" s="385"/>
      <c r="J5308" s="377"/>
      <c r="K5308" s="380"/>
      <c r="L5308" s="378"/>
      <c r="M5308" s="380"/>
      <c r="N5308" s="380"/>
      <c r="O5308" s="380"/>
      <c r="P5308" s="380"/>
      <c r="Q5308" s="380"/>
    </row>
    <row r="5309" spans="1:17" x14ac:dyDescent="0.2">
      <c r="A5309" s="380"/>
      <c r="B5309" s="380"/>
      <c r="C5309" s="380"/>
      <c r="D5309" s="410" t="s">
        <v>342</v>
      </c>
      <c r="E5309" s="380"/>
      <c r="F5309" s="378"/>
      <c r="G5309" s="380"/>
      <c r="H5309" s="380"/>
      <c r="I5309" s="385"/>
      <c r="J5309" s="410" t="s">
        <v>342</v>
      </c>
      <c r="K5309" s="380"/>
      <c r="L5309" s="378"/>
      <c r="M5309" s="380"/>
      <c r="N5309" s="380"/>
      <c r="O5309" s="380"/>
      <c r="P5309" s="380"/>
      <c r="Q5309" s="380"/>
    </row>
    <row r="5310" spans="1:17" x14ac:dyDescent="0.2">
      <c r="A5310" s="380"/>
      <c r="B5310" s="380"/>
      <c r="C5310" s="380"/>
      <c r="D5310" s="334">
        <f>SUM(D5291:D5308)</f>
        <v>60</v>
      </c>
      <c r="E5310" s="380"/>
      <c r="F5310" s="378"/>
      <c r="G5310" s="380"/>
      <c r="H5310" s="380"/>
      <c r="I5310" s="399"/>
      <c r="J5310" s="334">
        <f>SUM(J5291:J5308)</f>
        <v>1325</v>
      </c>
      <c r="K5310" s="380"/>
      <c r="L5310" s="378"/>
      <c r="M5310" s="380"/>
      <c r="N5310" s="380"/>
      <c r="O5310" s="380"/>
      <c r="P5310" s="380"/>
      <c r="Q5310" s="380"/>
    </row>
    <row r="5311" spans="1:17" ht="15.75" thickTop="1" x14ac:dyDescent="0.2">
      <c r="A5311" s="380"/>
      <c r="B5311" s="380"/>
      <c r="C5311" s="380"/>
      <c r="D5311" s="395"/>
      <c r="E5311" s="380"/>
      <c r="F5311" s="378"/>
      <c r="G5311" s="380"/>
      <c r="H5311" s="380"/>
      <c r="I5311" s="382"/>
      <c r="J5311" s="395"/>
      <c r="K5311" s="380"/>
      <c r="L5311" s="378"/>
      <c r="M5311" s="380"/>
      <c r="N5311" s="380"/>
      <c r="O5311" s="380"/>
      <c r="P5311" s="380"/>
      <c r="Q5311" s="380"/>
    </row>
    <row r="5312" spans="1:17" x14ac:dyDescent="0.2">
      <c r="A5312" s="380"/>
      <c r="B5312" s="380"/>
      <c r="C5312" s="380"/>
      <c r="D5312" s="380"/>
      <c r="E5312" s="380"/>
      <c r="F5312" s="378"/>
      <c r="G5312" s="380"/>
      <c r="H5312" s="380"/>
      <c r="I5312" s="382"/>
      <c r="J5312" s="380"/>
      <c r="K5312" s="380"/>
      <c r="L5312" s="378"/>
      <c r="M5312" s="380"/>
      <c r="N5312" s="380"/>
      <c r="O5312" s="380"/>
      <c r="P5312" s="380"/>
      <c r="Q5312" s="380"/>
    </row>
    <row r="5313" spans="1:17" x14ac:dyDescent="0.2">
      <c r="A5313" s="380"/>
      <c r="B5313" s="380"/>
      <c r="C5313" s="380"/>
      <c r="D5313" s="380"/>
      <c r="E5313" s="377"/>
      <c r="F5313" s="378"/>
      <c r="G5313" s="377"/>
      <c r="H5313" s="377"/>
      <c r="I5313" s="399"/>
      <c r="J5313" s="380"/>
      <c r="K5313" s="377"/>
      <c r="L5313" s="378"/>
      <c r="M5313" s="377"/>
      <c r="N5313" s="377"/>
      <c r="O5313" s="380"/>
      <c r="P5313" s="380"/>
      <c r="Q5313" s="380"/>
    </row>
    <row r="5314" spans="1:17" x14ac:dyDescent="0.2">
      <c r="A5314" s="334" t="s">
        <v>1878</v>
      </c>
      <c r="B5314" s="377"/>
      <c r="C5314" s="377"/>
      <c r="D5314" s="377"/>
      <c r="E5314" s="380"/>
      <c r="F5314" s="378"/>
      <c r="G5314" s="380"/>
      <c r="H5314" s="380"/>
      <c r="I5314" s="382"/>
      <c r="J5314" s="377"/>
      <c r="K5314" s="380"/>
      <c r="L5314" s="378"/>
      <c r="M5314" s="380"/>
      <c r="N5314" s="380"/>
      <c r="O5314" s="380"/>
      <c r="P5314" s="380"/>
      <c r="Q5314" s="380"/>
    </row>
    <row r="5315" spans="1:17" x14ac:dyDescent="0.2">
      <c r="A5315" s="334" t="s">
        <v>342</v>
      </c>
      <c r="B5315" s="380"/>
      <c r="C5315" s="384" t="s">
        <v>2194</v>
      </c>
      <c r="D5315" s="380"/>
      <c r="E5315" s="380"/>
      <c r="F5315" s="378"/>
      <c r="G5315" s="380"/>
      <c r="H5315" s="380"/>
      <c r="I5315" s="382"/>
      <c r="J5315" s="380"/>
      <c r="K5315" s="380"/>
      <c r="L5315" s="378"/>
      <c r="M5315" s="380"/>
      <c r="N5315" s="380"/>
      <c r="O5315" s="380"/>
      <c r="P5315" s="380"/>
      <c r="Q5315" s="380"/>
    </row>
    <row r="5316" spans="1:17" x14ac:dyDescent="0.2">
      <c r="A5316" s="334" t="s">
        <v>342</v>
      </c>
      <c r="B5316" s="380"/>
      <c r="C5316" s="334" t="s">
        <v>342</v>
      </c>
      <c r="D5316" s="380"/>
      <c r="E5316" s="380"/>
      <c r="F5316" s="378"/>
      <c r="G5316" s="380"/>
      <c r="H5316" s="380"/>
      <c r="I5316" s="385"/>
      <c r="J5316" s="380"/>
      <c r="K5316" s="380"/>
      <c r="L5316" s="378"/>
      <c r="M5316" s="380"/>
      <c r="N5316" s="380"/>
      <c r="O5316" s="380"/>
      <c r="P5316" s="380"/>
      <c r="Q5316" s="380"/>
    </row>
    <row r="5317" spans="1:17" x14ac:dyDescent="0.2">
      <c r="A5317" s="334" t="s">
        <v>1574</v>
      </c>
      <c r="B5317" s="380"/>
      <c r="C5317" s="334" t="s">
        <v>1880</v>
      </c>
      <c r="D5317" s="334" t="s">
        <v>181</v>
      </c>
      <c r="E5317" s="380"/>
      <c r="F5317" s="378"/>
      <c r="G5317" s="380"/>
      <c r="H5317" s="380"/>
      <c r="I5317" s="385"/>
      <c r="J5317" s="334" t="s">
        <v>181</v>
      </c>
      <c r="K5317" s="380"/>
      <c r="L5317" s="378"/>
      <c r="M5317" s="380"/>
      <c r="N5317" s="380"/>
      <c r="O5317" s="380"/>
      <c r="P5317" s="380"/>
      <c r="Q5317" s="380"/>
    </row>
    <row r="5318" spans="1:17" x14ac:dyDescent="0.2">
      <c r="A5318" s="334" t="s">
        <v>342</v>
      </c>
      <c r="B5318" s="380"/>
      <c r="C5318" s="334" t="s">
        <v>342</v>
      </c>
      <c r="D5318" s="334" t="s">
        <v>342</v>
      </c>
      <c r="E5318" s="380"/>
      <c r="F5318" s="378"/>
      <c r="G5318" s="380"/>
      <c r="H5318" s="380"/>
      <c r="I5318" s="399"/>
      <c r="J5318" s="334" t="s">
        <v>342</v>
      </c>
      <c r="K5318" s="380"/>
      <c r="L5318" s="378"/>
      <c r="M5318" s="380"/>
      <c r="N5318" s="380"/>
      <c r="O5318" s="380"/>
      <c r="P5318" s="380"/>
      <c r="Q5318" s="380"/>
    </row>
    <row r="5319" spans="1:17" x14ac:dyDescent="0.2">
      <c r="A5319" s="334" t="s">
        <v>1724</v>
      </c>
      <c r="B5319" s="380"/>
      <c r="C5319" s="334" t="s">
        <v>1881</v>
      </c>
      <c r="D5319" s="377"/>
      <c r="E5319" s="380"/>
      <c r="F5319" s="378"/>
      <c r="G5319" s="380"/>
      <c r="H5319" s="380"/>
      <c r="I5319" s="399"/>
      <c r="J5319" s="377">
        <v>0</v>
      </c>
      <c r="K5319" s="380"/>
      <c r="L5319" s="378"/>
      <c r="M5319" s="380"/>
      <c r="N5319" s="380"/>
      <c r="O5319" s="380"/>
      <c r="P5319" s="380"/>
      <c r="Q5319" s="380"/>
    </row>
    <row r="5320" spans="1:17" x14ac:dyDescent="0.2">
      <c r="A5320" s="334" t="s">
        <v>1736</v>
      </c>
      <c r="B5320" s="380"/>
      <c r="C5320" s="334" t="s">
        <v>1747</v>
      </c>
      <c r="D5320" s="377"/>
      <c r="E5320" s="380"/>
      <c r="F5320" s="378"/>
      <c r="G5320" s="380"/>
      <c r="H5320" s="380"/>
      <c r="I5320" s="399"/>
      <c r="J5320" s="377">
        <v>0</v>
      </c>
      <c r="K5320" s="380"/>
      <c r="L5320" s="378"/>
      <c r="M5320" s="380"/>
      <c r="N5320" s="380"/>
      <c r="O5320" s="380"/>
      <c r="P5320" s="380"/>
      <c r="Q5320" s="380"/>
    </row>
    <row r="5321" spans="1:17" x14ac:dyDescent="0.2">
      <c r="A5321" s="334" t="s">
        <v>1744</v>
      </c>
      <c r="B5321" s="380"/>
      <c r="C5321" s="334" t="s">
        <v>1254</v>
      </c>
      <c r="D5321" s="377"/>
      <c r="E5321" s="380"/>
      <c r="F5321" s="378"/>
      <c r="G5321" s="380"/>
      <c r="H5321" s="380"/>
      <c r="I5321" s="399"/>
      <c r="J5321" s="377">
        <v>0</v>
      </c>
      <c r="K5321" s="380"/>
      <c r="L5321" s="378"/>
      <c r="M5321" s="380"/>
      <c r="N5321" s="380"/>
      <c r="O5321" s="380"/>
      <c r="P5321" s="380"/>
      <c r="Q5321" s="380"/>
    </row>
    <row r="5322" spans="1:17" x14ac:dyDescent="0.2">
      <c r="A5322" s="334" t="s">
        <v>1582</v>
      </c>
      <c r="B5322" s="380"/>
      <c r="C5322" s="334" t="s">
        <v>3135</v>
      </c>
      <c r="D5322" s="377"/>
      <c r="E5322" s="380"/>
      <c r="F5322" s="378"/>
      <c r="G5322" s="380"/>
      <c r="H5322" s="380"/>
      <c r="I5322" s="399"/>
      <c r="J5322" s="377">
        <v>0</v>
      </c>
      <c r="K5322" s="380"/>
      <c r="L5322" s="378"/>
      <c r="M5322" s="380"/>
      <c r="N5322" s="380"/>
      <c r="O5322" s="380"/>
      <c r="P5322" s="380"/>
      <c r="Q5322" s="380"/>
    </row>
    <row r="5323" spans="1:17" x14ac:dyDescent="0.2">
      <c r="A5323" s="334" t="s">
        <v>1575</v>
      </c>
      <c r="B5323" s="380"/>
      <c r="C5323" s="334" t="s">
        <v>1889</v>
      </c>
      <c r="D5323" s="377"/>
      <c r="E5323" s="380"/>
      <c r="F5323" s="378"/>
      <c r="G5323" s="380"/>
      <c r="H5323" s="380"/>
      <c r="I5323" s="399"/>
      <c r="J5323" s="377">
        <v>0</v>
      </c>
      <c r="K5323" s="380"/>
      <c r="L5323" s="378"/>
      <c r="M5323" s="380"/>
      <c r="N5323" s="380"/>
      <c r="O5323" s="380"/>
      <c r="P5323" s="380"/>
      <c r="Q5323" s="380"/>
    </row>
    <row r="5324" spans="1:17" x14ac:dyDescent="0.2">
      <c r="A5324" s="334" t="s">
        <v>1725</v>
      </c>
      <c r="B5324" s="380"/>
      <c r="C5324" s="334" t="s">
        <v>1890</v>
      </c>
      <c r="D5324" s="377"/>
      <c r="E5324" s="380"/>
      <c r="F5324" s="378"/>
      <c r="G5324" s="380"/>
      <c r="H5324" s="380"/>
      <c r="I5324" s="399"/>
      <c r="J5324" s="377">
        <v>0</v>
      </c>
      <c r="K5324" s="380"/>
      <c r="L5324" s="378"/>
      <c r="M5324" s="380"/>
      <c r="N5324" s="380"/>
      <c r="O5324" s="380"/>
      <c r="P5324" s="380"/>
      <c r="Q5324" s="380"/>
    </row>
    <row r="5325" spans="1:17" x14ac:dyDescent="0.2">
      <c r="A5325" s="384" t="s">
        <v>1745</v>
      </c>
      <c r="B5325" s="380"/>
      <c r="C5325" s="334" t="s">
        <v>1887</v>
      </c>
      <c r="D5325" s="377"/>
      <c r="E5325" s="380"/>
      <c r="F5325" s="378"/>
      <c r="G5325" s="380"/>
      <c r="H5325" s="380"/>
      <c r="I5325" s="399"/>
      <c r="J5325" s="377">
        <v>0</v>
      </c>
      <c r="K5325" s="380"/>
      <c r="L5325" s="378"/>
      <c r="M5325" s="380"/>
      <c r="N5325" s="380"/>
      <c r="O5325" s="380"/>
      <c r="P5325" s="380"/>
      <c r="Q5325" s="380"/>
    </row>
    <row r="5326" spans="1:17" x14ac:dyDescent="0.2">
      <c r="A5326" s="334" t="s">
        <v>1737</v>
      </c>
      <c r="B5326" s="380"/>
      <c r="C5326" s="334" t="s">
        <v>1984</v>
      </c>
      <c r="D5326" s="377"/>
      <c r="E5326" s="380"/>
      <c r="F5326" s="378"/>
      <c r="G5326" s="380"/>
      <c r="H5326" s="380"/>
      <c r="I5326" s="399"/>
      <c r="J5326" s="377">
        <v>0</v>
      </c>
      <c r="K5326" s="380"/>
      <c r="L5326" s="378"/>
      <c r="M5326" s="380"/>
      <c r="N5326" s="380"/>
      <c r="O5326" s="380"/>
      <c r="P5326" s="380"/>
      <c r="Q5326" s="380"/>
    </row>
    <row r="5327" spans="1:17" x14ac:dyDescent="0.2">
      <c r="A5327" s="334" t="s">
        <v>1726</v>
      </c>
      <c r="B5327" s="380"/>
      <c r="C5327" s="334" t="s">
        <v>1117</v>
      </c>
      <c r="D5327" s="377"/>
      <c r="E5327" s="380"/>
      <c r="F5327" s="378"/>
      <c r="G5327" s="380"/>
      <c r="H5327" s="380"/>
      <c r="I5327" s="399"/>
      <c r="J5327" s="377">
        <v>0</v>
      </c>
      <c r="K5327" s="380"/>
      <c r="L5327" s="378"/>
      <c r="M5327" s="380"/>
      <c r="N5327" s="380"/>
      <c r="O5327" s="380"/>
      <c r="P5327" s="380"/>
      <c r="Q5327" s="380"/>
    </row>
    <row r="5328" spans="1:17" x14ac:dyDescent="0.2">
      <c r="A5328" s="334" t="s">
        <v>1577</v>
      </c>
      <c r="B5328" s="380"/>
      <c r="C5328" s="334" t="s">
        <v>1815</v>
      </c>
      <c r="D5328" s="377"/>
      <c r="E5328" s="380"/>
      <c r="F5328" s="378"/>
      <c r="G5328" s="380"/>
      <c r="H5328" s="380"/>
      <c r="I5328" s="399"/>
      <c r="J5328" s="377">
        <v>0</v>
      </c>
      <c r="K5328" s="380"/>
      <c r="L5328" s="378"/>
      <c r="M5328" s="380"/>
      <c r="N5328" s="380"/>
      <c r="O5328" s="380"/>
      <c r="P5328" s="380"/>
      <c r="Q5328" s="380"/>
    </row>
    <row r="5329" spans="1:17" x14ac:dyDescent="0.2">
      <c r="A5329" s="334" t="s">
        <v>1734</v>
      </c>
      <c r="B5329" s="380"/>
      <c r="C5329" s="334" t="s">
        <v>1746</v>
      </c>
      <c r="D5329" s="377"/>
      <c r="E5329" s="380"/>
      <c r="F5329" s="378"/>
      <c r="G5329" s="380"/>
      <c r="H5329" s="380"/>
      <c r="I5329" s="399"/>
      <c r="J5329" s="377">
        <v>0</v>
      </c>
      <c r="K5329" s="380"/>
      <c r="L5329" s="378"/>
      <c r="M5329" s="380"/>
      <c r="N5329" s="380"/>
      <c r="O5329" s="380"/>
      <c r="P5329" s="380"/>
      <c r="Q5329" s="380"/>
    </row>
    <row r="5330" spans="1:17" x14ac:dyDescent="0.2">
      <c r="A5330" s="334" t="s">
        <v>1571</v>
      </c>
      <c r="B5330" s="380"/>
      <c r="C5330" s="334" t="s">
        <v>3</v>
      </c>
      <c r="D5330" s="377"/>
      <c r="E5330" s="380"/>
      <c r="F5330" s="378"/>
      <c r="G5330" s="380"/>
      <c r="H5330" s="380"/>
      <c r="I5330" s="399"/>
      <c r="J5330" s="377">
        <v>0</v>
      </c>
      <c r="K5330" s="380"/>
      <c r="L5330" s="378"/>
      <c r="M5330" s="380"/>
      <c r="N5330" s="380"/>
      <c r="O5330" s="380"/>
      <c r="P5330" s="380"/>
      <c r="Q5330" s="380"/>
    </row>
    <row r="5331" spans="1:17" x14ac:dyDescent="0.2">
      <c r="A5331" s="334" t="s">
        <v>1578</v>
      </c>
      <c r="B5331" s="380"/>
      <c r="C5331" s="334" t="s">
        <v>22</v>
      </c>
      <c r="D5331" s="377"/>
      <c r="E5331" s="380"/>
      <c r="F5331" s="378"/>
      <c r="G5331" s="380"/>
      <c r="H5331" s="380"/>
      <c r="I5331" s="399"/>
      <c r="J5331" s="377">
        <v>0</v>
      </c>
      <c r="K5331" s="380"/>
      <c r="L5331" s="378"/>
      <c r="M5331" s="380"/>
      <c r="N5331" s="380"/>
      <c r="O5331" s="380"/>
      <c r="P5331" s="380"/>
      <c r="Q5331" s="380"/>
    </row>
    <row r="5332" spans="1:17" x14ac:dyDescent="0.2">
      <c r="A5332" s="334" t="s">
        <v>1738</v>
      </c>
      <c r="B5332" s="380"/>
      <c r="C5332" s="334" t="s">
        <v>1591</v>
      </c>
      <c r="D5332" s="377"/>
      <c r="E5332" s="380"/>
      <c r="F5332" s="378"/>
      <c r="G5332" s="380"/>
      <c r="H5332" s="380"/>
      <c r="I5332" s="399"/>
      <c r="J5332" s="377">
        <v>0</v>
      </c>
      <c r="K5332" s="380"/>
      <c r="L5332" s="378"/>
      <c r="M5332" s="380"/>
      <c r="N5332" s="380"/>
      <c r="O5332" s="380"/>
      <c r="P5332" s="380"/>
      <c r="Q5332" s="380"/>
    </row>
    <row r="5333" spans="1:17" x14ac:dyDescent="0.2">
      <c r="A5333" s="334" t="s">
        <v>1727</v>
      </c>
      <c r="B5333" s="380"/>
      <c r="C5333" s="334" t="s">
        <v>307</v>
      </c>
      <c r="D5333" s="377"/>
      <c r="E5333" s="380"/>
      <c r="F5333" s="378"/>
      <c r="G5333" s="380"/>
      <c r="H5333" s="380"/>
      <c r="I5333" s="399"/>
      <c r="J5333" s="377">
        <v>0</v>
      </c>
      <c r="K5333" s="380"/>
      <c r="L5333" s="378"/>
      <c r="M5333" s="380"/>
      <c r="N5333" s="380"/>
      <c r="O5333" s="380"/>
      <c r="P5333" s="380"/>
      <c r="Q5333" s="380"/>
    </row>
    <row r="5334" spans="1:17" x14ac:dyDescent="0.2">
      <c r="A5334" s="334" t="s">
        <v>1728</v>
      </c>
      <c r="B5334" s="380"/>
      <c r="C5334" s="334" t="s">
        <v>310</v>
      </c>
      <c r="D5334" s="377"/>
      <c r="E5334" s="380"/>
      <c r="F5334" s="378"/>
      <c r="G5334" s="380"/>
      <c r="H5334" s="380"/>
      <c r="I5334" s="399"/>
      <c r="J5334" s="377">
        <v>0</v>
      </c>
      <c r="K5334" s="380"/>
      <c r="L5334" s="378"/>
      <c r="M5334" s="380"/>
      <c r="N5334" s="380"/>
      <c r="O5334" s="380"/>
      <c r="P5334" s="380"/>
      <c r="Q5334" s="380"/>
    </row>
    <row r="5335" spans="1:17" x14ac:dyDescent="0.2">
      <c r="A5335" s="334" t="s">
        <v>1729</v>
      </c>
      <c r="B5335" s="380"/>
      <c r="C5335" s="380" t="s">
        <v>1551</v>
      </c>
      <c r="D5335" s="377"/>
      <c r="E5335" s="380"/>
      <c r="F5335" s="378"/>
      <c r="G5335" s="380"/>
      <c r="H5335" s="380"/>
      <c r="I5335" s="399"/>
      <c r="J5335" s="377">
        <v>0</v>
      </c>
      <c r="K5335" s="380"/>
      <c r="L5335" s="378"/>
      <c r="M5335" s="380"/>
      <c r="N5335" s="380"/>
      <c r="O5335" s="380"/>
      <c r="P5335" s="380"/>
      <c r="Q5335" s="380"/>
    </row>
    <row r="5336" spans="1:17" x14ac:dyDescent="0.2">
      <c r="A5336" s="334" t="s">
        <v>1735</v>
      </c>
      <c r="B5336" s="380"/>
      <c r="C5336" s="380" t="s">
        <v>194</v>
      </c>
      <c r="D5336" s="377"/>
      <c r="E5336" s="380"/>
      <c r="F5336" s="378"/>
      <c r="G5336" s="380"/>
      <c r="H5336" s="380"/>
      <c r="I5336" s="399"/>
      <c r="J5336" s="377">
        <v>0</v>
      </c>
      <c r="K5336" s="380"/>
      <c r="L5336" s="378"/>
      <c r="M5336" s="380"/>
      <c r="N5336" s="380"/>
      <c r="O5336" s="380"/>
      <c r="P5336" s="380"/>
      <c r="Q5336" s="380"/>
    </row>
    <row r="5337" spans="1:17" x14ac:dyDescent="0.2">
      <c r="A5337" s="384" t="s">
        <v>1754</v>
      </c>
      <c r="B5337" s="380"/>
      <c r="C5337" s="334" t="s">
        <v>1929</v>
      </c>
      <c r="D5337" s="377"/>
      <c r="E5337" s="380"/>
      <c r="F5337" s="378"/>
      <c r="G5337" s="380"/>
      <c r="H5337" s="380"/>
      <c r="I5337" s="399"/>
      <c r="J5337" s="377">
        <v>0</v>
      </c>
      <c r="K5337" s="380"/>
      <c r="L5337" s="378"/>
      <c r="M5337" s="380"/>
      <c r="N5337" s="380"/>
      <c r="O5337" s="380"/>
      <c r="P5337" s="380"/>
      <c r="Q5337" s="380"/>
    </row>
    <row r="5338" spans="1:17" x14ac:dyDescent="0.2">
      <c r="A5338" s="334" t="s">
        <v>1580</v>
      </c>
      <c r="B5338" s="380"/>
      <c r="C5338" s="334" t="s">
        <v>1935</v>
      </c>
      <c r="D5338" s="377"/>
      <c r="E5338" s="380"/>
      <c r="F5338" s="378"/>
      <c r="G5338" s="380"/>
      <c r="H5338" s="380"/>
      <c r="I5338" s="399"/>
      <c r="J5338" s="377">
        <v>0</v>
      </c>
      <c r="K5338" s="380"/>
      <c r="L5338" s="378"/>
      <c r="M5338" s="380"/>
      <c r="N5338" s="380"/>
      <c r="O5338" s="380"/>
      <c r="P5338" s="380"/>
      <c r="Q5338" s="380"/>
    </row>
    <row r="5339" spans="1:17" x14ac:dyDescent="0.2">
      <c r="A5339" s="334" t="s">
        <v>1566</v>
      </c>
      <c r="B5339" s="380"/>
      <c r="C5339" s="334" t="s">
        <v>366</v>
      </c>
      <c r="D5339" s="377"/>
      <c r="E5339" s="380"/>
      <c r="F5339" s="378"/>
      <c r="G5339" s="380"/>
      <c r="H5339" s="380"/>
      <c r="I5339" s="385"/>
      <c r="J5339" s="377">
        <v>0</v>
      </c>
      <c r="K5339" s="380"/>
      <c r="L5339" s="378"/>
      <c r="M5339" s="380"/>
      <c r="N5339" s="380"/>
      <c r="O5339" s="380"/>
      <c r="P5339" s="380"/>
      <c r="Q5339" s="380"/>
    </row>
    <row r="5340" spans="1:17" x14ac:dyDescent="0.2">
      <c r="A5340" s="380"/>
      <c r="B5340" s="380"/>
      <c r="C5340" s="380"/>
      <c r="D5340" s="410"/>
      <c r="E5340" s="380"/>
      <c r="F5340" s="378"/>
      <c r="G5340" s="380"/>
      <c r="H5340" s="380"/>
      <c r="I5340" s="385"/>
      <c r="J5340" s="410"/>
      <c r="K5340" s="380"/>
      <c r="L5340" s="378"/>
      <c r="M5340" s="380"/>
      <c r="N5340" s="380"/>
      <c r="O5340" s="380"/>
      <c r="P5340" s="380"/>
      <c r="Q5340" s="380"/>
    </row>
    <row r="5341" spans="1:17" x14ac:dyDescent="0.2">
      <c r="A5341" s="380"/>
      <c r="B5341" s="380"/>
      <c r="C5341" s="380"/>
      <c r="D5341" s="334">
        <f>SUM(D5317:D5339)</f>
        <v>0</v>
      </c>
      <c r="E5341" s="380"/>
      <c r="F5341" s="378"/>
      <c r="G5341" s="380"/>
      <c r="H5341" s="380"/>
      <c r="I5341" s="399"/>
      <c r="J5341" s="334">
        <f>SUM(J5317:J5339)</f>
        <v>0</v>
      </c>
      <c r="K5341" s="380"/>
      <c r="L5341" s="378"/>
      <c r="M5341" s="380"/>
      <c r="N5341" s="380"/>
      <c r="O5341" s="380"/>
      <c r="P5341" s="380"/>
      <c r="Q5341" s="380"/>
    </row>
    <row r="5342" spans="1:17" ht="15.75" thickTop="1" x14ac:dyDescent="0.2">
      <c r="A5342" s="380"/>
      <c r="B5342" s="380"/>
      <c r="C5342" s="380"/>
      <c r="D5342" s="395"/>
      <c r="E5342" s="380"/>
      <c r="F5342" s="378"/>
      <c r="G5342" s="380"/>
      <c r="H5342" s="380"/>
      <c r="I5342" s="382"/>
      <c r="J5342" s="395"/>
      <c r="K5342" s="380"/>
      <c r="L5342" s="378"/>
      <c r="M5342" s="380"/>
      <c r="N5342" s="380"/>
      <c r="O5342" s="380"/>
      <c r="P5342" s="380"/>
      <c r="Q5342" s="380"/>
    </row>
    <row r="5343" spans="1:17" x14ac:dyDescent="0.2">
      <c r="A5343" s="380"/>
      <c r="B5343" s="380"/>
      <c r="C5343" s="380"/>
      <c r="D5343" s="380"/>
      <c r="E5343" s="380"/>
      <c r="F5343" s="378"/>
      <c r="G5343" s="380"/>
      <c r="H5343" s="380"/>
      <c r="I5343" s="382"/>
      <c r="J5343" s="380"/>
      <c r="K5343" s="380"/>
      <c r="L5343" s="378"/>
      <c r="M5343" s="380"/>
      <c r="N5343" s="380"/>
      <c r="O5343" s="380"/>
      <c r="P5343" s="380"/>
      <c r="Q5343" s="380"/>
    </row>
    <row r="5344" spans="1:17" x14ac:dyDescent="0.2">
      <c r="A5344" s="380"/>
      <c r="B5344" s="380"/>
      <c r="C5344" s="380"/>
      <c r="D5344" s="380"/>
      <c r="E5344" s="377"/>
      <c r="F5344" s="378"/>
      <c r="G5344" s="377"/>
      <c r="H5344" s="377"/>
      <c r="I5344" s="399"/>
      <c r="J5344" s="380"/>
      <c r="K5344" s="377"/>
      <c r="L5344" s="378"/>
      <c r="M5344" s="377"/>
      <c r="N5344" s="377"/>
      <c r="O5344" s="380"/>
      <c r="P5344" s="380"/>
      <c r="Q5344" s="380"/>
    </row>
    <row r="5345" spans="1:17" x14ac:dyDescent="0.2">
      <c r="A5345" s="334" t="s">
        <v>1879</v>
      </c>
      <c r="B5345" s="377"/>
      <c r="C5345" s="377"/>
      <c r="D5345" s="377"/>
      <c r="E5345" s="380"/>
      <c r="F5345" s="378"/>
      <c r="G5345" s="380"/>
      <c r="H5345" s="380"/>
      <c r="I5345" s="382"/>
      <c r="J5345" s="377"/>
      <c r="K5345" s="380"/>
      <c r="L5345" s="378"/>
      <c r="M5345" s="380"/>
      <c r="N5345" s="380"/>
      <c r="O5345" s="380"/>
      <c r="P5345" s="380"/>
      <c r="Q5345" s="380"/>
    </row>
    <row r="5346" spans="1:17" x14ac:dyDescent="0.2">
      <c r="A5346" s="380"/>
      <c r="B5346" s="380"/>
      <c r="C5346" s="384" t="s">
        <v>2088</v>
      </c>
      <c r="D5346" s="380"/>
      <c r="E5346" s="380"/>
      <c r="F5346" s="378"/>
      <c r="G5346" s="380"/>
      <c r="H5346" s="380"/>
      <c r="I5346" s="382"/>
      <c r="J5346" s="380"/>
      <c r="K5346" s="380"/>
      <c r="L5346" s="378"/>
      <c r="M5346" s="380"/>
      <c r="N5346" s="380"/>
      <c r="O5346" s="380"/>
      <c r="P5346" s="380"/>
      <c r="Q5346" s="380"/>
    </row>
    <row r="5347" spans="1:17" x14ac:dyDescent="0.2">
      <c r="A5347" s="380"/>
      <c r="B5347" s="380"/>
      <c r="C5347" s="380"/>
      <c r="D5347" s="380"/>
      <c r="E5347" s="380"/>
      <c r="F5347" s="378"/>
      <c r="G5347" s="380"/>
      <c r="H5347" s="380"/>
      <c r="I5347" s="382"/>
      <c r="J5347" s="380"/>
      <c r="K5347" s="380"/>
      <c r="L5347" s="378"/>
      <c r="M5347" s="380"/>
      <c r="N5347" s="380"/>
      <c r="O5347" s="380"/>
      <c r="P5347" s="380"/>
      <c r="Q5347" s="380"/>
    </row>
    <row r="5348" spans="1:17" x14ac:dyDescent="0.2">
      <c r="A5348" s="380" t="s">
        <v>1723</v>
      </c>
      <c r="B5348" s="380"/>
      <c r="C5348" s="380" t="s">
        <v>1880</v>
      </c>
      <c r="D5348" s="380" t="s">
        <v>181</v>
      </c>
      <c r="E5348" s="380"/>
      <c r="F5348" s="378"/>
      <c r="G5348" s="380"/>
      <c r="H5348" s="380"/>
      <c r="I5348" s="382"/>
      <c r="J5348" s="380" t="s">
        <v>181</v>
      </c>
      <c r="K5348" s="380"/>
      <c r="L5348" s="378"/>
      <c r="M5348" s="380"/>
      <c r="N5348" s="380"/>
      <c r="O5348" s="380"/>
      <c r="P5348" s="380"/>
      <c r="Q5348" s="380"/>
    </row>
    <row r="5349" spans="1:17" x14ac:dyDescent="0.2">
      <c r="A5349" s="380"/>
      <c r="B5349" s="380"/>
      <c r="C5349" s="380"/>
      <c r="D5349" s="380"/>
      <c r="E5349" s="380"/>
      <c r="F5349" s="378"/>
      <c r="G5349" s="380"/>
      <c r="H5349" s="380"/>
      <c r="I5349" s="399"/>
      <c r="J5349" s="380"/>
      <c r="K5349" s="380"/>
      <c r="L5349" s="378"/>
      <c r="M5349" s="380"/>
      <c r="N5349" s="380"/>
      <c r="O5349" s="380"/>
      <c r="P5349" s="380"/>
      <c r="Q5349" s="380"/>
    </row>
    <row r="5350" spans="1:17" x14ac:dyDescent="0.2">
      <c r="A5350" s="334" t="s">
        <v>1724</v>
      </c>
      <c r="B5350" s="380"/>
      <c r="C5350" s="380" t="s">
        <v>1881</v>
      </c>
      <c r="D5350" s="377">
        <v>100000</v>
      </c>
      <c r="E5350" s="380"/>
      <c r="F5350" s="378"/>
      <c r="G5350" s="380"/>
      <c r="H5350" s="380"/>
      <c r="I5350" s="385"/>
      <c r="J5350" s="377"/>
      <c r="K5350" s="380"/>
      <c r="L5350" s="378"/>
      <c r="M5350" s="380"/>
      <c r="N5350" s="380"/>
      <c r="O5350" s="380"/>
      <c r="P5350" s="380"/>
      <c r="Q5350" s="380"/>
    </row>
    <row r="5351" spans="1:17" x14ac:dyDescent="0.2">
      <c r="A5351" s="334" t="s">
        <v>1736</v>
      </c>
      <c r="B5351" s="380"/>
      <c r="C5351" s="380" t="s">
        <v>1747</v>
      </c>
      <c r="D5351" s="334"/>
      <c r="E5351" s="380"/>
      <c r="F5351" s="378"/>
      <c r="G5351" s="380"/>
      <c r="H5351" s="380"/>
      <c r="I5351" s="385"/>
      <c r="J5351" s="334">
        <v>100000</v>
      </c>
      <c r="K5351" s="380"/>
      <c r="L5351" s="378"/>
      <c r="M5351" s="380"/>
      <c r="N5351" s="380"/>
      <c r="O5351" s="380"/>
      <c r="P5351" s="380"/>
      <c r="Q5351" s="380"/>
    </row>
    <row r="5352" spans="1:17" x14ac:dyDescent="0.2">
      <c r="A5352" s="334" t="s">
        <v>1744</v>
      </c>
      <c r="B5352" s="380"/>
      <c r="C5352" s="334" t="s">
        <v>1254</v>
      </c>
      <c r="D5352" s="334"/>
      <c r="E5352" s="380"/>
      <c r="F5352" s="378"/>
      <c r="G5352" s="380"/>
      <c r="H5352" s="380"/>
      <c r="I5352" s="385"/>
      <c r="J5352" s="334"/>
      <c r="K5352" s="380"/>
      <c r="L5352" s="378"/>
      <c r="M5352" s="380"/>
      <c r="N5352" s="380"/>
      <c r="O5352" s="380"/>
      <c r="P5352" s="380"/>
      <c r="Q5352" s="380"/>
    </row>
    <row r="5353" spans="1:17" x14ac:dyDescent="0.2">
      <c r="A5353" s="334" t="s">
        <v>1725</v>
      </c>
      <c r="B5353" s="380"/>
      <c r="C5353" s="334" t="s">
        <v>1890</v>
      </c>
      <c r="D5353" s="334"/>
      <c r="E5353" s="380"/>
      <c r="F5353" s="378"/>
      <c r="G5353" s="380"/>
      <c r="H5353" s="380"/>
      <c r="I5353" s="385"/>
      <c r="J5353" s="334"/>
      <c r="K5353" s="380"/>
      <c r="L5353" s="378"/>
      <c r="M5353" s="380"/>
      <c r="N5353" s="380"/>
      <c r="O5353" s="380"/>
      <c r="P5353" s="380"/>
      <c r="Q5353" s="380"/>
    </row>
    <row r="5354" spans="1:17" x14ac:dyDescent="0.2">
      <c r="A5354" s="334" t="s">
        <v>1737</v>
      </c>
      <c r="B5354" s="380"/>
      <c r="C5354" s="334" t="s">
        <v>1984</v>
      </c>
      <c r="D5354" s="334"/>
      <c r="E5354" s="380"/>
      <c r="F5354" s="378"/>
      <c r="G5354" s="380"/>
      <c r="H5354" s="380"/>
      <c r="I5354" s="385"/>
      <c r="J5354" s="334"/>
      <c r="K5354" s="380"/>
      <c r="L5354" s="378"/>
      <c r="M5354" s="380"/>
      <c r="N5354" s="380"/>
      <c r="O5354" s="380"/>
      <c r="P5354" s="380"/>
      <c r="Q5354" s="380"/>
    </row>
    <row r="5355" spans="1:17" x14ac:dyDescent="0.2">
      <c r="A5355" s="384" t="s">
        <v>412</v>
      </c>
      <c r="B5355" s="380"/>
      <c r="C5355" s="380" t="s">
        <v>1005</v>
      </c>
      <c r="D5355" s="334"/>
      <c r="E5355" s="380"/>
      <c r="F5355" s="378"/>
      <c r="G5355" s="380"/>
      <c r="H5355" s="380"/>
      <c r="I5355" s="385"/>
      <c r="J5355" s="334"/>
      <c r="K5355" s="380"/>
      <c r="L5355" s="378"/>
      <c r="M5355" s="380"/>
      <c r="N5355" s="380"/>
      <c r="O5355" s="380"/>
      <c r="P5355" s="380"/>
      <c r="Q5355" s="380"/>
    </row>
    <row r="5356" spans="1:17" x14ac:dyDescent="0.2">
      <c r="A5356" s="334" t="s">
        <v>1738</v>
      </c>
      <c r="B5356" s="380"/>
      <c r="C5356" s="334" t="s">
        <v>1591</v>
      </c>
      <c r="D5356" s="334"/>
      <c r="E5356" s="380"/>
      <c r="F5356" s="378"/>
      <c r="G5356" s="380"/>
      <c r="H5356" s="380"/>
      <c r="I5356" s="385"/>
      <c r="J5356" s="334"/>
      <c r="K5356" s="380"/>
      <c r="L5356" s="378"/>
      <c r="M5356" s="380"/>
      <c r="N5356" s="380"/>
      <c r="O5356" s="380"/>
      <c r="P5356" s="380"/>
      <c r="Q5356" s="380"/>
    </row>
    <row r="5357" spans="1:17" x14ac:dyDescent="0.2">
      <c r="A5357" s="334" t="s">
        <v>1727</v>
      </c>
      <c r="B5357" s="380"/>
      <c r="C5357" s="334" t="s">
        <v>307</v>
      </c>
      <c r="D5357" s="334"/>
      <c r="E5357" s="380"/>
      <c r="F5357" s="378"/>
      <c r="G5357" s="380"/>
      <c r="H5357" s="380"/>
      <c r="I5357" s="385"/>
      <c r="J5357" s="334"/>
      <c r="K5357" s="380"/>
      <c r="L5357" s="378"/>
      <c r="M5357" s="380"/>
      <c r="N5357" s="380"/>
      <c r="O5357" s="380"/>
      <c r="P5357" s="380"/>
      <c r="Q5357" s="380"/>
    </row>
    <row r="5358" spans="1:17" x14ac:dyDescent="0.2">
      <c r="A5358" s="334" t="s">
        <v>1729</v>
      </c>
      <c r="B5358" s="380"/>
      <c r="C5358" s="380" t="s">
        <v>1551</v>
      </c>
      <c r="D5358" s="334"/>
      <c r="E5358" s="380"/>
      <c r="F5358" s="378"/>
      <c r="G5358" s="380"/>
      <c r="H5358" s="380"/>
      <c r="I5358" s="385"/>
      <c r="J5358" s="334"/>
      <c r="K5358" s="380"/>
      <c r="L5358" s="378"/>
      <c r="M5358" s="380"/>
      <c r="N5358" s="380"/>
      <c r="O5358" s="380"/>
      <c r="P5358" s="380"/>
      <c r="Q5358" s="380"/>
    </row>
    <row r="5359" spans="1:17" x14ac:dyDescent="0.2">
      <c r="A5359" s="334" t="s">
        <v>1580</v>
      </c>
      <c r="B5359" s="380"/>
      <c r="C5359" s="334" t="s">
        <v>1935</v>
      </c>
      <c r="D5359" s="334"/>
      <c r="E5359" s="380"/>
      <c r="F5359" s="378"/>
      <c r="G5359" s="380"/>
      <c r="H5359" s="380"/>
      <c r="I5359" s="385"/>
      <c r="J5359" s="334"/>
      <c r="K5359" s="380"/>
      <c r="L5359" s="378"/>
      <c r="M5359" s="380"/>
      <c r="N5359" s="380"/>
      <c r="O5359" s="380"/>
      <c r="P5359" s="380"/>
      <c r="Q5359" s="380"/>
    </row>
    <row r="5360" spans="1:17" x14ac:dyDescent="0.2">
      <c r="A5360" s="334" t="s">
        <v>1572</v>
      </c>
      <c r="B5360" s="380"/>
      <c r="C5360" s="334" t="s">
        <v>3134</v>
      </c>
      <c r="D5360" s="334"/>
      <c r="E5360" s="380"/>
      <c r="F5360" s="378"/>
      <c r="G5360" s="380"/>
      <c r="H5360" s="380"/>
      <c r="I5360" s="385"/>
      <c r="J5360" s="334"/>
      <c r="K5360" s="380"/>
      <c r="L5360" s="378"/>
      <c r="M5360" s="380"/>
      <c r="N5360" s="380"/>
      <c r="O5360" s="380"/>
      <c r="P5360" s="380"/>
      <c r="Q5360" s="380"/>
    </row>
    <row r="5361" spans="1:17" x14ac:dyDescent="0.2">
      <c r="A5361" s="334" t="s">
        <v>1566</v>
      </c>
      <c r="B5361" s="380"/>
      <c r="C5361" s="334" t="s">
        <v>366</v>
      </c>
      <c r="D5361" s="334"/>
      <c r="E5361" s="380"/>
      <c r="F5361" s="378"/>
      <c r="G5361" s="380"/>
      <c r="H5361" s="380"/>
      <c r="I5361" s="399"/>
      <c r="J5361" s="334"/>
      <c r="K5361" s="380"/>
      <c r="L5361" s="378"/>
      <c r="M5361" s="380"/>
      <c r="N5361" s="380"/>
      <c r="O5361" s="380"/>
      <c r="P5361" s="380"/>
      <c r="Q5361" s="380"/>
    </row>
    <row r="5362" spans="1:17" x14ac:dyDescent="0.2">
      <c r="A5362" s="380"/>
      <c r="B5362" s="380"/>
      <c r="C5362" s="380"/>
      <c r="D5362" s="394"/>
      <c r="E5362" s="380"/>
      <c r="F5362" s="378"/>
      <c r="G5362" s="380"/>
      <c r="H5362" s="380"/>
      <c r="I5362" s="385"/>
      <c r="J5362" s="394"/>
      <c r="K5362" s="380"/>
      <c r="L5362" s="378"/>
      <c r="M5362" s="380"/>
      <c r="N5362" s="380"/>
      <c r="O5362" s="380"/>
      <c r="P5362" s="380"/>
      <c r="Q5362" s="380"/>
    </row>
    <row r="5363" spans="1:17" x14ac:dyDescent="0.2">
      <c r="A5363" s="380"/>
      <c r="B5363" s="380"/>
      <c r="C5363" s="380"/>
      <c r="D5363" s="334">
        <f>SUM(D5350:D5361)</f>
        <v>100000</v>
      </c>
      <c r="E5363" s="380"/>
      <c r="F5363" s="378"/>
      <c r="G5363" s="380"/>
      <c r="H5363" s="380"/>
      <c r="I5363" s="399"/>
      <c r="J5363" s="334">
        <f>SUM(J5350:J5361)</f>
        <v>100000</v>
      </c>
      <c r="K5363" s="380"/>
      <c r="L5363" s="378"/>
      <c r="M5363" s="380"/>
      <c r="N5363" s="380"/>
      <c r="O5363" s="380"/>
      <c r="P5363" s="380"/>
      <c r="Q5363" s="380"/>
    </row>
    <row r="5364" spans="1:17" ht="15.75" thickTop="1" x14ac:dyDescent="0.2">
      <c r="A5364" s="380"/>
      <c r="B5364" s="380"/>
      <c r="C5364" s="380"/>
      <c r="D5364" s="395"/>
      <c r="E5364" s="380"/>
      <c r="F5364" s="378"/>
      <c r="G5364" s="380"/>
      <c r="H5364" s="380"/>
      <c r="I5364" s="382"/>
      <c r="J5364" s="395"/>
      <c r="K5364" s="380"/>
      <c r="L5364" s="378"/>
      <c r="M5364" s="380"/>
      <c r="N5364" s="380"/>
      <c r="O5364" s="380"/>
      <c r="P5364" s="380"/>
      <c r="Q5364" s="380"/>
    </row>
    <row r="5365" spans="1:17" x14ac:dyDescent="0.2">
      <c r="A5365" s="380"/>
      <c r="B5365" s="380"/>
      <c r="C5365" s="380"/>
      <c r="D5365" s="380"/>
      <c r="E5365" s="380"/>
      <c r="F5365" s="378"/>
      <c r="G5365" s="380"/>
      <c r="H5365" s="380"/>
      <c r="I5365" s="382"/>
      <c r="J5365" s="380"/>
      <c r="K5365" s="380"/>
      <c r="L5365" s="378"/>
      <c r="M5365" s="380"/>
      <c r="N5365" s="380"/>
      <c r="O5365" s="380"/>
      <c r="P5365" s="380"/>
      <c r="Q5365" s="380"/>
    </row>
    <row r="5366" spans="1:17" x14ac:dyDescent="0.2">
      <c r="A5366" s="380"/>
      <c r="B5366" s="380"/>
      <c r="C5366" s="380"/>
      <c r="D5366" s="380"/>
      <c r="E5366" s="377"/>
      <c r="F5366" s="378"/>
      <c r="G5366" s="377"/>
      <c r="H5366" s="377"/>
      <c r="I5366" s="399"/>
      <c r="J5366" s="380"/>
      <c r="K5366" s="377"/>
      <c r="L5366" s="378"/>
      <c r="M5366" s="377"/>
      <c r="N5366" s="377"/>
      <c r="O5366" s="380"/>
      <c r="P5366" s="380"/>
      <c r="Q5366" s="380"/>
    </row>
    <row r="5367" spans="1:17" x14ac:dyDescent="0.2">
      <c r="A5367" s="334" t="s">
        <v>1298</v>
      </c>
      <c r="B5367" s="377"/>
      <c r="C5367" s="377"/>
      <c r="D5367" s="377"/>
      <c r="E5367" s="380"/>
      <c r="F5367" s="378"/>
      <c r="G5367" s="380"/>
      <c r="H5367" s="380"/>
      <c r="I5367" s="382"/>
      <c r="J5367" s="377"/>
      <c r="K5367" s="380"/>
      <c r="L5367" s="378"/>
      <c r="M5367" s="380"/>
      <c r="N5367" s="380"/>
      <c r="O5367" s="380"/>
      <c r="P5367" s="380"/>
      <c r="Q5367" s="380"/>
    </row>
    <row r="5368" spans="1:17" x14ac:dyDescent="0.2">
      <c r="A5368" s="334"/>
      <c r="B5368" s="380"/>
      <c r="C5368" s="384" t="s">
        <v>2195</v>
      </c>
      <c r="D5368" s="380"/>
      <c r="E5368" s="380"/>
      <c r="F5368" s="378"/>
      <c r="G5368" s="380"/>
      <c r="H5368" s="380"/>
      <c r="I5368" s="382"/>
      <c r="J5368" s="380"/>
      <c r="K5368" s="380"/>
      <c r="L5368" s="378"/>
      <c r="M5368" s="380"/>
      <c r="N5368" s="380"/>
      <c r="O5368" s="380"/>
      <c r="P5368" s="380"/>
      <c r="Q5368" s="380"/>
    </row>
    <row r="5369" spans="1:17" x14ac:dyDescent="0.2">
      <c r="A5369" s="380"/>
      <c r="B5369" s="380"/>
      <c r="C5369" s="380"/>
      <c r="D5369" s="380"/>
      <c r="E5369" s="380"/>
      <c r="F5369" s="378"/>
      <c r="G5369" s="380"/>
      <c r="H5369" s="380"/>
      <c r="I5369" s="382"/>
      <c r="J5369" s="380"/>
      <c r="K5369" s="380"/>
      <c r="L5369" s="378"/>
      <c r="M5369" s="380"/>
      <c r="N5369" s="380"/>
      <c r="O5369" s="380"/>
      <c r="P5369" s="380"/>
      <c r="Q5369" s="380"/>
    </row>
    <row r="5370" spans="1:17" x14ac:dyDescent="0.2">
      <c r="A5370" s="380" t="s">
        <v>1723</v>
      </c>
      <c r="B5370" s="380"/>
      <c r="C5370" s="334" t="s">
        <v>1880</v>
      </c>
      <c r="D5370" s="380" t="s">
        <v>181</v>
      </c>
      <c r="E5370" s="380"/>
      <c r="F5370" s="378"/>
      <c r="G5370" s="380"/>
      <c r="H5370" s="380"/>
      <c r="I5370" s="399"/>
      <c r="J5370" s="380" t="s">
        <v>181</v>
      </c>
      <c r="K5370" s="380"/>
      <c r="L5370" s="378"/>
      <c r="M5370" s="380"/>
      <c r="N5370" s="380"/>
      <c r="O5370" s="380"/>
      <c r="P5370" s="380"/>
      <c r="Q5370" s="380"/>
    </row>
    <row r="5371" spans="1:17" x14ac:dyDescent="0.2">
      <c r="A5371" s="380"/>
      <c r="B5371" s="380"/>
      <c r="C5371" s="380"/>
      <c r="D5371" s="377"/>
      <c r="E5371" s="380"/>
      <c r="F5371" s="378"/>
      <c r="G5371" s="380"/>
      <c r="H5371" s="380"/>
      <c r="I5371" s="399"/>
      <c r="J5371" s="377"/>
      <c r="K5371" s="380"/>
      <c r="L5371" s="378"/>
      <c r="M5371" s="380"/>
      <c r="N5371" s="380"/>
      <c r="O5371" s="380"/>
      <c r="P5371" s="380"/>
      <c r="Q5371" s="380"/>
    </row>
    <row r="5372" spans="1:17" x14ac:dyDescent="0.2">
      <c r="A5372" s="334" t="s">
        <v>1724</v>
      </c>
      <c r="B5372" s="380"/>
      <c r="C5372" s="380" t="s">
        <v>1881</v>
      </c>
      <c r="D5372" s="377">
        <v>5500</v>
      </c>
      <c r="E5372" s="380"/>
      <c r="F5372" s="378"/>
      <c r="G5372" s="380"/>
      <c r="H5372" s="380"/>
      <c r="I5372" s="399"/>
      <c r="J5372" s="377">
        <v>4500</v>
      </c>
      <c r="K5372" s="380"/>
      <c r="L5372" s="378"/>
      <c r="M5372" s="380"/>
      <c r="N5372" s="380"/>
      <c r="O5372" s="380"/>
      <c r="P5372" s="380"/>
      <c r="Q5372" s="380"/>
    </row>
    <row r="5373" spans="1:17" x14ac:dyDescent="0.2">
      <c r="A5373" s="334" t="s">
        <v>1736</v>
      </c>
      <c r="B5373" s="380"/>
      <c r="C5373" s="380" t="s">
        <v>1747</v>
      </c>
      <c r="D5373" s="377">
        <v>2000</v>
      </c>
      <c r="E5373" s="380"/>
      <c r="F5373" s="378"/>
      <c r="G5373" s="380"/>
      <c r="H5373" s="380"/>
      <c r="I5373" s="399"/>
      <c r="J5373" s="377">
        <v>2650</v>
      </c>
      <c r="K5373" s="380"/>
      <c r="L5373" s="378"/>
      <c r="M5373" s="380"/>
      <c r="N5373" s="380"/>
      <c r="O5373" s="380"/>
      <c r="P5373" s="380"/>
      <c r="Q5373" s="380"/>
    </row>
    <row r="5374" spans="1:17" x14ac:dyDescent="0.2">
      <c r="A5374" s="334" t="s">
        <v>1744</v>
      </c>
      <c r="B5374" s="380"/>
      <c r="C5374" s="334" t="s">
        <v>1254</v>
      </c>
      <c r="D5374" s="377">
        <v>850</v>
      </c>
      <c r="E5374" s="380"/>
      <c r="F5374" s="378"/>
      <c r="G5374" s="380"/>
      <c r="H5374" s="380"/>
      <c r="I5374" s="399"/>
      <c r="J5374" s="377"/>
      <c r="K5374" s="380"/>
      <c r="L5374" s="378"/>
      <c r="M5374" s="380"/>
      <c r="N5374" s="380"/>
      <c r="O5374" s="380"/>
      <c r="P5374" s="380"/>
      <c r="Q5374" s="380"/>
    </row>
    <row r="5375" spans="1:17" x14ac:dyDescent="0.2">
      <c r="A5375" s="334" t="s">
        <v>1582</v>
      </c>
      <c r="B5375" s="380"/>
      <c r="C5375" s="334" t="s">
        <v>3135</v>
      </c>
      <c r="D5375" s="377">
        <v>850</v>
      </c>
      <c r="E5375" s="380"/>
      <c r="F5375" s="378"/>
      <c r="G5375" s="380"/>
      <c r="H5375" s="380"/>
      <c r="I5375" s="399"/>
      <c r="J5375" s="377">
        <v>2070</v>
      </c>
      <c r="K5375" s="380"/>
      <c r="L5375" s="378"/>
      <c r="M5375" s="380"/>
      <c r="N5375" s="380"/>
      <c r="O5375" s="380"/>
      <c r="P5375" s="380"/>
      <c r="Q5375" s="380"/>
    </row>
    <row r="5376" spans="1:17" x14ac:dyDescent="0.2">
      <c r="A5376" s="334" t="s">
        <v>1575</v>
      </c>
      <c r="B5376" s="380"/>
      <c r="C5376" s="334" t="s">
        <v>1889</v>
      </c>
      <c r="D5376" s="377">
        <v>2500</v>
      </c>
      <c r="E5376" s="380"/>
      <c r="F5376" s="378"/>
      <c r="G5376" s="380"/>
      <c r="H5376" s="380"/>
      <c r="I5376" s="399"/>
      <c r="J5376" s="377">
        <v>2300</v>
      </c>
      <c r="K5376" s="380"/>
      <c r="L5376" s="378"/>
      <c r="M5376" s="380"/>
      <c r="N5376" s="380"/>
      <c r="O5376" s="380"/>
      <c r="P5376" s="380"/>
      <c r="Q5376" s="380"/>
    </row>
    <row r="5377" spans="1:17" x14ac:dyDescent="0.2">
      <c r="A5377" s="334" t="s">
        <v>1725</v>
      </c>
      <c r="B5377" s="380"/>
      <c r="C5377" s="334" t="s">
        <v>1890</v>
      </c>
      <c r="D5377" s="377"/>
      <c r="E5377" s="380"/>
      <c r="F5377" s="378"/>
      <c r="G5377" s="380"/>
      <c r="H5377" s="380"/>
      <c r="I5377" s="399"/>
      <c r="J5377" s="377"/>
      <c r="K5377" s="380"/>
      <c r="L5377" s="378"/>
      <c r="M5377" s="380"/>
      <c r="N5377" s="380"/>
      <c r="O5377" s="380"/>
      <c r="P5377" s="380"/>
      <c r="Q5377" s="380"/>
    </row>
    <row r="5378" spans="1:17" x14ac:dyDescent="0.2">
      <c r="A5378" s="334" t="s">
        <v>1737</v>
      </c>
      <c r="B5378" s="380"/>
      <c r="C5378" s="334" t="s">
        <v>1984</v>
      </c>
      <c r="D5378" s="377">
        <v>350</v>
      </c>
      <c r="E5378" s="380"/>
      <c r="F5378" s="378"/>
      <c r="G5378" s="380"/>
      <c r="H5378" s="380"/>
      <c r="I5378" s="399"/>
      <c r="J5378" s="377">
        <v>350</v>
      </c>
      <c r="K5378" s="380"/>
      <c r="L5378" s="378"/>
      <c r="M5378" s="380"/>
      <c r="N5378" s="380"/>
      <c r="O5378" s="380"/>
      <c r="P5378" s="380"/>
      <c r="Q5378" s="380"/>
    </row>
    <row r="5379" spans="1:17" x14ac:dyDescent="0.2">
      <c r="A5379" s="384" t="s">
        <v>1726</v>
      </c>
      <c r="B5379" s="380"/>
      <c r="C5379" s="334" t="s">
        <v>1117</v>
      </c>
      <c r="D5379" s="377"/>
      <c r="E5379" s="380"/>
      <c r="F5379" s="378"/>
      <c r="G5379" s="380"/>
      <c r="H5379" s="380"/>
      <c r="I5379" s="399"/>
      <c r="J5379" s="377"/>
      <c r="K5379" s="380"/>
      <c r="L5379" s="378"/>
      <c r="M5379" s="380"/>
      <c r="N5379" s="380"/>
      <c r="O5379" s="380"/>
      <c r="P5379" s="380"/>
      <c r="Q5379" s="380"/>
    </row>
    <row r="5380" spans="1:17" x14ac:dyDescent="0.2">
      <c r="A5380" s="391" t="s">
        <v>1751</v>
      </c>
      <c r="B5380" s="380"/>
      <c r="C5380" s="334" t="s">
        <v>3138</v>
      </c>
      <c r="D5380" s="377"/>
      <c r="E5380" s="380"/>
      <c r="F5380" s="378"/>
      <c r="G5380" s="380"/>
      <c r="H5380" s="380"/>
      <c r="I5380" s="399"/>
      <c r="J5380" s="377"/>
      <c r="K5380" s="380"/>
      <c r="L5380" s="378"/>
      <c r="M5380" s="380"/>
      <c r="N5380" s="380"/>
      <c r="O5380" s="380"/>
      <c r="P5380" s="380"/>
      <c r="Q5380" s="380"/>
    </row>
    <row r="5381" spans="1:17" x14ac:dyDescent="0.2">
      <c r="A5381" s="334" t="s">
        <v>1577</v>
      </c>
      <c r="B5381" s="380"/>
      <c r="C5381" s="334" t="s">
        <v>1815</v>
      </c>
      <c r="D5381" s="377">
        <v>250</v>
      </c>
      <c r="E5381" s="380"/>
      <c r="F5381" s="378"/>
      <c r="G5381" s="380"/>
      <c r="H5381" s="380"/>
      <c r="I5381" s="399"/>
      <c r="J5381" s="377">
        <v>250</v>
      </c>
      <c r="K5381" s="380"/>
      <c r="L5381" s="378"/>
      <c r="M5381" s="380"/>
      <c r="N5381" s="380"/>
      <c r="O5381" s="380"/>
      <c r="P5381" s="380"/>
      <c r="Q5381" s="380"/>
    </row>
    <row r="5382" spans="1:17" x14ac:dyDescent="0.2">
      <c r="A5382" s="384" t="s">
        <v>1734</v>
      </c>
      <c r="B5382" s="380"/>
      <c r="C5382" s="334" t="s">
        <v>1746</v>
      </c>
      <c r="D5382" s="377"/>
      <c r="E5382" s="380"/>
      <c r="F5382" s="378"/>
      <c r="G5382" s="380"/>
      <c r="H5382" s="380"/>
      <c r="I5382" s="399"/>
      <c r="J5382" s="377"/>
      <c r="K5382" s="380"/>
      <c r="L5382" s="378"/>
      <c r="M5382" s="380"/>
      <c r="N5382" s="380"/>
      <c r="O5382" s="380"/>
      <c r="P5382" s="380"/>
      <c r="Q5382" s="380"/>
    </row>
    <row r="5383" spans="1:17" x14ac:dyDescent="0.2">
      <c r="A5383" s="391" t="s">
        <v>1578</v>
      </c>
      <c r="B5383" s="380"/>
      <c r="C5383" s="334" t="s">
        <v>22</v>
      </c>
      <c r="D5383" s="377"/>
      <c r="E5383" s="380"/>
      <c r="F5383" s="378"/>
      <c r="G5383" s="380"/>
      <c r="H5383" s="380"/>
      <c r="I5383" s="399"/>
      <c r="J5383" s="377"/>
      <c r="K5383" s="380"/>
      <c r="L5383" s="378"/>
      <c r="M5383" s="380"/>
      <c r="N5383" s="380"/>
      <c r="O5383" s="380"/>
      <c r="P5383" s="380"/>
      <c r="Q5383" s="380"/>
    </row>
    <row r="5384" spans="1:17" x14ac:dyDescent="0.2">
      <c r="A5384" s="334" t="s">
        <v>1738</v>
      </c>
      <c r="B5384" s="380"/>
      <c r="C5384" s="334" t="s">
        <v>1591</v>
      </c>
      <c r="D5384" s="377">
        <v>300</v>
      </c>
      <c r="E5384" s="380"/>
      <c r="F5384" s="378"/>
      <c r="G5384" s="380"/>
      <c r="H5384" s="380"/>
      <c r="I5384" s="399"/>
      <c r="J5384" s="377">
        <v>300</v>
      </c>
      <c r="K5384" s="380"/>
      <c r="L5384" s="378"/>
      <c r="M5384" s="380"/>
      <c r="N5384" s="380"/>
      <c r="O5384" s="380"/>
      <c r="P5384" s="380"/>
      <c r="Q5384" s="380"/>
    </row>
    <row r="5385" spans="1:17" x14ac:dyDescent="0.2">
      <c r="A5385" s="334" t="s">
        <v>1727</v>
      </c>
      <c r="B5385" s="380"/>
      <c r="C5385" s="334" t="s">
        <v>307</v>
      </c>
      <c r="D5385" s="377">
        <v>250</v>
      </c>
      <c r="E5385" s="380"/>
      <c r="F5385" s="378"/>
      <c r="G5385" s="380"/>
      <c r="H5385" s="380"/>
      <c r="I5385" s="399"/>
      <c r="J5385" s="377">
        <v>300</v>
      </c>
      <c r="K5385" s="380"/>
      <c r="L5385" s="378"/>
      <c r="M5385" s="380"/>
      <c r="N5385" s="380"/>
      <c r="O5385" s="380"/>
      <c r="P5385" s="380"/>
      <c r="Q5385" s="380"/>
    </row>
    <row r="5386" spans="1:17" x14ac:dyDescent="0.2">
      <c r="A5386" s="334" t="s">
        <v>1728</v>
      </c>
      <c r="B5386" s="380"/>
      <c r="C5386" s="334" t="s">
        <v>310</v>
      </c>
      <c r="D5386" s="377">
        <v>175</v>
      </c>
      <c r="E5386" s="380"/>
      <c r="F5386" s="378"/>
      <c r="G5386" s="380"/>
      <c r="H5386" s="380"/>
      <c r="I5386" s="399"/>
      <c r="J5386" s="377">
        <v>100</v>
      </c>
      <c r="K5386" s="380"/>
      <c r="L5386" s="378"/>
      <c r="M5386" s="380"/>
      <c r="N5386" s="380"/>
      <c r="O5386" s="380"/>
      <c r="P5386" s="380"/>
      <c r="Q5386" s="380"/>
    </row>
    <row r="5387" spans="1:17" x14ac:dyDescent="0.2">
      <c r="A5387" s="334" t="s">
        <v>1729</v>
      </c>
      <c r="B5387" s="380"/>
      <c r="C5387" s="380" t="s">
        <v>1551</v>
      </c>
      <c r="D5387" s="377">
        <f>-6305-7000</f>
        <v>-13305</v>
      </c>
      <c r="E5387" s="380"/>
      <c r="F5387" s="378"/>
      <c r="G5387" s="380"/>
      <c r="H5387" s="380"/>
      <c r="I5387" s="399"/>
      <c r="J5387" s="377">
        <v>10</v>
      </c>
      <c r="K5387" s="380"/>
      <c r="L5387" s="378"/>
      <c r="M5387" s="380"/>
      <c r="N5387" s="380"/>
      <c r="O5387" s="380"/>
      <c r="P5387" s="380"/>
      <c r="Q5387" s="380"/>
    </row>
    <row r="5388" spans="1:17" x14ac:dyDescent="0.2">
      <c r="A5388" s="334" t="s">
        <v>1735</v>
      </c>
      <c r="B5388" s="380"/>
      <c r="C5388" s="380" t="s">
        <v>194</v>
      </c>
      <c r="D5388" s="377"/>
      <c r="E5388" s="380"/>
      <c r="F5388" s="378"/>
      <c r="G5388" s="380"/>
      <c r="H5388" s="380"/>
      <c r="I5388" s="399"/>
      <c r="J5388" s="377">
        <v>35</v>
      </c>
      <c r="K5388" s="380"/>
      <c r="L5388" s="378"/>
      <c r="M5388" s="380"/>
      <c r="N5388" s="380"/>
      <c r="O5388" s="380"/>
      <c r="P5388" s="380"/>
      <c r="Q5388" s="380"/>
    </row>
    <row r="5389" spans="1:17" x14ac:dyDescent="0.2">
      <c r="A5389" s="384" t="s">
        <v>1944</v>
      </c>
      <c r="B5389" s="380"/>
      <c r="C5389" s="334" t="s">
        <v>72</v>
      </c>
      <c r="D5389" s="377"/>
      <c r="E5389" s="380"/>
      <c r="F5389" s="378"/>
      <c r="G5389" s="380"/>
      <c r="H5389" s="380"/>
      <c r="I5389" s="399"/>
      <c r="J5389" s="377"/>
      <c r="K5389" s="380"/>
      <c r="L5389" s="378"/>
      <c r="M5389" s="380"/>
      <c r="N5389" s="380"/>
      <c r="O5389" s="380"/>
      <c r="P5389" s="380"/>
      <c r="Q5389" s="380"/>
    </row>
    <row r="5390" spans="1:17" x14ac:dyDescent="0.2">
      <c r="A5390" s="334" t="s">
        <v>1730</v>
      </c>
      <c r="B5390" s="380"/>
      <c r="C5390" s="334" t="s">
        <v>1985</v>
      </c>
      <c r="D5390" s="377">
        <v>300</v>
      </c>
      <c r="E5390" s="380"/>
      <c r="F5390" s="378"/>
      <c r="G5390" s="380"/>
      <c r="H5390" s="380"/>
      <c r="I5390" s="399"/>
      <c r="J5390" s="377">
        <v>275</v>
      </c>
      <c r="K5390" s="380"/>
      <c r="L5390" s="378"/>
      <c r="M5390" s="380"/>
      <c r="N5390" s="380"/>
      <c r="O5390" s="380"/>
      <c r="P5390" s="380"/>
      <c r="Q5390" s="380"/>
    </row>
    <row r="5391" spans="1:17" x14ac:dyDescent="0.2">
      <c r="A5391" s="334" t="s">
        <v>1566</v>
      </c>
      <c r="B5391" s="380"/>
      <c r="C5391" s="334" t="s">
        <v>366</v>
      </c>
      <c r="D5391" s="377">
        <v>2100</v>
      </c>
      <c r="E5391" s="380"/>
      <c r="F5391" s="378"/>
      <c r="G5391" s="380"/>
      <c r="H5391" s="380"/>
      <c r="I5391" s="399"/>
      <c r="J5391" s="377">
        <v>2100</v>
      </c>
      <c r="K5391" s="380"/>
      <c r="L5391" s="378"/>
      <c r="M5391" s="380"/>
      <c r="N5391" s="380"/>
      <c r="O5391" s="380"/>
      <c r="P5391" s="380"/>
      <c r="Q5391" s="380"/>
    </row>
    <row r="5392" spans="1:17" x14ac:dyDescent="0.2">
      <c r="A5392" s="334" t="s">
        <v>1755</v>
      </c>
      <c r="B5392" s="380"/>
      <c r="C5392" s="380" t="s">
        <v>1986</v>
      </c>
      <c r="D5392" s="377"/>
      <c r="E5392" s="380"/>
      <c r="F5392" s="378"/>
      <c r="G5392" s="380"/>
      <c r="H5392" s="380"/>
      <c r="I5392" s="399"/>
      <c r="J5392" s="377"/>
      <c r="K5392" s="380"/>
      <c r="L5392" s="378"/>
      <c r="M5392" s="380"/>
      <c r="N5392" s="380"/>
      <c r="O5392" s="380"/>
      <c r="P5392" s="380"/>
      <c r="Q5392" s="380"/>
    </row>
    <row r="5393" spans="1:17" x14ac:dyDescent="0.2">
      <c r="A5393" s="384" t="s">
        <v>1962</v>
      </c>
      <c r="B5393" s="380"/>
      <c r="C5393" s="380" t="s">
        <v>572</v>
      </c>
      <c r="D5393" s="377">
        <v>14000</v>
      </c>
      <c r="E5393" s="380"/>
      <c r="F5393" s="378"/>
      <c r="G5393" s="380"/>
      <c r="H5393" s="380"/>
      <c r="I5393" s="399"/>
      <c r="J5393" s="377"/>
      <c r="K5393" s="380"/>
      <c r="L5393" s="378"/>
      <c r="M5393" s="380"/>
      <c r="N5393" s="380"/>
      <c r="O5393" s="380"/>
      <c r="P5393" s="380"/>
      <c r="Q5393" s="380"/>
    </row>
    <row r="5394" spans="1:17" x14ac:dyDescent="0.2">
      <c r="A5394" s="384" t="s">
        <v>1743</v>
      </c>
      <c r="B5394" s="380"/>
      <c r="C5394" s="334" t="s">
        <v>1886</v>
      </c>
      <c r="D5394" s="377">
        <v>2100</v>
      </c>
      <c r="E5394" s="380"/>
      <c r="F5394" s="378"/>
      <c r="G5394" s="380"/>
      <c r="H5394" s="380"/>
      <c r="I5394" s="399"/>
      <c r="J5394" s="377">
        <v>2100</v>
      </c>
      <c r="K5394" s="380"/>
      <c r="L5394" s="378"/>
      <c r="M5394" s="380"/>
      <c r="N5394" s="380"/>
      <c r="O5394" s="380"/>
      <c r="P5394" s="380"/>
      <c r="Q5394" s="380"/>
    </row>
    <row r="5395" spans="1:17" x14ac:dyDescent="0.2">
      <c r="A5395" s="380"/>
      <c r="B5395" s="380"/>
      <c r="C5395" s="380"/>
      <c r="D5395" s="394"/>
      <c r="E5395" s="380"/>
      <c r="F5395" s="378"/>
      <c r="G5395" s="380"/>
      <c r="H5395" s="380"/>
      <c r="I5395" s="399"/>
      <c r="J5395" s="394"/>
      <c r="K5395" s="380"/>
      <c r="L5395" s="378"/>
      <c r="M5395" s="380"/>
      <c r="N5395" s="380"/>
      <c r="O5395" s="380"/>
      <c r="P5395" s="380"/>
      <c r="Q5395" s="380"/>
    </row>
    <row r="5396" spans="1:17" x14ac:dyDescent="0.2">
      <c r="A5396" s="380"/>
      <c r="B5396" s="380"/>
      <c r="C5396" s="380"/>
      <c r="D5396" s="377">
        <f>SUM(D5372:D5394)</f>
        <v>18220</v>
      </c>
      <c r="E5396" s="380"/>
      <c r="F5396" s="378"/>
      <c r="G5396" s="380"/>
      <c r="H5396" s="380"/>
      <c r="I5396" s="399"/>
      <c r="J5396" s="377">
        <f>SUM(J5372:J5394)</f>
        <v>17340</v>
      </c>
      <c r="K5396" s="380"/>
      <c r="L5396" s="378"/>
      <c r="M5396" s="380"/>
      <c r="N5396" s="380"/>
      <c r="O5396" s="380"/>
      <c r="P5396" s="380"/>
      <c r="Q5396" s="380"/>
    </row>
    <row r="5397" spans="1:17" ht="15.75" thickTop="1" x14ac:dyDescent="0.2">
      <c r="A5397" s="380"/>
      <c r="B5397" s="380"/>
      <c r="C5397" s="380"/>
      <c r="D5397" s="395"/>
      <c r="E5397" s="380"/>
      <c r="F5397" s="378"/>
      <c r="G5397" s="380"/>
      <c r="H5397" s="380"/>
      <c r="I5397" s="382"/>
      <c r="J5397" s="395"/>
      <c r="K5397" s="380"/>
      <c r="L5397" s="378"/>
      <c r="M5397" s="380"/>
      <c r="N5397" s="380"/>
      <c r="O5397" s="380"/>
      <c r="P5397" s="380"/>
      <c r="Q5397" s="380"/>
    </row>
    <row r="5398" spans="1:17" x14ac:dyDescent="0.2">
      <c r="A5398" s="380"/>
      <c r="B5398" s="380"/>
      <c r="C5398" s="380"/>
      <c r="D5398" s="380"/>
      <c r="E5398" s="380"/>
      <c r="F5398" s="378"/>
      <c r="G5398" s="380"/>
      <c r="H5398" s="380"/>
      <c r="I5398" s="382"/>
      <c r="J5398" s="380"/>
      <c r="K5398" s="380"/>
      <c r="L5398" s="378"/>
      <c r="M5398" s="380"/>
      <c r="N5398" s="380"/>
      <c r="O5398" s="380"/>
      <c r="P5398" s="380"/>
      <c r="Q5398" s="380"/>
    </row>
    <row r="5399" spans="1:17" x14ac:dyDescent="0.2">
      <c r="A5399" s="380"/>
      <c r="B5399" s="380"/>
      <c r="C5399" s="380"/>
      <c r="D5399" s="380"/>
      <c r="E5399" s="380"/>
      <c r="F5399" s="378"/>
      <c r="G5399" s="380"/>
      <c r="H5399" s="380"/>
      <c r="I5399" s="399"/>
      <c r="J5399" s="380"/>
      <c r="K5399" s="380"/>
      <c r="L5399" s="378"/>
      <c r="M5399" s="380"/>
      <c r="N5399" s="380"/>
      <c r="O5399" s="380"/>
      <c r="P5399" s="380"/>
      <c r="Q5399" s="380"/>
    </row>
    <row r="5400" spans="1:17" x14ac:dyDescent="0.2">
      <c r="A5400" s="334" t="s">
        <v>1300</v>
      </c>
      <c r="B5400" s="377"/>
      <c r="C5400" s="377"/>
      <c r="D5400" s="377"/>
      <c r="E5400" s="380"/>
      <c r="F5400" s="378"/>
      <c r="G5400" s="380"/>
      <c r="H5400" s="380"/>
      <c r="I5400" s="382"/>
      <c r="J5400" s="377"/>
      <c r="K5400" s="380"/>
      <c r="L5400" s="378"/>
      <c r="M5400" s="380"/>
      <c r="N5400" s="380"/>
      <c r="O5400" s="380"/>
      <c r="P5400" s="380"/>
      <c r="Q5400" s="380"/>
    </row>
    <row r="5401" spans="1:17" x14ac:dyDescent="0.2">
      <c r="A5401" s="334"/>
      <c r="B5401" s="380"/>
      <c r="C5401" s="384" t="s">
        <v>2196</v>
      </c>
      <c r="D5401" s="380"/>
      <c r="E5401" s="380"/>
      <c r="F5401" s="378"/>
      <c r="G5401" s="380"/>
      <c r="H5401" s="380"/>
      <c r="I5401" s="382"/>
      <c r="J5401" s="380"/>
      <c r="K5401" s="380"/>
      <c r="L5401" s="378"/>
      <c r="M5401" s="380"/>
      <c r="N5401" s="380"/>
      <c r="O5401" s="380"/>
      <c r="P5401" s="380"/>
      <c r="Q5401" s="380"/>
    </row>
    <row r="5402" spans="1:17" x14ac:dyDescent="0.2">
      <c r="A5402" s="380"/>
      <c r="B5402" s="380"/>
      <c r="C5402" s="380"/>
      <c r="D5402" s="380"/>
      <c r="E5402" s="380"/>
      <c r="F5402" s="378"/>
      <c r="G5402" s="380"/>
      <c r="H5402" s="380"/>
      <c r="I5402" s="382"/>
      <c r="J5402" s="380"/>
      <c r="K5402" s="380"/>
      <c r="L5402" s="378"/>
      <c r="M5402" s="380"/>
      <c r="N5402" s="380"/>
      <c r="O5402" s="380"/>
      <c r="P5402" s="380"/>
      <c r="Q5402" s="380"/>
    </row>
    <row r="5403" spans="1:17" x14ac:dyDescent="0.2">
      <c r="A5403" s="380" t="s">
        <v>1723</v>
      </c>
      <c r="B5403" s="380"/>
      <c r="C5403" s="334" t="s">
        <v>1880</v>
      </c>
      <c r="D5403" s="380" t="s">
        <v>181</v>
      </c>
      <c r="E5403" s="380"/>
      <c r="F5403" s="378"/>
      <c r="G5403" s="380"/>
      <c r="H5403" s="380"/>
      <c r="I5403" s="399"/>
      <c r="J5403" s="380" t="s">
        <v>181</v>
      </c>
      <c r="K5403" s="380"/>
      <c r="L5403" s="378"/>
      <c r="M5403" s="380"/>
      <c r="N5403" s="380"/>
      <c r="O5403" s="380"/>
      <c r="P5403" s="380"/>
      <c r="Q5403" s="380"/>
    </row>
    <row r="5404" spans="1:17" x14ac:dyDescent="0.2">
      <c r="A5404" s="380"/>
      <c r="B5404" s="380"/>
      <c r="C5404" s="380"/>
      <c r="D5404" s="377"/>
      <c r="E5404" s="380"/>
      <c r="F5404" s="378"/>
      <c r="G5404" s="380"/>
      <c r="H5404" s="380"/>
      <c r="I5404" s="399"/>
      <c r="J5404" s="377"/>
      <c r="K5404" s="380"/>
      <c r="L5404" s="378"/>
      <c r="M5404" s="380"/>
      <c r="N5404" s="380"/>
      <c r="O5404" s="380"/>
      <c r="P5404" s="380"/>
      <c r="Q5404" s="380"/>
    </row>
    <row r="5405" spans="1:17" x14ac:dyDescent="0.2">
      <c r="A5405" s="334" t="s">
        <v>1724</v>
      </c>
      <c r="B5405" s="380"/>
      <c r="C5405" s="380" t="s">
        <v>1881</v>
      </c>
      <c r="D5405" s="377">
        <v>300</v>
      </c>
      <c r="E5405" s="380"/>
      <c r="F5405" s="378"/>
      <c r="G5405" s="380"/>
      <c r="H5405" s="380"/>
      <c r="I5405" s="399"/>
      <c r="J5405" s="377">
        <v>300</v>
      </c>
      <c r="K5405" s="380"/>
      <c r="L5405" s="378"/>
      <c r="M5405" s="380"/>
      <c r="N5405" s="380"/>
      <c r="O5405" s="380"/>
      <c r="P5405" s="380"/>
      <c r="Q5405" s="380"/>
    </row>
    <row r="5406" spans="1:17" x14ac:dyDescent="0.2">
      <c r="A5406" s="334" t="s">
        <v>1736</v>
      </c>
      <c r="B5406" s="380"/>
      <c r="C5406" s="380" t="s">
        <v>1747</v>
      </c>
      <c r="D5406" s="377">
        <v>500</v>
      </c>
      <c r="E5406" s="380"/>
      <c r="F5406" s="378"/>
      <c r="G5406" s="380"/>
      <c r="H5406" s="380"/>
      <c r="I5406" s="399"/>
      <c r="J5406" s="377">
        <v>500</v>
      </c>
      <c r="K5406" s="380"/>
      <c r="L5406" s="378"/>
      <c r="M5406" s="380"/>
      <c r="N5406" s="380"/>
      <c r="O5406" s="380"/>
      <c r="P5406" s="380"/>
      <c r="Q5406" s="380"/>
    </row>
    <row r="5407" spans="1:17" x14ac:dyDescent="0.2">
      <c r="A5407" s="334" t="s">
        <v>1744</v>
      </c>
      <c r="B5407" s="380"/>
      <c r="C5407" s="334" t="s">
        <v>1254</v>
      </c>
      <c r="D5407" s="377">
        <v>700</v>
      </c>
      <c r="E5407" s="380"/>
      <c r="F5407" s="378"/>
      <c r="G5407" s="380"/>
      <c r="H5407" s="380"/>
      <c r="I5407" s="399"/>
      <c r="J5407" s="377">
        <v>700</v>
      </c>
      <c r="K5407" s="380"/>
      <c r="L5407" s="378"/>
      <c r="M5407" s="380"/>
      <c r="N5407" s="380"/>
      <c r="O5407" s="380"/>
      <c r="P5407" s="380"/>
      <c r="Q5407" s="380"/>
    </row>
    <row r="5408" spans="1:17" x14ac:dyDescent="0.2">
      <c r="A5408" s="334" t="s">
        <v>1582</v>
      </c>
      <c r="B5408" s="380"/>
      <c r="C5408" s="334" t="s">
        <v>3135</v>
      </c>
      <c r="D5408" s="377">
        <v>600</v>
      </c>
      <c r="E5408" s="380"/>
      <c r="F5408" s="378"/>
      <c r="G5408" s="380"/>
      <c r="H5408" s="380"/>
      <c r="I5408" s="399"/>
      <c r="J5408" s="377">
        <v>600</v>
      </c>
      <c r="K5408" s="380"/>
      <c r="L5408" s="378"/>
      <c r="M5408" s="380"/>
      <c r="N5408" s="380"/>
      <c r="O5408" s="380"/>
      <c r="P5408" s="380"/>
      <c r="Q5408" s="380"/>
    </row>
    <row r="5409" spans="1:17" x14ac:dyDescent="0.2">
      <c r="A5409" s="334" t="s">
        <v>1575</v>
      </c>
      <c r="B5409" s="380"/>
      <c r="C5409" s="334" t="s">
        <v>1889</v>
      </c>
      <c r="D5409" s="377">
        <v>300</v>
      </c>
      <c r="E5409" s="380"/>
      <c r="F5409" s="378"/>
      <c r="G5409" s="380"/>
      <c r="H5409" s="380"/>
      <c r="I5409" s="399"/>
      <c r="J5409" s="377">
        <v>300</v>
      </c>
      <c r="K5409" s="380"/>
      <c r="L5409" s="378"/>
      <c r="M5409" s="380"/>
      <c r="N5409" s="380"/>
      <c r="O5409" s="380"/>
      <c r="P5409" s="380"/>
      <c r="Q5409" s="380"/>
    </row>
    <row r="5410" spans="1:17" x14ac:dyDescent="0.2">
      <c r="A5410" s="334" t="s">
        <v>1725</v>
      </c>
      <c r="B5410" s="380"/>
      <c r="C5410" s="334" t="s">
        <v>1890</v>
      </c>
      <c r="D5410" s="377"/>
      <c r="E5410" s="380"/>
      <c r="F5410" s="378"/>
      <c r="G5410" s="380"/>
      <c r="H5410" s="380"/>
      <c r="I5410" s="399"/>
      <c r="J5410" s="377"/>
      <c r="K5410" s="380"/>
      <c r="L5410" s="378"/>
      <c r="M5410" s="380"/>
      <c r="N5410" s="380"/>
      <c r="O5410" s="380"/>
      <c r="P5410" s="380"/>
      <c r="Q5410" s="380"/>
    </row>
    <row r="5411" spans="1:17" x14ac:dyDescent="0.2">
      <c r="A5411" s="384" t="s">
        <v>1745</v>
      </c>
      <c r="B5411" s="380"/>
      <c r="C5411" s="334" t="s">
        <v>1887</v>
      </c>
      <c r="D5411" s="377">
        <v>300</v>
      </c>
      <c r="E5411" s="380"/>
      <c r="F5411" s="378"/>
      <c r="G5411" s="380"/>
      <c r="H5411" s="380"/>
      <c r="I5411" s="399"/>
      <c r="J5411" s="377">
        <v>300</v>
      </c>
      <c r="K5411" s="380"/>
      <c r="L5411" s="378"/>
      <c r="M5411" s="380"/>
      <c r="N5411" s="380"/>
      <c r="O5411" s="380"/>
      <c r="P5411" s="380"/>
      <c r="Q5411" s="380"/>
    </row>
    <row r="5412" spans="1:17" x14ac:dyDescent="0.2">
      <c r="A5412" s="334" t="s">
        <v>1737</v>
      </c>
      <c r="B5412" s="380"/>
      <c r="C5412" s="334" t="s">
        <v>1984</v>
      </c>
      <c r="D5412" s="377">
        <v>550</v>
      </c>
      <c r="E5412" s="380"/>
      <c r="F5412" s="378"/>
      <c r="G5412" s="380"/>
      <c r="H5412" s="380"/>
      <c r="I5412" s="399"/>
      <c r="J5412" s="377">
        <v>550</v>
      </c>
      <c r="K5412" s="380"/>
      <c r="L5412" s="378"/>
      <c r="M5412" s="380"/>
      <c r="N5412" s="380"/>
      <c r="O5412" s="380"/>
      <c r="P5412" s="380"/>
      <c r="Q5412" s="380"/>
    </row>
    <row r="5413" spans="1:17" x14ac:dyDescent="0.2">
      <c r="A5413" s="384" t="s">
        <v>1751</v>
      </c>
      <c r="B5413" s="380"/>
      <c r="C5413" s="334" t="s">
        <v>3138</v>
      </c>
      <c r="D5413" s="377">
        <v>1500</v>
      </c>
      <c r="E5413" s="380"/>
      <c r="F5413" s="378"/>
      <c r="G5413" s="380"/>
      <c r="H5413" s="380"/>
      <c r="I5413" s="399"/>
      <c r="J5413" s="377">
        <v>1200</v>
      </c>
      <c r="K5413" s="380"/>
      <c r="L5413" s="378"/>
      <c r="M5413" s="380"/>
      <c r="N5413" s="380"/>
      <c r="O5413" s="380"/>
      <c r="P5413" s="380"/>
      <c r="Q5413" s="380"/>
    </row>
    <row r="5414" spans="1:17" x14ac:dyDescent="0.2">
      <c r="A5414" s="334" t="s">
        <v>1577</v>
      </c>
      <c r="B5414" s="380"/>
      <c r="C5414" s="334" t="s">
        <v>1815</v>
      </c>
      <c r="D5414" s="377"/>
      <c r="E5414" s="380"/>
      <c r="F5414" s="378"/>
      <c r="G5414" s="380"/>
      <c r="H5414" s="380"/>
      <c r="I5414" s="399"/>
      <c r="J5414" s="377"/>
      <c r="K5414" s="380"/>
      <c r="L5414" s="378"/>
      <c r="M5414" s="380"/>
      <c r="N5414" s="380"/>
      <c r="O5414" s="380"/>
      <c r="P5414" s="380"/>
      <c r="Q5414" s="380"/>
    </row>
    <row r="5415" spans="1:17" x14ac:dyDescent="0.2">
      <c r="A5415" s="384" t="s">
        <v>1734</v>
      </c>
      <c r="B5415" s="380"/>
      <c r="C5415" s="334" t="s">
        <v>1746</v>
      </c>
      <c r="D5415" s="377">
        <v>250</v>
      </c>
      <c r="E5415" s="380"/>
      <c r="F5415" s="378"/>
      <c r="G5415" s="380"/>
      <c r="H5415" s="380"/>
      <c r="I5415" s="399"/>
      <c r="J5415" s="377">
        <v>250</v>
      </c>
      <c r="K5415" s="380"/>
      <c r="L5415" s="378"/>
      <c r="M5415" s="380"/>
      <c r="N5415" s="380"/>
      <c r="O5415" s="380"/>
      <c r="P5415" s="380"/>
      <c r="Q5415" s="380"/>
    </row>
    <row r="5416" spans="1:17" x14ac:dyDescent="0.2">
      <c r="A5416" s="334" t="s">
        <v>1738</v>
      </c>
      <c r="B5416" s="380"/>
      <c r="C5416" s="334" t="s">
        <v>1591</v>
      </c>
      <c r="D5416" s="377">
        <v>200</v>
      </c>
      <c r="E5416" s="380"/>
      <c r="F5416" s="378"/>
      <c r="G5416" s="380"/>
      <c r="H5416" s="380"/>
      <c r="I5416" s="399"/>
      <c r="J5416" s="377">
        <v>200</v>
      </c>
      <c r="K5416" s="380"/>
      <c r="L5416" s="378"/>
      <c r="M5416" s="380"/>
      <c r="N5416" s="380"/>
      <c r="O5416" s="380"/>
      <c r="P5416" s="380"/>
      <c r="Q5416" s="380"/>
    </row>
    <row r="5417" spans="1:17" x14ac:dyDescent="0.2">
      <c r="A5417" s="334" t="s">
        <v>1727</v>
      </c>
      <c r="B5417" s="380"/>
      <c r="C5417" s="334" t="s">
        <v>307</v>
      </c>
      <c r="D5417" s="377">
        <v>300</v>
      </c>
      <c r="E5417" s="380"/>
      <c r="F5417" s="378"/>
      <c r="G5417" s="380"/>
      <c r="H5417" s="380"/>
      <c r="I5417" s="399"/>
      <c r="J5417" s="377">
        <v>300</v>
      </c>
      <c r="K5417" s="380"/>
      <c r="L5417" s="378"/>
      <c r="M5417" s="380"/>
      <c r="N5417" s="380"/>
      <c r="O5417" s="380"/>
      <c r="P5417" s="380"/>
      <c r="Q5417" s="380"/>
    </row>
    <row r="5418" spans="1:17" x14ac:dyDescent="0.2">
      <c r="A5418" s="334" t="s">
        <v>1728</v>
      </c>
      <c r="B5418" s="380"/>
      <c r="C5418" s="334" t="s">
        <v>310</v>
      </c>
      <c r="D5418" s="377">
        <v>500</v>
      </c>
      <c r="E5418" s="380"/>
      <c r="F5418" s="378"/>
      <c r="G5418" s="380"/>
      <c r="H5418" s="380"/>
      <c r="I5418" s="399"/>
      <c r="J5418" s="377">
        <v>500</v>
      </c>
      <c r="K5418" s="380"/>
      <c r="L5418" s="378"/>
      <c r="M5418" s="380"/>
      <c r="N5418" s="380"/>
      <c r="O5418" s="380"/>
      <c r="P5418" s="380"/>
      <c r="Q5418" s="380"/>
    </row>
    <row r="5419" spans="1:17" x14ac:dyDescent="0.2">
      <c r="A5419" s="334" t="s">
        <v>1729</v>
      </c>
      <c r="B5419" s="380"/>
      <c r="C5419" s="380" t="s">
        <v>1551</v>
      </c>
      <c r="D5419" s="377">
        <v>-2380</v>
      </c>
      <c r="E5419" s="380"/>
      <c r="F5419" s="378"/>
      <c r="G5419" s="380"/>
      <c r="H5419" s="380"/>
      <c r="I5419" s="399"/>
      <c r="J5419" s="377">
        <v>150</v>
      </c>
      <c r="K5419" s="380"/>
      <c r="L5419" s="378"/>
      <c r="M5419" s="380"/>
      <c r="N5419" s="380"/>
      <c r="O5419" s="380"/>
      <c r="P5419" s="380"/>
      <c r="Q5419" s="380"/>
    </row>
    <row r="5420" spans="1:17" x14ac:dyDescent="0.2">
      <c r="A5420" s="334" t="s">
        <v>1735</v>
      </c>
      <c r="B5420" s="380"/>
      <c r="C5420" s="380" t="s">
        <v>194</v>
      </c>
      <c r="D5420" s="377"/>
      <c r="E5420" s="380"/>
      <c r="F5420" s="378"/>
      <c r="G5420" s="380"/>
      <c r="H5420" s="380"/>
      <c r="I5420" s="399"/>
      <c r="J5420" s="377">
        <v>450</v>
      </c>
      <c r="K5420" s="380"/>
      <c r="L5420" s="378"/>
      <c r="M5420" s="380"/>
      <c r="N5420" s="380"/>
      <c r="O5420" s="380"/>
      <c r="P5420" s="380"/>
      <c r="Q5420" s="380"/>
    </row>
    <row r="5421" spans="1:17" x14ac:dyDescent="0.2">
      <c r="A5421" s="384" t="s">
        <v>1730</v>
      </c>
      <c r="B5421" s="380"/>
      <c r="C5421" s="334" t="s">
        <v>1985</v>
      </c>
      <c r="D5421" s="377">
        <v>1500</v>
      </c>
      <c r="E5421" s="380"/>
      <c r="F5421" s="378"/>
      <c r="G5421" s="380"/>
      <c r="H5421" s="380"/>
      <c r="I5421" s="399"/>
      <c r="J5421" s="377">
        <v>1400</v>
      </c>
      <c r="K5421" s="380"/>
      <c r="L5421" s="378"/>
      <c r="M5421" s="380"/>
      <c r="N5421" s="380"/>
      <c r="O5421" s="380"/>
      <c r="P5421" s="380"/>
      <c r="Q5421" s="380"/>
    </row>
    <row r="5422" spans="1:17" x14ac:dyDescent="0.2">
      <c r="A5422" s="334" t="s">
        <v>1566</v>
      </c>
      <c r="B5422" s="380"/>
      <c r="C5422" s="334" t="s">
        <v>366</v>
      </c>
      <c r="D5422" s="377">
        <v>2000</v>
      </c>
      <c r="E5422" s="380"/>
      <c r="F5422" s="378"/>
      <c r="G5422" s="380"/>
      <c r="H5422" s="380"/>
      <c r="I5422" s="399"/>
      <c r="J5422" s="377">
        <v>2000</v>
      </c>
      <c r="K5422" s="380"/>
      <c r="L5422" s="378"/>
      <c r="M5422" s="380"/>
      <c r="N5422" s="380"/>
      <c r="O5422" s="380"/>
      <c r="P5422" s="380"/>
      <c r="Q5422" s="380"/>
    </row>
    <row r="5423" spans="1:17" x14ac:dyDescent="0.2">
      <c r="A5423" s="334" t="s">
        <v>1755</v>
      </c>
      <c r="B5423" s="380"/>
      <c r="C5423" s="380" t="s">
        <v>1986</v>
      </c>
      <c r="D5423" s="377">
        <v>2400</v>
      </c>
      <c r="E5423" s="380"/>
      <c r="F5423" s="378"/>
      <c r="G5423" s="380"/>
      <c r="H5423" s="380"/>
      <c r="I5423" s="399"/>
      <c r="J5423" s="377">
        <v>2400</v>
      </c>
      <c r="K5423" s="380"/>
      <c r="L5423" s="378"/>
      <c r="M5423" s="380"/>
      <c r="N5423" s="380"/>
      <c r="O5423" s="380"/>
      <c r="P5423" s="380"/>
      <c r="Q5423" s="380"/>
    </row>
    <row r="5424" spans="1:17" x14ac:dyDescent="0.2">
      <c r="A5424" s="384" t="s">
        <v>1903</v>
      </c>
      <c r="B5424" s="380"/>
      <c r="C5424" s="334" t="s">
        <v>35</v>
      </c>
      <c r="D5424" s="377"/>
      <c r="E5424" s="380"/>
      <c r="F5424" s="378"/>
      <c r="G5424" s="380"/>
      <c r="H5424" s="380"/>
      <c r="I5424" s="399"/>
      <c r="J5424" s="377"/>
      <c r="K5424" s="380"/>
      <c r="L5424" s="378"/>
      <c r="M5424" s="380"/>
      <c r="N5424" s="380"/>
      <c r="O5424" s="380"/>
      <c r="P5424" s="380"/>
      <c r="Q5424" s="380"/>
    </row>
    <row r="5425" spans="1:17" x14ac:dyDescent="0.2">
      <c r="A5425" s="384" t="s">
        <v>1962</v>
      </c>
      <c r="B5425" s="380"/>
      <c r="C5425" s="380" t="s">
        <v>572</v>
      </c>
      <c r="D5425" s="377"/>
      <c r="E5425" s="380"/>
      <c r="F5425" s="378"/>
      <c r="G5425" s="380"/>
      <c r="H5425" s="380"/>
      <c r="I5425" s="399"/>
      <c r="J5425" s="377"/>
      <c r="K5425" s="380"/>
      <c r="L5425" s="378"/>
      <c r="M5425" s="380"/>
      <c r="N5425" s="380"/>
      <c r="O5425" s="380"/>
      <c r="P5425" s="380"/>
      <c r="Q5425" s="380"/>
    </row>
    <row r="5426" spans="1:17" x14ac:dyDescent="0.2">
      <c r="A5426" s="380"/>
      <c r="B5426" s="380"/>
      <c r="C5426" s="380"/>
      <c r="D5426" s="394"/>
      <c r="E5426" s="380"/>
      <c r="F5426" s="378"/>
      <c r="G5426" s="380"/>
      <c r="H5426" s="380"/>
      <c r="I5426" s="399"/>
      <c r="J5426" s="394"/>
      <c r="K5426" s="380"/>
      <c r="L5426" s="378"/>
      <c r="M5426" s="380"/>
      <c r="N5426" s="380"/>
      <c r="O5426" s="380"/>
      <c r="P5426" s="380"/>
      <c r="Q5426" s="380"/>
    </row>
    <row r="5427" spans="1:17" x14ac:dyDescent="0.2">
      <c r="A5427" s="380"/>
      <c r="B5427" s="380"/>
      <c r="C5427" s="380"/>
      <c r="D5427" s="377">
        <f>SUM(D5405:D5425)</f>
        <v>9520</v>
      </c>
      <c r="E5427" s="380"/>
      <c r="F5427" s="378"/>
      <c r="G5427" s="380"/>
      <c r="H5427" s="380"/>
      <c r="I5427" s="399"/>
      <c r="J5427" s="377">
        <f>SUM(J5405:J5425)</f>
        <v>12100</v>
      </c>
      <c r="K5427" s="380"/>
      <c r="L5427" s="378"/>
      <c r="M5427" s="380"/>
      <c r="N5427" s="380"/>
      <c r="O5427" s="380"/>
      <c r="P5427" s="380"/>
      <c r="Q5427" s="380"/>
    </row>
    <row r="5428" spans="1:17" ht="15.75" thickTop="1" x14ac:dyDescent="0.2">
      <c r="A5428" s="380"/>
      <c r="B5428" s="380"/>
      <c r="C5428" s="380"/>
      <c r="D5428" s="395"/>
      <c r="E5428" s="380"/>
      <c r="F5428" s="378"/>
      <c r="G5428" s="380"/>
      <c r="H5428" s="380"/>
      <c r="I5428" s="382"/>
      <c r="J5428" s="395"/>
      <c r="K5428" s="380"/>
      <c r="L5428" s="378"/>
      <c r="M5428" s="380"/>
      <c r="N5428" s="380"/>
      <c r="O5428" s="380"/>
      <c r="P5428" s="380"/>
      <c r="Q5428" s="380"/>
    </row>
    <row r="5429" spans="1:17" x14ac:dyDescent="0.2">
      <c r="A5429" s="380"/>
      <c r="B5429" s="380"/>
      <c r="C5429" s="380"/>
      <c r="D5429" s="380"/>
      <c r="E5429" s="334"/>
      <c r="F5429" s="412"/>
      <c r="G5429" s="334"/>
      <c r="H5429" s="380"/>
      <c r="I5429" s="385"/>
      <c r="J5429" s="380"/>
      <c r="K5429" s="334"/>
      <c r="L5429" s="412"/>
      <c r="M5429" s="334"/>
      <c r="N5429" s="380"/>
      <c r="O5429" s="380"/>
      <c r="P5429" s="380"/>
      <c r="Q5429" s="380"/>
    </row>
    <row r="5430" spans="1:17" x14ac:dyDescent="0.2">
      <c r="A5430" s="334" t="s">
        <v>292</v>
      </c>
      <c r="B5430" s="380"/>
      <c r="C5430" s="380"/>
      <c r="D5430" s="334"/>
      <c r="E5430" s="380"/>
      <c r="F5430" s="378"/>
      <c r="G5430" s="380"/>
      <c r="H5430" s="380"/>
      <c r="I5430" s="443"/>
      <c r="J5430" s="334"/>
      <c r="K5430" s="382"/>
      <c r="L5430" s="380"/>
      <c r="M5430" s="380"/>
      <c r="N5430" s="380"/>
      <c r="O5430" s="380"/>
      <c r="P5430" s="380"/>
      <c r="Q5430" s="380"/>
    </row>
    <row r="5431" spans="1:17" x14ac:dyDescent="0.2">
      <c r="A5431" s="334" t="s">
        <v>342</v>
      </c>
      <c r="B5431" s="380"/>
      <c r="C5431" s="334"/>
      <c r="D5431" s="442" t="s">
        <v>293</v>
      </c>
      <c r="E5431" s="384" t="s">
        <v>295</v>
      </c>
      <c r="F5431" s="421" t="s">
        <v>296</v>
      </c>
      <c r="G5431" s="384"/>
      <c r="H5431" s="442" t="s">
        <v>297</v>
      </c>
      <c r="I5431" s="385"/>
      <c r="J5431" s="442" t="s">
        <v>293</v>
      </c>
      <c r="K5431" s="384" t="s">
        <v>295</v>
      </c>
      <c r="L5431" s="421" t="s">
        <v>296</v>
      </c>
      <c r="M5431" s="384"/>
      <c r="N5431" s="442" t="s">
        <v>297</v>
      </c>
      <c r="O5431" s="380"/>
      <c r="P5431" s="380"/>
      <c r="Q5431" s="380"/>
    </row>
    <row r="5432" spans="1:17" x14ac:dyDescent="0.2">
      <c r="A5432" s="334" t="s">
        <v>342</v>
      </c>
      <c r="B5432" s="380"/>
      <c r="C5432" s="334" t="s">
        <v>342</v>
      </c>
      <c r="D5432" s="334" t="s">
        <v>294</v>
      </c>
      <c r="E5432" s="334" t="s">
        <v>796</v>
      </c>
      <c r="F5432" s="412" t="s">
        <v>960</v>
      </c>
      <c r="G5432" s="334"/>
      <c r="H5432" s="380" t="s">
        <v>298</v>
      </c>
      <c r="I5432" s="385"/>
      <c r="J5432" s="334" t="s">
        <v>294</v>
      </c>
      <c r="K5432" s="334" t="s">
        <v>796</v>
      </c>
      <c r="L5432" s="412" t="s">
        <v>960</v>
      </c>
      <c r="M5432" s="334"/>
      <c r="N5432" s="380" t="s">
        <v>298</v>
      </c>
      <c r="O5432" s="380"/>
      <c r="P5432" s="380"/>
      <c r="Q5432" s="380"/>
    </row>
    <row r="5433" spans="1:17" x14ac:dyDescent="0.2">
      <c r="A5433" s="334" t="s">
        <v>1723</v>
      </c>
      <c r="B5433" s="380"/>
      <c r="C5433" s="334" t="s">
        <v>1880</v>
      </c>
      <c r="D5433" s="334" t="s">
        <v>181</v>
      </c>
      <c r="E5433" s="334" t="s">
        <v>181</v>
      </c>
      <c r="F5433" s="412" t="s">
        <v>181</v>
      </c>
      <c r="G5433" s="334"/>
      <c r="H5433" s="334" t="s">
        <v>181</v>
      </c>
      <c r="I5433" s="382"/>
      <c r="J5433" s="334" t="s">
        <v>181</v>
      </c>
      <c r="K5433" s="334" t="s">
        <v>181</v>
      </c>
      <c r="L5433" s="412" t="s">
        <v>181</v>
      </c>
      <c r="M5433" s="334"/>
      <c r="N5433" s="334" t="s">
        <v>181</v>
      </c>
      <c r="O5433" s="380"/>
      <c r="P5433" s="380"/>
      <c r="Q5433" s="380"/>
    </row>
    <row r="5434" spans="1:17" x14ac:dyDescent="0.2">
      <c r="A5434" s="380"/>
      <c r="B5434" s="380"/>
      <c r="C5434" s="380"/>
      <c r="D5434" s="380"/>
      <c r="E5434" s="377"/>
      <c r="F5434" s="378"/>
      <c r="G5434" s="377"/>
      <c r="H5434" s="377"/>
      <c r="I5434" s="399"/>
      <c r="J5434" s="380"/>
      <c r="K5434" s="377"/>
      <c r="L5434" s="378"/>
      <c r="M5434" s="377"/>
      <c r="N5434" s="377"/>
      <c r="O5434" s="380"/>
      <c r="P5434" s="380"/>
      <c r="Q5434" s="380"/>
    </row>
    <row r="5435" spans="1:17" x14ac:dyDescent="0.2">
      <c r="A5435" s="334" t="s">
        <v>1568</v>
      </c>
      <c r="B5435" s="380"/>
      <c r="C5435" s="380" t="s">
        <v>1817</v>
      </c>
      <c r="D5435" s="379"/>
      <c r="E5435" s="379">
        <v>750</v>
      </c>
      <c r="F5435" s="471">
        <v>400</v>
      </c>
      <c r="G5435" s="379"/>
      <c r="H5435" s="379">
        <v>400</v>
      </c>
      <c r="I5435" s="399"/>
      <c r="J5435" s="377"/>
      <c r="K5435" s="377">
        <v>750</v>
      </c>
      <c r="L5435" s="378">
        <v>400</v>
      </c>
      <c r="M5435" s="377"/>
      <c r="N5435" s="377">
        <v>400</v>
      </c>
      <c r="O5435" s="380"/>
      <c r="P5435" s="380"/>
      <c r="Q5435" s="380"/>
    </row>
    <row r="5436" spans="1:17" x14ac:dyDescent="0.2">
      <c r="A5436" s="334" t="s">
        <v>1724</v>
      </c>
      <c r="B5436" s="380"/>
      <c r="C5436" s="334" t="s">
        <v>1881</v>
      </c>
      <c r="D5436" s="379"/>
      <c r="E5436" s="379"/>
      <c r="F5436" s="471"/>
      <c r="G5436" s="379"/>
      <c r="H5436" s="379"/>
      <c r="I5436" s="399"/>
      <c r="J5436" s="377"/>
      <c r="K5436" s="377"/>
      <c r="L5436" s="378"/>
      <c r="M5436" s="377"/>
      <c r="N5436" s="377"/>
      <c r="O5436" s="380"/>
      <c r="P5436" s="380"/>
      <c r="Q5436" s="380"/>
    </row>
    <row r="5437" spans="1:17" x14ac:dyDescent="0.2">
      <c r="A5437" s="334" t="s">
        <v>1961</v>
      </c>
      <c r="B5437" s="380"/>
      <c r="C5437" s="334" t="s">
        <v>9</v>
      </c>
      <c r="D5437" s="379"/>
      <c r="E5437" s="379"/>
      <c r="F5437" s="471"/>
      <c r="G5437" s="379"/>
      <c r="H5437" s="379"/>
      <c r="I5437" s="399"/>
      <c r="J5437" s="377"/>
      <c r="K5437" s="377"/>
      <c r="L5437" s="378"/>
      <c r="M5437" s="377"/>
      <c r="N5437" s="377"/>
      <c r="O5437" s="380"/>
      <c r="P5437" s="380"/>
      <c r="Q5437" s="380"/>
    </row>
    <row r="5438" spans="1:17" x14ac:dyDescent="0.2">
      <c r="A5438" s="334" t="s">
        <v>1736</v>
      </c>
      <c r="B5438" s="380"/>
      <c r="C5438" s="334" t="s">
        <v>1747</v>
      </c>
      <c r="D5438" s="379"/>
      <c r="E5438" s="379"/>
      <c r="F5438" s="471"/>
      <c r="G5438" s="379"/>
      <c r="H5438" s="379"/>
      <c r="I5438" s="399"/>
      <c r="J5438" s="377"/>
      <c r="K5438" s="377"/>
      <c r="L5438" s="378"/>
      <c r="M5438" s="377"/>
      <c r="N5438" s="377"/>
      <c r="O5438" s="380"/>
      <c r="P5438" s="380"/>
      <c r="Q5438" s="380"/>
    </row>
    <row r="5439" spans="1:17" x14ac:dyDescent="0.2">
      <c r="A5439" s="334" t="s">
        <v>1744</v>
      </c>
      <c r="B5439" s="380"/>
      <c r="C5439" s="334" t="s">
        <v>1254</v>
      </c>
      <c r="D5439" s="379"/>
      <c r="E5439" s="379"/>
      <c r="F5439" s="471"/>
      <c r="G5439" s="379"/>
      <c r="H5439" s="379"/>
      <c r="I5439" s="399"/>
      <c r="J5439" s="377"/>
      <c r="K5439" s="377"/>
      <c r="L5439" s="378"/>
      <c r="M5439" s="377"/>
      <c r="N5439" s="377"/>
      <c r="O5439" s="380"/>
      <c r="P5439" s="380"/>
      <c r="Q5439" s="380"/>
    </row>
    <row r="5440" spans="1:17" x14ac:dyDescent="0.2">
      <c r="A5440" s="334" t="s">
        <v>1582</v>
      </c>
      <c r="B5440" s="380"/>
      <c r="C5440" s="334" t="s">
        <v>3135</v>
      </c>
      <c r="D5440" s="379"/>
      <c r="E5440" s="379"/>
      <c r="F5440" s="471"/>
      <c r="G5440" s="379"/>
      <c r="H5440" s="379"/>
      <c r="I5440" s="399"/>
      <c r="J5440" s="377"/>
      <c r="K5440" s="377"/>
      <c r="L5440" s="378"/>
      <c r="M5440" s="377"/>
      <c r="N5440" s="377"/>
      <c r="O5440" s="380"/>
      <c r="P5440" s="380"/>
      <c r="Q5440" s="380"/>
    </row>
    <row r="5441" spans="1:17" x14ac:dyDescent="0.2">
      <c r="A5441" s="334" t="s">
        <v>1745</v>
      </c>
      <c r="B5441" s="380"/>
      <c r="C5441" s="334" t="s">
        <v>1887</v>
      </c>
      <c r="D5441" s="379"/>
      <c r="E5441" s="379"/>
      <c r="F5441" s="471"/>
      <c r="G5441" s="379"/>
      <c r="H5441" s="379"/>
      <c r="I5441" s="399"/>
      <c r="J5441" s="377"/>
      <c r="K5441" s="377"/>
      <c r="L5441" s="378"/>
      <c r="M5441" s="377"/>
      <c r="N5441" s="377"/>
      <c r="O5441" s="380"/>
      <c r="P5441" s="380"/>
      <c r="Q5441" s="380"/>
    </row>
    <row r="5442" spans="1:17" x14ac:dyDescent="0.2">
      <c r="A5442" s="334" t="s">
        <v>1906</v>
      </c>
      <c r="B5442" s="380"/>
      <c r="C5442" s="334" t="s">
        <v>39</v>
      </c>
      <c r="D5442" s="379"/>
      <c r="E5442" s="379"/>
      <c r="F5442" s="471"/>
      <c r="G5442" s="379"/>
      <c r="H5442" s="379"/>
      <c r="I5442" s="399"/>
      <c r="J5442" s="377"/>
      <c r="K5442" s="377"/>
      <c r="L5442" s="378"/>
      <c r="M5442" s="377"/>
      <c r="N5442" s="377"/>
      <c r="O5442" s="380"/>
      <c r="P5442" s="380"/>
      <c r="Q5442" s="380"/>
    </row>
    <row r="5443" spans="1:17" x14ac:dyDescent="0.2">
      <c r="A5443" s="334" t="s">
        <v>1576</v>
      </c>
      <c r="B5443" s="380"/>
      <c r="C5443" s="334" t="s">
        <v>1590</v>
      </c>
      <c r="D5443" s="379"/>
      <c r="E5443" s="379"/>
      <c r="F5443" s="471"/>
      <c r="G5443" s="379"/>
      <c r="H5443" s="379"/>
      <c r="I5443" s="399"/>
      <c r="J5443" s="377"/>
      <c r="K5443" s="377"/>
      <c r="L5443" s="378"/>
      <c r="M5443" s="377"/>
      <c r="N5443" s="377"/>
      <c r="O5443" s="380"/>
      <c r="P5443" s="380"/>
      <c r="Q5443" s="380"/>
    </row>
    <row r="5444" spans="1:17" x14ac:dyDescent="0.2">
      <c r="A5444" s="334" t="s">
        <v>1737</v>
      </c>
      <c r="B5444" s="380"/>
      <c r="C5444" s="334" t="s">
        <v>1984</v>
      </c>
      <c r="D5444" s="379"/>
      <c r="E5444" s="379"/>
      <c r="F5444" s="471"/>
      <c r="G5444" s="379"/>
      <c r="H5444" s="379"/>
      <c r="I5444" s="399"/>
      <c r="J5444" s="377"/>
      <c r="K5444" s="377"/>
      <c r="L5444" s="378"/>
      <c r="M5444" s="377"/>
      <c r="N5444" s="377"/>
      <c r="O5444" s="380"/>
      <c r="P5444" s="380"/>
      <c r="Q5444" s="380"/>
    </row>
    <row r="5445" spans="1:17" x14ac:dyDescent="0.2">
      <c r="A5445" s="384" t="s">
        <v>1726</v>
      </c>
      <c r="B5445" s="380"/>
      <c r="C5445" s="334" t="s">
        <v>1117</v>
      </c>
      <c r="D5445" s="379"/>
      <c r="E5445" s="379"/>
      <c r="F5445" s="471"/>
      <c r="G5445" s="379"/>
      <c r="H5445" s="379"/>
      <c r="I5445" s="399"/>
      <c r="J5445" s="377"/>
      <c r="K5445" s="377"/>
      <c r="L5445" s="378"/>
      <c r="M5445" s="377"/>
      <c r="N5445" s="377"/>
      <c r="O5445" s="380"/>
      <c r="P5445" s="380"/>
      <c r="Q5445" s="380"/>
    </row>
    <row r="5446" spans="1:17" x14ac:dyDescent="0.2">
      <c r="A5446" s="384" t="s">
        <v>1751</v>
      </c>
      <c r="B5446" s="380"/>
      <c r="C5446" s="334" t="s">
        <v>3138</v>
      </c>
      <c r="D5446" s="379">
        <v>500</v>
      </c>
      <c r="E5446" s="379"/>
      <c r="F5446" s="471"/>
      <c r="G5446" s="379"/>
      <c r="H5446" s="379"/>
      <c r="I5446" s="399"/>
      <c r="J5446" s="377">
        <v>500</v>
      </c>
      <c r="K5446" s="377"/>
      <c r="L5446" s="378"/>
      <c r="M5446" s="377"/>
      <c r="N5446" s="377"/>
      <c r="O5446" s="380"/>
      <c r="P5446" s="380"/>
      <c r="Q5446" s="380"/>
    </row>
    <row r="5447" spans="1:17" x14ac:dyDescent="0.2">
      <c r="A5447" s="334" t="s">
        <v>1752</v>
      </c>
      <c r="B5447" s="380"/>
      <c r="C5447" s="334" t="s">
        <v>367</v>
      </c>
      <c r="D5447" s="379"/>
      <c r="E5447" s="379"/>
      <c r="F5447" s="471"/>
      <c r="G5447" s="379"/>
      <c r="H5447" s="379"/>
      <c r="I5447" s="399"/>
      <c r="J5447" s="377"/>
      <c r="K5447" s="377"/>
      <c r="L5447" s="378"/>
      <c r="M5447" s="377"/>
      <c r="N5447" s="377"/>
      <c r="O5447" s="380"/>
      <c r="P5447" s="380"/>
      <c r="Q5447" s="380"/>
    </row>
    <row r="5448" spans="1:17" x14ac:dyDescent="0.2">
      <c r="A5448" s="334" t="s">
        <v>1734</v>
      </c>
      <c r="B5448" s="380"/>
      <c r="C5448" s="334" t="s">
        <v>1746</v>
      </c>
      <c r="D5448" s="379"/>
      <c r="E5448" s="379"/>
      <c r="F5448" s="471"/>
      <c r="G5448" s="379"/>
      <c r="H5448" s="379"/>
      <c r="I5448" s="399"/>
      <c r="J5448" s="377"/>
      <c r="K5448" s="377"/>
      <c r="L5448" s="378"/>
      <c r="M5448" s="377"/>
      <c r="N5448" s="377"/>
      <c r="O5448" s="380"/>
      <c r="P5448" s="380"/>
      <c r="Q5448" s="380"/>
    </row>
    <row r="5449" spans="1:17" x14ac:dyDescent="0.2">
      <c r="A5449" s="334" t="s">
        <v>1578</v>
      </c>
      <c r="B5449" s="380"/>
      <c r="C5449" s="334" t="s">
        <v>22</v>
      </c>
      <c r="D5449" s="379"/>
      <c r="E5449" s="379"/>
      <c r="F5449" s="471"/>
      <c r="G5449" s="379"/>
      <c r="H5449" s="379"/>
      <c r="I5449" s="399"/>
      <c r="J5449" s="377"/>
      <c r="K5449" s="377"/>
      <c r="L5449" s="378"/>
      <c r="M5449" s="377"/>
      <c r="N5449" s="377"/>
      <c r="O5449" s="380"/>
      <c r="P5449" s="380"/>
      <c r="Q5449" s="380"/>
    </row>
    <row r="5450" spans="1:17" x14ac:dyDescent="0.2">
      <c r="A5450" s="334" t="s">
        <v>1738</v>
      </c>
      <c r="B5450" s="380"/>
      <c r="C5450" s="334" t="s">
        <v>1591</v>
      </c>
      <c r="D5450" s="379"/>
      <c r="E5450" s="379"/>
      <c r="F5450" s="471"/>
      <c r="G5450" s="379"/>
      <c r="H5450" s="379"/>
      <c r="I5450" s="399"/>
      <c r="J5450" s="377"/>
      <c r="K5450" s="377"/>
      <c r="L5450" s="378"/>
      <c r="M5450" s="377"/>
      <c r="N5450" s="377"/>
      <c r="O5450" s="380"/>
      <c r="P5450" s="380"/>
      <c r="Q5450" s="380"/>
    </row>
    <row r="5451" spans="1:17" x14ac:dyDescent="0.2">
      <c r="A5451" s="334" t="s">
        <v>1727</v>
      </c>
      <c r="B5451" s="380"/>
      <c r="C5451" s="334" t="s">
        <v>307</v>
      </c>
      <c r="D5451" s="379"/>
      <c r="E5451" s="379"/>
      <c r="F5451" s="471"/>
      <c r="G5451" s="379"/>
      <c r="H5451" s="379"/>
      <c r="I5451" s="399"/>
      <c r="J5451" s="377"/>
      <c r="K5451" s="377"/>
      <c r="L5451" s="378"/>
      <c r="M5451" s="377"/>
      <c r="N5451" s="377"/>
      <c r="O5451" s="380"/>
      <c r="P5451" s="380"/>
      <c r="Q5451" s="380"/>
    </row>
    <row r="5452" spans="1:17" x14ac:dyDescent="0.2">
      <c r="A5452" s="334" t="s">
        <v>1728</v>
      </c>
      <c r="B5452" s="380"/>
      <c r="C5452" s="334" t="s">
        <v>310</v>
      </c>
      <c r="D5452" s="379"/>
      <c r="E5452" s="379"/>
      <c r="F5452" s="471"/>
      <c r="G5452" s="379"/>
      <c r="H5452" s="379"/>
      <c r="I5452" s="399"/>
      <c r="J5452" s="377"/>
      <c r="K5452" s="377"/>
      <c r="L5452" s="378"/>
      <c r="M5452" s="377"/>
      <c r="N5452" s="377"/>
      <c r="O5452" s="380"/>
      <c r="P5452" s="380"/>
      <c r="Q5452" s="380"/>
    </row>
    <row r="5453" spans="1:17" x14ac:dyDescent="0.2">
      <c r="A5453" s="334" t="s">
        <v>1729</v>
      </c>
      <c r="B5453" s="380"/>
      <c r="C5453" s="380" t="s">
        <v>1551</v>
      </c>
      <c r="D5453" s="379">
        <v>-1500</v>
      </c>
      <c r="E5453" s="379">
        <v>-150</v>
      </c>
      <c r="F5453" s="471">
        <v>-11.34</v>
      </c>
      <c r="G5453" s="379"/>
      <c r="H5453" s="379">
        <v>-80</v>
      </c>
      <c r="I5453" s="399"/>
      <c r="J5453" s="377"/>
      <c r="K5453" s="377"/>
      <c r="L5453" s="378"/>
      <c r="M5453" s="377"/>
      <c r="N5453" s="377"/>
      <c r="O5453" s="380"/>
      <c r="P5453" s="380"/>
      <c r="Q5453" s="380"/>
    </row>
    <row r="5454" spans="1:17" x14ac:dyDescent="0.2">
      <c r="A5454" s="334" t="s">
        <v>1735</v>
      </c>
      <c r="B5454" s="380"/>
      <c r="C5454" s="380" t="s">
        <v>194</v>
      </c>
      <c r="D5454" s="379"/>
      <c r="E5454" s="379"/>
      <c r="F5454" s="471"/>
      <c r="G5454" s="379"/>
      <c r="H5454" s="379"/>
      <c r="I5454" s="399"/>
      <c r="J5454" s="377"/>
      <c r="K5454" s="377"/>
      <c r="L5454" s="378"/>
      <c r="M5454" s="377"/>
      <c r="N5454" s="377"/>
      <c r="O5454" s="380"/>
      <c r="P5454" s="380"/>
      <c r="Q5454" s="380"/>
    </row>
    <row r="5455" spans="1:17" x14ac:dyDescent="0.2">
      <c r="A5455" s="334" t="s">
        <v>1741</v>
      </c>
      <c r="B5455" s="380"/>
      <c r="C5455" s="334" t="s">
        <v>1748</v>
      </c>
      <c r="D5455" s="379"/>
      <c r="E5455" s="379"/>
      <c r="F5455" s="471"/>
      <c r="G5455" s="379"/>
      <c r="H5455" s="379"/>
      <c r="I5455" s="399"/>
      <c r="J5455" s="377"/>
      <c r="K5455" s="377"/>
      <c r="L5455" s="378"/>
      <c r="M5455" s="377"/>
      <c r="N5455" s="377"/>
      <c r="O5455" s="380"/>
      <c r="P5455" s="380"/>
      <c r="Q5455" s="380"/>
    </row>
    <row r="5456" spans="1:17" x14ac:dyDescent="0.2">
      <c r="A5456" s="334" t="s">
        <v>1742</v>
      </c>
      <c r="B5456" s="380"/>
      <c r="C5456" s="334" t="s">
        <v>1553</v>
      </c>
      <c r="D5456" s="379"/>
      <c r="E5456" s="379"/>
      <c r="F5456" s="471"/>
      <c r="G5456" s="379"/>
      <c r="H5456" s="379"/>
      <c r="I5456" s="399"/>
      <c r="J5456" s="377"/>
      <c r="K5456" s="377"/>
      <c r="L5456" s="378"/>
      <c r="M5456" s="377"/>
      <c r="N5456" s="377"/>
      <c r="O5456" s="380"/>
      <c r="P5456" s="380"/>
      <c r="Q5456" s="380"/>
    </row>
    <row r="5457" spans="1:17" x14ac:dyDescent="0.2">
      <c r="A5457" s="334" t="s">
        <v>1584</v>
      </c>
      <c r="B5457" s="380"/>
      <c r="C5457" s="334" t="s">
        <v>0</v>
      </c>
      <c r="D5457" s="379"/>
      <c r="E5457" s="379"/>
      <c r="F5457" s="471"/>
      <c r="G5457" s="379"/>
      <c r="H5457" s="379"/>
      <c r="I5457" s="399"/>
      <c r="J5457" s="377"/>
      <c r="K5457" s="377"/>
      <c r="L5457" s="378"/>
      <c r="M5457" s="377"/>
      <c r="N5457" s="377"/>
      <c r="O5457" s="380"/>
      <c r="P5457" s="380"/>
      <c r="Q5457" s="380"/>
    </row>
    <row r="5458" spans="1:17" x14ac:dyDescent="0.2">
      <c r="A5458" s="334" t="s">
        <v>1730</v>
      </c>
      <c r="B5458" s="380"/>
      <c r="C5458" s="334" t="s">
        <v>1985</v>
      </c>
      <c r="D5458" s="379">
        <v>1000</v>
      </c>
      <c r="E5458" s="379"/>
      <c r="F5458" s="471"/>
      <c r="G5458" s="379"/>
      <c r="H5458" s="379"/>
      <c r="I5458" s="399"/>
      <c r="J5458" s="377">
        <v>1000</v>
      </c>
      <c r="K5458" s="377"/>
      <c r="L5458" s="378"/>
      <c r="M5458" s="377"/>
      <c r="N5458" s="377"/>
      <c r="O5458" s="380"/>
      <c r="P5458" s="380"/>
      <c r="Q5458" s="380"/>
    </row>
    <row r="5459" spans="1:17" x14ac:dyDescent="0.2">
      <c r="A5459" s="334" t="s">
        <v>1566</v>
      </c>
      <c r="B5459" s="380"/>
      <c r="C5459" s="334" t="s">
        <v>366</v>
      </c>
      <c r="D5459" s="379"/>
      <c r="E5459" s="379"/>
      <c r="F5459" s="471"/>
      <c r="G5459" s="379"/>
      <c r="H5459" s="379"/>
      <c r="I5459" s="399"/>
      <c r="J5459" s="377"/>
      <c r="K5459" s="377"/>
      <c r="L5459" s="378"/>
      <c r="M5459" s="377"/>
      <c r="N5459" s="377"/>
      <c r="O5459" s="380"/>
      <c r="P5459" s="380"/>
      <c r="Q5459" s="380"/>
    </row>
    <row r="5460" spans="1:17" x14ac:dyDescent="0.2">
      <c r="A5460" s="334" t="s">
        <v>1587</v>
      </c>
      <c r="B5460" s="380"/>
      <c r="C5460" s="334" t="s">
        <v>34</v>
      </c>
      <c r="D5460" s="377"/>
      <c r="E5460" s="377"/>
      <c r="F5460" s="378"/>
      <c r="G5460" s="377"/>
      <c r="H5460" s="377"/>
      <c r="I5460" s="399"/>
      <c r="J5460" s="377"/>
      <c r="K5460" s="377"/>
      <c r="L5460" s="378"/>
      <c r="M5460" s="377"/>
      <c r="N5460" s="377"/>
      <c r="O5460" s="380"/>
      <c r="P5460" s="380"/>
      <c r="Q5460" s="380"/>
    </row>
    <row r="5461" spans="1:17" x14ac:dyDescent="0.2">
      <c r="A5461" s="334" t="s">
        <v>1903</v>
      </c>
      <c r="B5461" s="380"/>
      <c r="C5461" s="334" t="s">
        <v>35</v>
      </c>
      <c r="D5461" s="377"/>
      <c r="E5461" s="377"/>
      <c r="F5461" s="378"/>
      <c r="G5461" s="377"/>
      <c r="H5461" s="377"/>
      <c r="I5461" s="399"/>
      <c r="J5461" s="377"/>
      <c r="K5461" s="377"/>
      <c r="L5461" s="378"/>
      <c r="M5461" s="377"/>
      <c r="N5461" s="377"/>
      <c r="O5461" s="380"/>
      <c r="P5461" s="380"/>
      <c r="Q5461" s="380"/>
    </row>
    <row r="5462" spans="1:17" x14ac:dyDescent="0.2">
      <c r="A5462" s="334" t="s">
        <v>1962</v>
      </c>
      <c r="B5462" s="380"/>
      <c r="C5462" s="380" t="s">
        <v>572</v>
      </c>
      <c r="D5462" s="377"/>
      <c r="E5462" s="380"/>
      <c r="F5462" s="378"/>
      <c r="G5462" s="380"/>
      <c r="H5462" s="380"/>
      <c r="I5462" s="399"/>
      <c r="J5462" s="377"/>
      <c r="K5462" s="382"/>
      <c r="L5462" s="380"/>
      <c r="M5462" s="380"/>
      <c r="N5462" s="380"/>
      <c r="O5462" s="380"/>
      <c r="P5462" s="380"/>
      <c r="Q5462" s="380"/>
    </row>
    <row r="5463" spans="1:17" x14ac:dyDescent="0.2">
      <c r="A5463" s="334" t="s">
        <v>1567</v>
      </c>
      <c r="B5463" s="380"/>
      <c r="C5463" s="334" t="s">
        <v>3142</v>
      </c>
      <c r="D5463" s="377"/>
      <c r="E5463" s="377"/>
      <c r="F5463" s="378"/>
      <c r="G5463" s="377"/>
      <c r="H5463" s="377"/>
      <c r="I5463" s="399"/>
      <c r="J5463" s="377"/>
      <c r="K5463" s="377"/>
      <c r="L5463" s="378"/>
      <c r="M5463" s="377"/>
      <c r="N5463" s="377"/>
      <c r="O5463" s="380"/>
      <c r="P5463" s="380"/>
      <c r="Q5463" s="380"/>
    </row>
    <row r="5464" spans="1:17" x14ac:dyDescent="0.2">
      <c r="A5464" s="380"/>
      <c r="B5464" s="380"/>
      <c r="C5464" s="380"/>
      <c r="D5464" s="394"/>
      <c r="E5464" s="394"/>
      <c r="F5464" s="413"/>
      <c r="G5464" s="394"/>
      <c r="H5464" s="394"/>
      <c r="I5464" s="385"/>
      <c r="J5464" s="394"/>
      <c r="K5464" s="394"/>
      <c r="L5464" s="413"/>
      <c r="M5464" s="394"/>
      <c r="N5464" s="394"/>
      <c r="O5464" s="380"/>
      <c r="P5464" s="380"/>
      <c r="Q5464" s="380"/>
    </row>
    <row r="5465" spans="1:17" x14ac:dyDescent="0.2">
      <c r="A5465" s="380"/>
      <c r="B5465" s="380"/>
      <c r="C5465" s="380"/>
      <c r="D5465" s="334">
        <f>SUM(D5435:D5463)</f>
        <v>0</v>
      </c>
      <c r="E5465" s="334">
        <f>SUM(E5434:E5463)</f>
        <v>600</v>
      </c>
      <c r="F5465" s="412">
        <f>SUM(F5434:F5463)</f>
        <v>388.66</v>
      </c>
      <c r="G5465" s="334"/>
      <c r="H5465" s="334">
        <f>SUM(H5434:H5463)</f>
        <v>320</v>
      </c>
      <c r="I5465" s="399"/>
      <c r="J5465" s="334">
        <f>SUM(J5435:J5463)</f>
        <v>1500</v>
      </c>
      <c r="K5465" s="334">
        <f>SUM(K5434:K5463)</f>
        <v>750</v>
      </c>
      <c r="L5465" s="412">
        <f>SUM(L5434:L5463)</f>
        <v>400</v>
      </c>
      <c r="M5465" s="334"/>
      <c r="N5465" s="334">
        <f>SUM(N5434:N5463)</f>
        <v>400</v>
      </c>
      <c r="O5465" s="380"/>
      <c r="P5465" s="380"/>
      <c r="Q5465" s="380"/>
    </row>
    <row r="5466" spans="1:17" ht="15.75" thickTop="1" x14ac:dyDescent="0.2">
      <c r="A5466" s="380"/>
      <c r="B5466" s="380"/>
      <c r="C5466" s="380"/>
      <c r="D5466" s="395">
        <f>D5465-D5435</f>
        <v>0</v>
      </c>
      <c r="E5466" s="395">
        <f>E5465-E5434</f>
        <v>600</v>
      </c>
      <c r="F5466" s="401">
        <f>F5465-F5434</f>
        <v>388.66</v>
      </c>
      <c r="G5466" s="395"/>
      <c r="H5466" s="395">
        <f>H5465-H5434</f>
        <v>320</v>
      </c>
      <c r="I5466" s="382"/>
      <c r="J5466" s="395">
        <f>J5465-J5435</f>
        <v>1500</v>
      </c>
      <c r="K5466" s="395">
        <f>K5465-K5434</f>
        <v>750</v>
      </c>
      <c r="L5466" s="401">
        <f>L5465-L5434</f>
        <v>400</v>
      </c>
      <c r="M5466" s="395"/>
      <c r="N5466" s="395">
        <f>N5465-N5434</f>
        <v>400</v>
      </c>
      <c r="O5466" s="380"/>
      <c r="P5466" s="380"/>
      <c r="Q5466" s="380"/>
    </row>
    <row r="5467" spans="1:17" x14ac:dyDescent="0.2">
      <c r="A5467" s="334" t="s">
        <v>342</v>
      </c>
      <c r="B5467" s="380"/>
      <c r="C5467" s="334" t="s">
        <v>342</v>
      </c>
      <c r="D5467" s="380"/>
      <c r="E5467" s="334"/>
      <c r="F5467" s="412"/>
      <c r="G5467" s="334"/>
      <c r="H5467" s="380"/>
      <c r="I5467" s="385"/>
      <c r="J5467" s="380"/>
      <c r="K5467" s="334"/>
      <c r="L5467" s="412"/>
      <c r="M5467" s="334"/>
      <c r="N5467" s="380"/>
      <c r="O5467" s="380"/>
      <c r="P5467" s="380"/>
      <c r="Q5467" s="380"/>
    </row>
    <row r="5468" spans="1:17" x14ac:dyDescent="0.2">
      <c r="A5468" s="334" t="s">
        <v>300</v>
      </c>
      <c r="B5468" s="380"/>
      <c r="C5468" s="380"/>
      <c r="D5468" s="334"/>
      <c r="E5468" s="384" t="s">
        <v>302</v>
      </c>
      <c r="F5468" s="412"/>
      <c r="G5468" s="334"/>
      <c r="H5468" s="380"/>
      <c r="I5468" s="443"/>
      <c r="J5468" s="334"/>
      <c r="K5468" s="384" t="s">
        <v>302</v>
      </c>
      <c r="L5468" s="412"/>
      <c r="M5468" s="334"/>
      <c r="N5468" s="380"/>
      <c r="O5468" s="380"/>
      <c r="P5468" s="380"/>
      <c r="Q5468" s="380"/>
    </row>
    <row r="5469" spans="1:17" x14ac:dyDescent="0.2">
      <c r="A5469" s="334" t="s">
        <v>342</v>
      </c>
      <c r="B5469" s="380"/>
      <c r="C5469" s="334"/>
      <c r="D5469" s="442" t="s">
        <v>301</v>
      </c>
      <c r="E5469" s="334" t="s">
        <v>299</v>
      </c>
      <c r="F5469" s="412"/>
      <c r="G5469" s="334"/>
      <c r="H5469" s="382"/>
      <c r="I5469" s="385"/>
      <c r="J5469" s="442" t="s">
        <v>301</v>
      </c>
      <c r="K5469" s="334" t="s">
        <v>299</v>
      </c>
      <c r="L5469" s="412"/>
      <c r="M5469" s="334"/>
      <c r="N5469" s="382"/>
      <c r="O5469" s="380"/>
      <c r="P5469" s="380"/>
      <c r="Q5469" s="380"/>
    </row>
    <row r="5470" spans="1:17" x14ac:dyDescent="0.2">
      <c r="A5470" s="334" t="s">
        <v>342</v>
      </c>
      <c r="B5470" s="380"/>
      <c r="C5470" s="334" t="s">
        <v>342</v>
      </c>
      <c r="D5470" s="334" t="s">
        <v>69</v>
      </c>
      <c r="E5470" s="334" t="s">
        <v>181</v>
      </c>
      <c r="F5470" s="412"/>
      <c r="G5470" s="334"/>
      <c r="H5470" s="385"/>
      <c r="I5470" s="385"/>
      <c r="J5470" s="334" t="s">
        <v>69</v>
      </c>
      <c r="K5470" s="334" t="s">
        <v>181</v>
      </c>
      <c r="L5470" s="412"/>
      <c r="M5470" s="334"/>
      <c r="N5470" s="385"/>
      <c r="O5470" s="380"/>
      <c r="P5470" s="380"/>
      <c r="Q5470" s="380"/>
    </row>
    <row r="5471" spans="1:17" x14ac:dyDescent="0.2">
      <c r="A5471" s="334" t="s">
        <v>1723</v>
      </c>
      <c r="B5471" s="380"/>
      <c r="C5471" s="334" t="s">
        <v>1880</v>
      </c>
      <c r="D5471" s="334" t="s">
        <v>181</v>
      </c>
      <c r="E5471" s="380"/>
      <c r="F5471" s="378"/>
      <c r="G5471" s="380"/>
      <c r="H5471" s="382"/>
      <c r="I5471" s="382"/>
      <c r="J5471" s="334" t="s">
        <v>181</v>
      </c>
      <c r="K5471" s="380"/>
      <c r="L5471" s="378"/>
      <c r="M5471" s="380"/>
      <c r="N5471" s="382"/>
      <c r="O5471" s="380"/>
      <c r="P5471" s="380"/>
      <c r="Q5471" s="380"/>
    </row>
    <row r="5472" spans="1:17" x14ac:dyDescent="0.2">
      <c r="A5472" s="380"/>
      <c r="B5472" s="380"/>
      <c r="C5472" s="380"/>
      <c r="D5472" s="380"/>
      <c r="E5472" s="377"/>
      <c r="F5472" s="378"/>
      <c r="G5472" s="377"/>
      <c r="H5472" s="399"/>
      <c r="I5472" s="399"/>
      <c r="J5472" s="380"/>
      <c r="K5472" s="377"/>
      <c r="L5472" s="378"/>
      <c r="M5472" s="377"/>
      <c r="N5472" s="399"/>
      <c r="O5472" s="380"/>
      <c r="P5472" s="380"/>
      <c r="Q5472" s="380"/>
    </row>
    <row r="5473" spans="1:17" x14ac:dyDescent="0.2">
      <c r="A5473" s="334" t="s">
        <v>1568</v>
      </c>
      <c r="B5473" s="380"/>
      <c r="C5473" s="380" t="s">
        <v>1817</v>
      </c>
      <c r="D5473" s="377"/>
      <c r="E5473" s="377"/>
      <c r="F5473" s="378"/>
      <c r="G5473" s="377"/>
      <c r="H5473" s="399"/>
      <c r="I5473" s="399"/>
      <c r="J5473" s="377"/>
      <c r="K5473" s="377"/>
      <c r="L5473" s="378"/>
      <c r="M5473" s="377"/>
      <c r="N5473" s="399"/>
      <c r="O5473" s="380"/>
      <c r="P5473" s="380"/>
      <c r="Q5473" s="380"/>
    </row>
    <row r="5474" spans="1:17" x14ac:dyDescent="0.2">
      <c r="A5474" s="334" t="s">
        <v>1724</v>
      </c>
      <c r="B5474" s="380"/>
      <c r="C5474" s="334" t="s">
        <v>1881</v>
      </c>
      <c r="D5474" s="379">
        <v>400</v>
      </c>
      <c r="E5474" s="377"/>
      <c r="F5474" s="378"/>
      <c r="G5474" s="377"/>
      <c r="H5474" s="399"/>
      <c r="I5474" s="399"/>
      <c r="J5474" s="377">
        <v>400</v>
      </c>
      <c r="K5474" s="377"/>
      <c r="L5474" s="378"/>
      <c r="M5474" s="377"/>
      <c r="N5474" s="399"/>
      <c r="O5474" s="380"/>
      <c r="P5474" s="380"/>
      <c r="Q5474" s="380"/>
    </row>
    <row r="5475" spans="1:17" x14ac:dyDescent="0.2">
      <c r="A5475" s="334" t="s">
        <v>1961</v>
      </c>
      <c r="B5475" s="380"/>
      <c r="C5475" s="334" t="s">
        <v>9</v>
      </c>
      <c r="D5475" s="377"/>
      <c r="E5475" s="377"/>
      <c r="F5475" s="378"/>
      <c r="G5475" s="377"/>
      <c r="H5475" s="399"/>
      <c r="I5475" s="399"/>
      <c r="J5475" s="377"/>
      <c r="K5475" s="377"/>
      <c r="L5475" s="378"/>
      <c r="M5475" s="377"/>
      <c r="N5475" s="399"/>
      <c r="O5475" s="380"/>
      <c r="P5475" s="380"/>
      <c r="Q5475" s="380"/>
    </row>
    <row r="5476" spans="1:17" x14ac:dyDescent="0.2">
      <c r="A5476" s="334" t="s">
        <v>1736</v>
      </c>
      <c r="B5476" s="380"/>
      <c r="C5476" s="334" t="s">
        <v>1747</v>
      </c>
      <c r="D5476" s="377"/>
      <c r="E5476" s="377"/>
      <c r="F5476" s="378"/>
      <c r="G5476" s="377"/>
      <c r="H5476" s="399"/>
      <c r="I5476" s="399"/>
      <c r="J5476" s="377"/>
      <c r="K5476" s="377"/>
      <c r="L5476" s="378"/>
      <c r="M5476" s="377"/>
      <c r="N5476" s="399"/>
      <c r="O5476" s="380"/>
      <c r="P5476" s="380"/>
      <c r="Q5476" s="380"/>
    </row>
    <row r="5477" spans="1:17" x14ac:dyDescent="0.2">
      <c r="A5477" s="334" t="s">
        <v>1744</v>
      </c>
      <c r="B5477" s="380"/>
      <c r="C5477" s="334" t="s">
        <v>1254</v>
      </c>
      <c r="D5477" s="377"/>
      <c r="E5477" s="377"/>
      <c r="F5477" s="378"/>
      <c r="G5477" s="377"/>
      <c r="H5477" s="399"/>
      <c r="I5477" s="399"/>
      <c r="J5477" s="377"/>
      <c r="K5477" s="377"/>
      <c r="L5477" s="378"/>
      <c r="M5477" s="377"/>
      <c r="N5477" s="399"/>
      <c r="O5477" s="380"/>
      <c r="P5477" s="380"/>
      <c r="Q5477" s="380"/>
    </row>
    <row r="5478" spans="1:17" x14ac:dyDescent="0.2">
      <c r="A5478" s="334" t="s">
        <v>1582</v>
      </c>
      <c r="B5478" s="380"/>
      <c r="C5478" s="334" t="s">
        <v>3135</v>
      </c>
      <c r="D5478" s="377"/>
      <c r="E5478" s="377"/>
      <c r="F5478" s="378"/>
      <c r="G5478" s="377"/>
      <c r="H5478" s="399"/>
      <c r="I5478" s="399"/>
      <c r="J5478" s="377"/>
      <c r="K5478" s="377"/>
      <c r="L5478" s="378"/>
      <c r="M5478" s="377"/>
      <c r="N5478" s="399"/>
      <c r="O5478" s="380"/>
      <c r="P5478" s="380"/>
      <c r="Q5478" s="380"/>
    </row>
    <row r="5479" spans="1:17" x14ac:dyDescent="0.2">
      <c r="A5479" s="334" t="s">
        <v>1745</v>
      </c>
      <c r="B5479" s="380"/>
      <c r="C5479" s="334" t="s">
        <v>1887</v>
      </c>
      <c r="D5479" s="377"/>
      <c r="E5479" s="377"/>
      <c r="F5479" s="378"/>
      <c r="G5479" s="377"/>
      <c r="H5479" s="399"/>
      <c r="I5479" s="399"/>
      <c r="J5479" s="377"/>
      <c r="K5479" s="377"/>
      <c r="L5479" s="378"/>
      <c r="M5479" s="377"/>
      <c r="N5479" s="399"/>
      <c r="O5479" s="380"/>
      <c r="P5479" s="380"/>
      <c r="Q5479" s="380"/>
    </row>
    <row r="5480" spans="1:17" x14ac:dyDescent="0.2">
      <c r="A5480" s="334" t="s">
        <v>1906</v>
      </c>
      <c r="B5480" s="380"/>
      <c r="C5480" s="334" t="s">
        <v>39</v>
      </c>
      <c r="D5480" s="377"/>
      <c r="E5480" s="377"/>
      <c r="F5480" s="378"/>
      <c r="G5480" s="377"/>
      <c r="H5480" s="399"/>
      <c r="I5480" s="399"/>
      <c r="J5480" s="377"/>
      <c r="K5480" s="377"/>
      <c r="L5480" s="378"/>
      <c r="M5480" s="377"/>
      <c r="N5480" s="399"/>
      <c r="O5480" s="380"/>
      <c r="P5480" s="380"/>
      <c r="Q5480" s="380"/>
    </row>
    <row r="5481" spans="1:17" x14ac:dyDescent="0.2">
      <c r="A5481" s="334" t="s">
        <v>1576</v>
      </c>
      <c r="B5481" s="380"/>
      <c r="C5481" s="334" t="s">
        <v>1590</v>
      </c>
      <c r="D5481" s="377"/>
      <c r="E5481" s="377"/>
      <c r="F5481" s="378"/>
      <c r="G5481" s="377"/>
      <c r="H5481" s="399"/>
      <c r="I5481" s="399"/>
      <c r="J5481" s="377"/>
      <c r="K5481" s="377"/>
      <c r="L5481" s="378"/>
      <c r="M5481" s="377"/>
      <c r="N5481" s="399"/>
      <c r="O5481" s="380"/>
      <c r="P5481" s="380"/>
      <c r="Q5481" s="380"/>
    </row>
    <row r="5482" spans="1:17" x14ac:dyDescent="0.2">
      <c r="A5482" s="334" t="s">
        <v>1737</v>
      </c>
      <c r="B5482" s="380"/>
      <c r="C5482" s="334" t="s">
        <v>1984</v>
      </c>
      <c r="D5482" s="377"/>
      <c r="E5482" s="377"/>
      <c r="F5482" s="378"/>
      <c r="G5482" s="377"/>
      <c r="H5482" s="399"/>
      <c r="I5482" s="399"/>
      <c r="J5482" s="377"/>
      <c r="K5482" s="377"/>
      <c r="L5482" s="378"/>
      <c r="M5482" s="377"/>
      <c r="N5482" s="399"/>
      <c r="O5482" s="380"/>
      <c r="P5482" s="380"/>
      <c r="Q5482" s="380"/>
    </row>
    <row r="5483" spans="1:17" x14ac:dyDescent="0.2">
      <c r="A5483" s="334" t="s">
        <v>1752</v>
      </c>
      <c r="B5483" s="380"/>
      <c r="C5483" s="334" t="s">
        <v>367</v>
      </c>
      <c r="D5483" s="377"/>
      <c r="E5483" s="377"/>
      <c r="F5483" s="378"/>
      <c r="G5483" s="377"/>
      <c r="H5483" s="399"/>
      <c r="I5483" s="399"/>
      <c r="J5483" s="377"/>
      <c r="K5483" s="377"/>
      <c r="L5483" s="378"/>
      <c r="M5483" s="377"/>
      <c r="N5483" s="399"/>
      <c r="O5483" s="380"/>
      <c r="P5483" s="380"/>
      <c r="Q5483" s="380"/>
    </row>
    <row r="5484" spans="1:17" x14ac:dyDescent="0.2">
      <c r="A5484" s="384" t="s">
        <v>1952</v>
      </c>
      <c r="B5484" s="380"/>
      <c r="C5484" s="334" t="s">
        <v>1251</v>
      </c>
      <c r="D5484" s="377"/>
      <c r="E5484" s="377"/>
      <c r="F5484" s="378"/>
      <c r="G5484" s="377"/>
      <c r="H5484" s="399"/>
      <c r="I5484" s="399"/>
      <c r="J5484" s="377"/>
      <c r="K5484" s="377"/>
      <c r="L5484" s="378"/>
      <c r="M5484" s="377"/>
      <c r="N5484" s="399"/>
      <c r="O5484" s="380"/>
      <c r="P5484" s="380"/>
      <c r="Q5484" s="380"/>
    </row>
    <row r="5485" spans="1:17" x14ac:dyDescent="0.2">
      <c r="A5485" s="334" t="s">
        <v>1734</v>
      </c>
      <c r="B5485" s="380"/>
      <c r="C5485" s="334" t="s">
        <v>1746</v>
      </c>
      <c r="D5485" s="377"/>
      <c r="E5485" s="377"/>
      <c r="F5485" s="378"/>
      <c r="G5485" s="377"/>
      <c r="H5485" s="399"/>
      <c r="I5485" s="399"/>
      <c r="J5485" s="377"/>
      <c r="K5485" s="377"/>
      <c r="L5485" s="378"/>
      <c r="M5485" s="377"/>
      <c r="N5485" s="399"/>
      <c r="O5485" s="380"/>
      <c r="P5485" s="380"/>
      <c r="Q5485" s="380"/>
    </row>
    <row r="5486" spans="1:17" x14ac:dyDescent="0.2">
      <c r="A5486" s="334" t="s">
        <v>1578</v>
      </c>
      <c r="B5486" s="380"/>
      <c r="C5486" s="334" t="s">
        <v>22</v>
      </c>
      <c r="D5486" s="377"/>
      <c r="E5486" s="377"/>
      <c r="F5486" s="378"/>
      <c r="G5486" s="377"/>
      <c r="H5486" s="399"/>
      <c r="I5486" s="399"/>
      <c r="J5486" s="377"/>
      <c r="K5486" s="377"/>
      <c r="L5486" s="378"/>
      <c r="M5486" s="377"/>
      <c r="N5486" s="399"/>
      <c r="O5486" s="380"/>
      <c r="P5486" s="380"/>
      <c r="Q5486" s="380"/>
    </row>
    <row r="5487" spans="1:17" x14ac:dyDescent="0.2">
      <c r="A5487" s="334" t="s">
        <v>1738</v>
      </c>
      <c r="B5487" s="380"/>
      <c r="C5487" s="334" t="s">
        <v>1591</v>
      </c>
      <c r="D5487" s="377"/>
      <c r="E5487" s="377"/>
      <c r="F5487" s="378"/>
      <c r="G5487" s="377"/>
      <c r="H5487" s="399"/>
      <c r="I5487" s="399"/>
      <c r="J5487" s="377"/>
      <c r="K5487" s="377"/>
      <c r="L5487" s="378"/>
      <c r="M5487" s="377"/>
      <c r="N5487" s="399"/>
      <c r="O5487" s="380"/>
      <c r="P5487" s="380"/>
      <c r="Q5487" s="380"/>
    </row>
    <row r="5488" spans="1:17" x14ac:dyDescent="0.2">
      <c r="A5488" s="334" t="s">
        <v>1727</v>
      </c>
      <c r="B5488" s="380"/>
      <c r="C5488" s="334" t="s">
        <v>307</v>
      </c>
      <c r="D5488" s="377"/>
      <c r="E5488" s="377"/>
      <c r="F5488" s="378"/>
      <c r="G5488" s="377"/>
      <c r="H5488" s="399"/>
      <c r="I5488" s="399"/>
      <c r="J5488" s="377"/>
      <c r="K5488" s="377"/>
      <c r="L5488" s="378"/>
      <c r="M5488" s="377"/>
      <c r="N5488" s="399"/>
      <c r="O5488" s="380"/>
      <c r="P5488" s="380"/>
      <c r="Q5488" s="380"/>
    </row>
    <row r="5489" spans="1:17" x14ac:dyDescent="0.2">
      <c r="A5489" s="334" t="s">
        <v>1728</v>
      </c>
      <c r="B5489" s="380"/>
      <c r="C5489" s="334" t="s">
        <v>310</v>
      </c>
      <c r="D5489" s="377"/>
      <c r="E5489" s="377"/>
      <c r="F5489" s="378"/>
      <c r="G5489" s="377"/>
      <c r="H5489" s="399"/>
      <c r="I5489" s="399"/>
      <c r="J5489" s="377"/>
      <c r="K5489" s="377"/>
      <c r="L5489" s="378"/>
      <c r="M5489" s="377"/>
      <c r="N5489" s="399"/>
      <c r="O5489" s="380"/>
      <c r="P5489" s="380"/>
      <c r="Q5489" s="380"/>
    </row>
    <row r="5490" spans="1:17" x14ac:dyDescent="0.2">
      <c r="A5490" s="334" t="s">
        <v>1729</v>
      </c>
      <c r="B5490" s="380"/>
      <c r="C5490" s="380" t="s">
        <v>1551</v>
      </c>
      <c r="D5490" s="377">
        <v>-80</v>
      </c>
      <c r="E5490" s="377"/>
      <c r="F5490" s="378"/>
      <c r="G5490" s="377"/>
      <c r="H5490" s="399"/>
      <c r="I5490" s="399"/>
      <c r="J5490" s="377"/>
      <c r="K5490" s="377"/>
      <c r="L5490" s="378"/>
      <c r="M5490" s="377"/>
      <c r="N5490" s="399"/>
      <c r="O5490" s="380"/>
      <c r="P5490" s="380"/>
      <c r="Q5490" s="380"/>
    </row>
    <row r="5491" spans="1:17" x14ac:dyDescent="0.2">
      <c r="A5491" s="334" t="s">
        <v>1735</v>
      </c>
      <c r="B5491" s="380"/>
      <c r="C5491" s="380" t="s">
        <v>194</v>
      </c>
      <c r="D5491" s="377"/>
      <c r="E5491" s="377"/>
      <c r="F5491" s="378"/>
      <c r="G5491" s="377"/>
      <c r="H5491" s="399"/>
      <c r="I5491" s="399"/>
      <c r="J5491" s="377"/>
      <c r="K5491" s="377"/>
      <c r="L5491" s="378"/>
      <c r="M5491" s="377"/>
      <c r="N5491" s="399"/>
      <c r="O5491" s="380"/>
      <c r="P5491" s="380"/>
      <c r="Q5491" s="380"/>
    </row>
    <row r="5492" spans="1:17" x14ac:dyDescent="0.2">
      <c r="A5492" s="334" t="s">
        <v>1741</v>
      </c>
      <c r="B5492" s="380"/>
      <c r="C5492" s="334" t="s">
        <v>1748</v>
      </c>
      <c r="D5492" s="377"/>
      <c r="E5492" s="377"/>
      <c r="F5492" s="378"/>
      <c r="G5492" s="377"/>
      <c r="H5492" s="399"/>
      <c r="I5492" s="399"/>
      <c r="J5492" s="377"/>
      <c r="K5492" s="377"/>
      <c r="L5492" s="378"/>
      <c r="M5492" s="377"/>
      <c r="N5492" s="399"/>
      <c r="O5492" s="380"/>
      <c r="P5492" s="380"/>
      <c r="Q5492" s="380"/>
    </row>
    <row r="5493" spans="1:17" x14ac:dyDescent="0.2">
      <c r="A5493" s="334" t="s">
        <v>1742</v>
      </c>
      <c r="B5493" s="380"/>
      <c r="C5493" s="334" t="s">
        <v>1553</v>
      </c>
      <c r="D5493" s="377"/>
      <c r="E5493" s="377"/>
      <c r="F5493" s="378"/>
      <c r="G5493" s="377"/>
      <c r="H5493" s="399"/>
      <c r="I5493" s="399"/>
      <c r="J5493" s="377"/>
      <c r="K5493" s="377"/>
      <c r="L5493" s="378"/>
      <c r="M5493" s="377"/>
      <c r="N5493" s="399"/>
      <c r="O5493" s="380"/>
      <c r="P5493" s="380"/>
      <c r="Q5493" s="380"/>
    </row>
    <row r="5494" spans="1:17" x14ac:dyDescent="0.2">
      <c r="A5494" s="334" t="s">
        <v>1584</v>
      </c>
      <c r="B5494" s="380"/>
      <c r="C5494" s="334" t="s">
        <v>0</v>
      </c>
      <c r="D5494" s="377"/>
      <c r="E5494" s="377"/>
      <c r="F5494" s="378"/>
      <c r="G5494" s="377"/>
      <c r="H5494" s="399"/>
      <c r="I5494" s="399"/>
      <c r="J5494" s="377"/>
      <c r="K5494" s="377"/>
      <c r="L5494" s="378"/>
      <c r="M5494" s="377"/>
      <c r="N5494" s="399"/>
      <c r="O5494" s="380"/>
      <c r="P5494" s="380"/>
      <c r="Q5494" s="380"/>
    </row>
    <row r="5495" spans="1:17" x14ac:dyDescent="0.2">
      <c r="A5495" s="334" t="s">
        <v>1730</v>
      </c>
      <c r="B5495" s="380"/>
      <c r="C5495" s="334" t="s">
        <v>1985</v>
      </c>
      <c r="D5495" s="377"/>
      <c r="E5495" s="377"/>
      <c r="F5495" s="378"/>
      <c r="G5495" s="377"/>
      <c r="H5495" s="399"/>
      <c r="I5495" s="399"/>
      <c r="J5495" s="377"/>
      <c r="K5495" s="377"/>
      <c r="L5495" s="378"/>
      <c r="M5495" s="377"/>
      <c r="N5495" s="399"/>
      <c r="O5495" s="380"/>
      <c r="P5495" s="380"/>
      <c r="Q5495" s="380"/>
    </row>
    <row r="5496" spans="1:17" x14ac:dyDescent="0.2">
      <c r="A5496" s="334" t="s">
        <v>1566</v>
      </c>
      <c r="B5496" s="380"/>
      <c r="C5496" s="334" t="s">
        <v>366</v>
      </c>
      <c r="D5496" s="377"/>
      <c r="E5496" s="377"/>
      <c r="F5496" s="378"/>
      <c r="G5496" s="377"/>
      <c r="H5496" s="399"/>
      <c r="I5496" s="399"/>
      <c r="J5496" s="377"/>
      <c r="K5496" s="377"/>
      <c r="L5496" s="378"/>
      <c r="M5496" s="377"/>
      <c r="N5496" s="399"/>
      <c r="O5496" s="380"/>
      <c r="P5496" s="380"/>
      <c r="Q5496" s="380"/>
    </row>
    <row r="5497" spans="1:17" x14ac:dyDescent="0.2">
      <c r="A5497" s="334" t="s">
        <v>1587</v>
      </c>
      <c r="B5497" s="380"/>
      <c r="C5497" s="334" t="s">
        <v>34</v>
      </c>
      <c r="D5497" s="377"/>
      <c r="E5497" s="377"/>
      <c r="F5497" s="378"/>
      <c r="G5497" s="377"/>
      <c r="H5497" s="399"/>
      <c r="I5497" s="399"/>
      <c r="J5497" s="377"/>
      <c r="K5497" s="377"/>
      <c r="L5497" s="378"/>
      <c r="M5497" s="377"/>
      <c r="N5497" s="399"/>
      <c r="O5497" s="380"/>
      <c r="P5497" s="380"/>
      <c r="Q5497" s="380"/>
    </row>
    <row r="5498" spans="1:17" x14ac:dyDescent="0.2">
      <c r="A5498" s="334" t="s">
        <v>1903</v>
      </c>
      <c r="B5498" s="380"/>
      <c r="C5498" s="334" t="s">
        <v>35</v>
      </c>
      <c r="D5498" s="377"/>
      <c r="E5498" s="377"/>
      <c r="F5498" s="378"/>
      <c r="G5498" s="377"/>
      <c r="H5498" s="399"/>
      <c r="I5498" s="399"/>
      <c r="J5498" s="377"/>
      <c r="K5498" s="377"/>
      <c r="L5498" s="378"/>
      <c r="M5498" s="377"/>
      <c r="N5498" s="399"/>
      <c r="O5498" s="380"/>
      <c r="P5498" s="380"/>
      <c r="Q5498" s="380"/>
    </row>
    <row r="5499" spans="1:17" x14ac:dyDescent="0.2">
      <c r="A5499" s="334" t="s">
        <v>1962</v>
      </c>
      <c r="B5499" s="380"/>
      <c r="C5499" s="380" t="s">
        <v>572</v>
      </c>
      <c r="D5499" s="377"/>
      <c r="E5499" s="380"/>
      <c r="F5499" s="378"/>
      <c r="G5499" s="377"/>
      <c r="H5499" s="399"/>
      <c r="I5499" s="399"/>
      <c r="J5499" s="377"/>
      <c r="K5499" s="382"/>
      <c r="L5499" s="380"/>
      <c r="M5499" s="377"/>
      <c r="N5499" s="399"/>
      <c r="O5499" s="380"/>
      <c r="P5499" s="380"/>
      <c r="Q5499" s="380"/>
    </row>
    <row r="5500" spans="1:17" x14ac:dyDescent="0.2">
      <c r="A5500" s="334" t="s">
        <v>1567</v>
      </c>
      <c r="B5500" s="380"/>
      <c r="C5500" s="334" t="s">
        <v>3142</v>
      </c>
      <c r="D5500" s="377"/>
      <c r="E5500" s="377"/>
      <c r="F5500" s="378"/>
      <c r="G5500" s="399"/>
      <c r="H5500" s="399"/>
      <c r="I5500" s="399"/>
      <c r="J5500" s="377"/>
      <c r="K5500" s="377"/>
      <c r="L5500" s="378"/>
      <c r="M5500" s="399"/>
      <c r="N5500" s="399"/>
      <c r="O5500" s="380"/>
      <c r="P5500" s="380"/>
      <c r="Q5500" s="380"/>
    </row>
    <row r="5501" spans="1:17" x14ac:dyDescent="0.2">
      <c r="A5501" s="380"/>
      <c r="B5501" s="380"/>
      <c r="C5501" s="380"/>
      <c r="D5501" s="394"/>
      <c r="E5501" s="394"/>
      <c r="F5501" s="413"/>
      <c r="G5501" s="334"/>
      <c r="H5501" s="385"/>
      <c r="I5501" s="385"/>
      <c r="J5501" s="394"/>
      <c r="K5501" s="394"/>
      <c r="L5501" s="413"/>
      <c r="M5501" s="334"/>
      <c r="N5501" s="385"/>
      <c r="O5501" s="380"/>
      <c r="P5501" s="380"/>
      <c r="Q5501" s="380"/>
    </row>
    <row r="5502" spans="1:17" x14ac:dyDescent="0.2">
      <c r="A5502" s="380"/>
      <c r="B5502" s="380"/>
      <c r="C5502" s="380"/>
      <c r="D5502" s="334">
        <f>SUM(D5473:D5500)</f>
        <v>320</v>
      </c>
      <c r="E5502" s="334">
        <f>SUM(E5472:E5500)</f>
        <v>0</v>
      </c>
      <c r="F5502" s="412"/>
      <c r="G5502" s="399"/>
      <c r="H5502" s="399"/>
      <c r="I5502" s="399"/>
      <c r="J5502" s="334">
        <f>SUM(J5473:J5500)</f>
        <v>400</v>
      </c>
      <c r="K5502" s="334">
        <f>SUM(K5472:K5500)</f>
        <v>0</v>
      </c>
      <c r="L5502" s="412"/>
      <c r="M5502" s="399"/>
      <c r="N5502" s="399"/>
      <c r="O5502" s="380"/>
      <c r="P5502" s="380"/>
      <c r="Q5502" s="380"/>
    </row>
    <row r="5503" spans="1:17" ht="15.75" thickTop="1" x14ac:dyDescent="0.2">
      <c r="A5503" s="380"/>
      <c r="B5503" s="380"/>
      <c r="C5503" s="334" t="s">
        <v>342</v>
      </c>
      <c r="D5503" s="395">
        <f>D5502-D5473</f>
        <v>320</v>
      </c>
      <c r="E5503" s="395">
        <f>E5502-E5472</f>
        <v>0</v>
      </c>
      <c r="F5503" s="401"/>
      <c r="G5503" s="380"/>
      <c r="H5503" s="380"/>
      <c r="I5503" s="382"/>
      <c r="J5503" s="395">
        <f>J5502-J5473</f>
        <v>400</v>
      </c>
      <c r="K5503" s="395">
        <f>K5502-K5472</f>
        <v>0</v>
      </c>
      <c r="L5503" s="401"/>
      <c r="M5503" s="380"/>
      <c r="N5503" s="380"/>
      <c r="O5503" s="380"/>
      <c r="P5503" s="380"/>
      <c r="Q5503" s="380"/>
    </row>
    <row r="5504" spans="1:17" x14ac:dyDescent="0.2">
      <c r="A5504" s="334" t="s">
        <v>342</v>
      </c>
      <c r="B5504" s="380"/>
      <c r="C5504" s="380"/>
      <c r="D5504" s="380"/>
      <c r="E5504" s="334"/>
      <c r="F5504" s="412"/>
      <c r="G5504" s="334"/>
      <c r="H5504" s="380"/>
      <c r="I5504" s="385"/>
      <c r="J5504" s="380"/>
      <c r="K5504" s="334"/>
      <c r="L5504" s="412"/>
      <c r="M5504" s="334"/>
      <c r="N5504" s="380"/>
      <c r="O5504" s="380"/>
      <c r="P5504" s="380"/>
      <c r="Q5504" s="380"/>
    </row>
    <row r="5505" spans="1:17" x14ac:dyDescent="0.2">
      <c r="A5505" s="334" t="s">
        <v>467</v>
      </c>
      <c r="B5505" s="380"/>
      <c r="C5505" s="380"/>
      <c r="D5505" s="334"/>
      <c r="E5505" s="380"/>
      <c r="F5505" s="378"/>
      <c r="G5505" s="380"/>
      <c r="H5505" s="380"/>
      <c r="I5505" s="443"/>
      <c r="J5505" s="334"/>
      <c r="K5505" s="382"/>
      <c r="L5505" s="380"/>
      <c r="M5505" s="380"/>
      <c r="N5505" s="380"/>
      <c r="O5505" s="380"/>
      <c r="P5505" s="380"/>
      <c r="Q5505" s="380"/>
    </row>
    <row r="5506" spans="1:17" x14ac:dyDescent="0.2">
      <c r="A5506" s="334" t="s">
        <v>342</v>
      </c>
      <c r="B5506" s="380"/>
      <c r="C5506" s="334"/>
      <c r="D5506" s="442" t="s">
        <v>293</v>
      </c>
      <c r="E5506" s="384" t="s">
        <v>295</v>
      </c>
      <c r="F5506" s="421" t="s">
        <v>296</v>
      </c>
      <c r="G5506" s="384"/>
      <c r="H5506" s="442" t="s">
        <v>468</v>
      </c>
      <c r="I5506" s="385"/>
      <c r="J5506" s="442" t="s">
        <v>293</v>
      </c>
      <c r="K5506" s="384" t="s">
        <v>295</v>
      </c>
      <c r="L5506" s="421" t="s">
        <v>296</v>
      </c>
      <c r="M5506" s="384"/>
      <c r="N5506" s="442" t="s">
        <v>468</v>
      </c>
      <c r="O5506" s="380"/>
      <c r="P5506" s="380"/>
      <c r="Q5506" s="380"/>
    </row>
    <row r="5507" spans="1:17" x14ac:dyDescent="0.2">
      <c r="A5507" s="334" t="s">
        <v>342</v>
      </c>
      <c r="B5507" s="380"/>
      <c r="C5507" s="334" t="s">
        <v>342</v>
      </c>
      <c r="D5507" s="334" t="s">
        <v>294</v>
      </c>
      <c r="E5507" s="334" t="s">
        <v>796</v>
      </c>
      <c r="F5507" s="412" t="s">
        <v>960</v>
      </c>
      <c r="G5507" s="334"/>
      <c r="H5507" s="380" t="s">
        <v>795</v>
      </c>
      <c r="I5507" s="385"/>
      <c r="J5507" s="334" t="s">
        <v>294</v>
      </c>
      <c r="K5507" s="334" t="s">
        <v>796</v>
      </c>
      <c r="L5507" s="412" t="s">
        <v>960</v>
      </c>
      <c r="M5507" s="334"/>
      <c r="N5507" s="380" t="s">
        <v>795</v>
      </c>
      <c r="O5507" s="380"/>
      <c r="P5507" s="380"/>
      <c r="Q5507" s="380"/>
    </row>
    <row r="5508" spans="1:17" x14ac:dyDescent="0.2">
      <c r="A5508" s="334" t="s">
        <v>1723</v>
      </c>
      <c r="B5508" s="380"/>
      <c r="C5508" s="334" t="s">
        <v>1880</v>
      </c>
      <c r="D5508" s="334" t="s">
        <v>181</v>
      </c>
      <c r="E5508" s="334" t="s">
        <v>181</v>
      </c>
      <c r="F5508" s="412" t="s">
        <v>181</v>
      </c>
      <c r="G5508" s="334"/>
      <c r="H5508" s="334" t="s">
        <v>181</v>
      </c>
      <c r="I5508" s="382"/>
      <c r="J5508" s="334" t="s">
        <v>181</v>
      </c>
      <c r="K5508" s="334" t="s">
        <v>181</v>
      </c>
      <c r="L5508" s="412" t="s">
        <v>181</v>
      </c>
      <c r="M5508" s="334"/>
      <c r="N5508" s="334" t="s">
        <v>181</v>
      </c>
      <c r="O5508" s="380"/>
      <c r="P5508" s="380"/>
      <c r="Q5508" s="380"/>
    </row>
    <row r="5509" spans="1:17" x14ac:dyDescent="0.2">
      <c r="A5509" s="380"/>
      <c r="B5509" s="380"/>
      <c r="C5509" s="380"/>
      <c r="D5509" s="380"/>
      <c r="E5509" s="377"/>
      <c r="F5509" s="378"/>
      <c r="G5509" s="377"/>
      <c r="H5509" s="377"/>
      <c r="I5509" s="399"/>
      <c r="J5509" s="380"/>
      <c r="K5509" s="377"/>
      <c r="L5509" s="378"/>
      <c r="M5509" s="377"/>
      <c r="N5509" s="377"/>
      <c r="O5509" s="380"/>
      <c r="P5509" s="380"/>
      <c r="Q5509" s="380"/>
    </row>
    <row r="5510" spans="1:17" x14ac:dyDescent="0.2">
      <c r="A5510" s="403" t="s">
        <v>1743</v>
      </c>
      <c r="B5510" s="380"/>
      <c r="C5510" s="334" t="s">
        <v>1886</v>
      </c>
      <c r="D5510" s="377">
        <v>4000</v>
      </c>
      <c r="E5510" s="377"/>
      <c r="F5510" s="378"/>
      <c r="G5510" s="377"/>
      <c r="H5510" s="377"/>
      <c r="I5510" s="399"/>
      <c r="J5510" s="377"/>
      <c r="K5510" s="377">
        <v>500</v>
      </c>
      <c r="L5510" s="378">
        <v>500</v>
      </c>
      <c r="M5510" s="377"/>
      <c r="N5510" s="377">
        <v>1500</v>
      </c>
      <c r="O5510" s="380"/>
      <c r="P5510" s="380"/>
      <c r="Q5510" s="380"/>
    </row>
    <row r="5511" spans="1:17" x14ac:dyDescent="0.2">
      <c r="A5511" s="334" t="s">
        <v>1724</v>
      </c>
      <c r="B5511" s="380"/>
      <c r="C5511" s="334" t="s">
        <v>1881</v>
      </c>
      <c r="D5511" s="377">
        <v>500</v>
      </c>
      <c r="E5511" s="440"/>
      <c r="F5511" s="474"/>
      <c r="G5511" s="440"/>
      <c r="H5511" s="440"/>
      <c r="I5511" s="399"/>
      <c r="J5511" s="377"/>
      <c r="K5511" s="377"/>
      <c r="L5511" s="378"/>
      <c r="M5511" s="377"/>
      <c r="N5511" s="377"/>
      <c r="O5511" s="380"/>
      <c r="P5511" s="380"/>
      <c r="Q5511" s="380"/>
    </row>
    <row r="5512" spans="1:17" x14ac:dyDescent="0.2">
      <c r="A5512" s="334" t="s">
        <v>1961</v>
      </c>
      <c r="B5512" s="380"/>
      <c r="C5512" s="334" t="s">
        <v>9</v>
      </c>
      <c r="D5512" s="377"/>
      <c r="E5512" s="377"/>
      <c r="F5512" s="378"/>
      <c r="G5512" s="377"/>
      <c r="H5512" s="377"/>
      <c r="I5512" s="399"/>
      <c r="J5512" s="377"/>
      <c r="K5512" s="377"/>
      <c r="L5512" s="378"/>
      <c r="M5512" s="377"/>
      <c r="N5512" s="377"/>
      <c r="O5512" s="380"/>
      <c r="P5512" s="380"/>
      <c r="Q5512" s="380"/>
    </row>
    <row r="5513" spans="1:17" x14ac:dyDescent="0.2">
      <c r="A5513" s="334" t="s">
        <v>1736</v>
      </c>
      <c r="B5513" s="380"/>
      <c r="C5513" s="334" t="s">
        <v>1747</v>
      </c>
      <c r="D5513" s="377"/>
      <c r="E5513" s="377"/>
      <c r="F5513" s="378"/>
      <c r="G5513" s="377"/>
      <c r="H5513" s="377"/>
      <c r="I5513" s="399"/>
      <c r="J5513" s="377"/>
      <c r="K5513" s="377"/>
      <c r="L5513" s="378"/>
      <c r="M5513" s="377"/>
      <c r="N5513" s="377"/>
      <c r="O5513" s="380"/>
      <c r="P5513" s="380"/>
      <c r="Q5513" s="380"/>
    </row>
    <row r="5514" spans="1:17" x14ac:dyDescent="0.2">
      <c r="A5514" s="334" t="s">
        <v>1744</v>
      </c>
      <c r="B5514" s="380"/>
      <c r="C5514" s="334" t="s">
        <v>1254</v>
      </c>
      <c r="D5514" s="377">
        <v>800</v>
      </c>
      <c r="E5514" s="377"/>
      <c r="F5514" s="378"/>
      <c r="G5514" s="377"/>
      <c r="H5514" s="377"/>
      <c r="I5514" s="399"/>
      <c r="J5514" s="377"/>
      <c r="K5514" s="377"/>
      <c r="L5514" s="378"/>
      <c r="M5514" s="377"/>
      <c r="N5514" s="377"/>
      <c r="O5514" s="380"/>
      <c r="P5514" s="380"/>
      <c r="Q5514" s="380"/>
    </row>
    <row r="5515" spans="1:17" x14ac:dyDescent="0.2">
      <c r="A5515" s="334" t="s">
        <v>1582</v>
      </c>
      <c r="B5515" s="380"/>
      <c r="C5515" s="334" t="s">
        <v>3135</v>
      </c>
      <c r="D5515" s="377"/>
      <c r="E5515" s="377"/>
      <c r="F5515" s="378"/>
      <c r="G5515" s="377"/>
      <c r="H5515" s="377"/>
      <c r="I5515" s="399"/>
      <c r="J5515" s="377"/>
      <c r="K5515" s="377"/>
      <c r="L5515" s="378"/>
      <c r="M5515" s="377"/>
      <c r="N5515" s="377"/>
      <c r="O5515" s="380"/>
      <c r="P5515" s="380"/>
      <c r="Q5515" s="380"/>
    </row>
    <row r="5516" spans="1:17" x14ac:dyDescent="0.2">
      <c r="A5516" s="334" t="s">
        <v>1745</v>
      </c>
      <c r="B5516" s="380"/>
      <c r="C5516" s="334" t="s">
        <v>1887</v>
      </c>
      <c r="D5516" s="377"/>
      <c r="E5516" s="377"/>
      <c r="F5516" s="378"/>
      <c r="G5516" s="377"/>
      <c r="H5516" s="377"/>
      <c r="I5516" s="399"/>
      <c r="J5516" s="377"/>
      <c r="K5516" s="377"/>
      <c r="L5516" s="378"/>
      <c r="M5516" s="377"/>
      <c r="N5516" s="377"/>
      <c r="O5516" s="380"/>
      <c r="P5516" s="380"/>
      <c r="Q5516" s="380"/>
    </row>
    <row r="5517" spans="1:17" x14ac:dyDescent="0.2">
      <c r="A5517" s="334" t="s">
        <v>1906</v>
      </c>
      <c r="B5517" s="380"/>
      <c r="C5517" s="334" t="s">
        <v>39</v>
      </c>
      <c r="D5517" s="377"/>
      <c r="E5517" s="377"/>
      <c r="F5517" s="378"/>
      <c r="G5517" s="377"/>
      <c r="H5517" s="377"/>
      <c r="I5517" s="399"/>
      <c r="J5517" s="377"/>
      <c r="K5517" s="377"/>
      <c r="L5517" s="378"/>
      <c r="M5517" s="377"/>
      <c r="N5517" s="377"/>
      <c r="O5517" s="380"/>
      <c r="P5517" s="380"/>
      <c r="Q5517" s="380"/>
    </row>
    <row r="5518" spans="1:17" x14ac:dyDescent="0.2">
      <c r="A5518" s="334" t="s">
        <v>1576</v>
      </c>
      <c r="B5518" s="380"/>
      <c r="C5518" s="334" t="s">
        <v>1590</v>
      </c>
      <c r="D5518" s="377">
        <v>800</v>
      </c>
      <c r="E5518" s="377"/>
      <c r="F5518" s="378"/>
      <c r="G5518" s="377"/>
      <c r="H5518" s="377"/>
      <c r="I5518" s="399"/>
      <c r="J5518" s="377"/>
      <c r="K5518" s="377"/>
      <c r="L5518" s="378"/>
      <c r="M5518" s="377"/>
      <c r="N5518" s="377"/>
      <c r="O5518" s="380"/>
      <c r="P5518" s="380"/>
      <c r="Q5518" s="380"/>
    </row>
    <row r="5519" spans="1:17" x14ac:dyDescent="0.2">
      <c r="A5519" s="334" t="s">
        <v>1737</v>
      </c>
      <c r="B5519" s="380"/>
      <c r="C5519" s="334" t="s">
        <v>1984</v>
      </c>
      <c r="D5519" s="377"/>
      <c r="E5519" s="377"/>
      <c r="F5519" s="378"/>
      <c r="G5519" s="377"/>
      <c r="H5519" s="377"/>
      <c r="I5519" s="399"/>
      <c r="J5519" s="377"/>
      <c r="K5519" s="377"/>
      <c r="L5519" s="378"/>
      <c r="M5519" s="377"/>
      <c r="N5519" s="377"/>
      <c r="O5519" s="380"/>
      <c r="P5519" s="380"/>
      <c r="Q5519" s="380"/>
    </row>
    <row r="5520" spans="1:17" x14ac:dyDescent="0.2">
      <c r="A5520" s="384" t="s">
        <v>1828</v>
      </c>
      <c r="B5520" s="380"/>
      <c r="C5520" s="334" t="s">
        <v>2712</v>
      </c>
      <c r="D5520" s="377">
        <v>1500</v>
      </c>
      <c r="E5520" s="377"/>
      <c r="F5520" s="378"/>
      <c r="G5520" s="377"/>
      <c r="H5520" s="377"/>
      <c r="I5520" s="399"/>
      <c r="J5520" s="377"/>
      <c r="K5520" s="377"/>
      <c r="L5520" s="378"/>
      <c r="M5520" s="377"/>
      <c r="N5520" s="377"/>
      <c r="O5520" s="380"/>
      <c r="P5520" s="380"/>
      <c r="Q5520" s="380"/>
    </row>
    <row r="5521" spans="1:17" x14ac:dyDescent="0.2">
      <c r="A5521" s="384" t="s">
        <v>1751</v>
      </c>
      <c r="B5521" s="380"/>
      <c r="C5521" s="334" t="s">
        <v>3138</v>
      </c>
      <c r="D5521" s="377">
        <v>800</v>
      </c>
      <c r="E5521" s="377"/>
      <c r="F5521" s="378"/>
      <c r="G5521" s="377"/>
      <c r="H5521" s="377"/>
      <c r="I5521" s="399"/>
      <c r="J5521" s="377">
        <v>800</v>
      </c>
      <c r="K5521" s="377"/>
      <c r="L5521" s="378"/>
      <c r="M5521" s="377"/>
      <c r="N5521" s="377"/>
      <c r="O5521" s="380"/>
      <c r="P5521" s="380"/>
      <c r="Q5521" s="380"/>
    </row>
    <row r="5522" spans="1:17" x14ac:dyDescent="0.2">
      <c r="A5522" s="334" t="s">
        <v>1752</v>
      </c>
      <c r="B5522" s="380"/>
      <c r="C5522" s="334" t="s">
        <v>367</v>
      </c>
      <c r="D5522" s="377"/>
      <c r="E5522" s="377"/>
      <c r="F5522" s="378"/>
      <c r="G5522" s="377"/>
      <c r="H5522" s="377"/>
      <c r="I5522" s="399"/>
      <c r="J5522" s="377"/>
      <c r="K5522" s="377"/>
      <c r="L5522" s="378"/>
      <c r="M5522" s="377"/>
      <c r="N5522" s="377"/>
      <c r="O5522" s="380"/>
      <c r="P5522" s="380"/>
      <c r="Q5522" s="380"/>
    </row>
    <row r="5523" spans="1:17" x14ac:dyDescent="0.2">
      <c r="A5523" s="334" t="s">
        <v>1734</v>
      </c>
      <c r="B5523" s="380"/>
      <c r="C5523" s="334" t="s">
        <v>1746</v>
      </c>
      <c r="D5523" s="377"/>
      <c r="E5523" s="377"/>
      <c r="F5523" s="378"/>
      <c r="G5523" s="377"/>
      <c r="H5523" s="377"/>
      <c r="I5523" s="399"/>
      <c r="J5523" s="377"/>
      <c r="K5523" s="377"/>
      <c r="L5523" s="378"/>
      <c r="M5523" s="377"/>
      <c r="N5523" s="377"/>
      <c r="O5523" s="380"/>
      <c r="P5523" s="380"/>
      <c r="Q5523" s="380"/>
    </row>
    <row r="5524" spans="1:17" x14ac:dyDescent="0.2">
      <c r="A5524" s="334" t="s">
        <v>1578</v>
      </c>
      <c r="B5524" s="380"/>
      <c r="C5524" s="334" t="s">
        <v>22</v>
      </c>
      <c r="D5524" s="377"/>
      <c r="E5524" s="377"/>
      <c r="F5524" s="378"/>
      <c r="G5524" s="377"/>
      <c r="H5524" s="377"/>
      <c r="I5524" s="399"/>
      <c r="J5524" s="377"/>
      <c r="K5524" s="377"/>
      <c r="L5524" s="378"/>
      <c r="M5524" s="377"/>
      <c r="N5524" s="377"/>
      <c r="O5524" s="380"/>
      <c r="P5524" s="380"/>
      <c r="Q5524" s="380"/>
    </row>
    <row r="5525" spans="1:17" x14ac:dyDescent="0.2">
      <c r="A5525" s="334" t="s">
        <v>1738</v>
      </c>
      <c r="B5525" s="380"/>
      <c r="C5525" s="334" t="s">
        <v>1591</v>
      </c>
      <c r="D5525" s="377"/>
      <c r="E5525" s="377"/>
      <c r="F5525" s="378"/>
      <c r="G5525" s="377"/>
      <c r="H5525" s="377"/>
      <c r="I5525" s="399"/>
      <c r="J5525" s="377"/>
      <c r="K5525" s="377"/>
      <c r="L5525" s="378"/>
      <c r="M5525" s="377"/>
      <c r="N5525" s="377"/>
      <c r="O5525" s="380"/>
      <c r="P5525" s="380"/>
      <c r="Q5525" s="380"/>
    </row>
    <row r="5526" spans="1:17" x14ac:dyDescent="0.2">
      <c r="A5526" s="334" t="s">
        <v>1727</v>
      </c>
      <c r="B5526" s="380"/>
      <c r="C5526" s="334" t="s">
        <v>307</v>
      </c>
      <c r="D5526" s="377"/>
      <c r="E5526" s="377"/>
      <c r="F5526" s="378"/>
      <c r="G5526" s="377"/>
      <c r="H5526" s="377"/>
      <c r="I5526" s="399"/>
      <c r="J5526" s="377"/>
      <c r="K5526" s="377"/>
      <c r="L5526" s="378"/>
      <c r="M5526" s="377"/>
      <c r="N5526" s="377"/>
      <c r="O5526" s="380"/>
      <c r="P5526" s="380"/>
      <c r="Q5526" s="380"/>
    </row>
    <row r="5527" spans="1:17" x14ac:dyDescent="0.2">
      <c r="A5527" s="334" t="s">
        <v>1728</v>
      </c>
      <c r="B5527" s="380"/>
      <c r="C5527" s="334" t="s">
        <v>310</v>
      </c>
      <c r="D5527" s="377"/>
      <c r="E5527" s="377"/>
      <c r="F5527" s="378"/>
      <c r="G5527" s="377"/>
      <c r="H5527" s="377"/>
      <c r="I5527" s="399"/>
      <c r="J5527" s="377"/>
      <c r="K5527" s="377"/>
      <c r="L5527" s="378"/>
      <c r="M5527" s="377"/>
      <c r="N5527" s="377"/>
      <c r="O5527" s="380"/>
      <c r="P5527" s="380"/>
      <c r="Q5527" s="380"/>
    </row>
    <row r="5528" spans="1:17" x14ac:dyDescent="0.2">
      <c r="A5528" s="334" t="s">
        <v>1729</v>
      </c>
      <c r="B5528" s="380"/>
      <c r="C5528" s="380" t="s">
        <v>1551</v>
      </c>
      <c r="D5528" s="377">
        <f>-1710-5000</f>
        <v>-6710</v>
      </c>
      <c r="E5528" s="377"/>
      <c r="F5528" s="378"/>
      <c r="G5528" s="377"/>
      <c r="H5528" s="377"/>
      <c r="I5528" s="399"/>
      <c r="J5528" s="377">
        <v>1000</v>
      </c>
      <c r="K5528" s="377"/>
      <c r="L5528" s="378"/>
      <c r="M5528" s="377"/>
      <c r="N5528" s="377"/>
      <c r="O5528" s="380"/>
      <c r="P5528" s="380"/>
      <c r="Q5528" s="380"/>
    </row>
    <row r="5529" spans="1:17" x14ac:dyDescent="0.2">
      <c r="A5529" s="334" t="s">
        <v>1735</v>
      </c>
      <c r="B5529" s="380"/>
      <c r="C5529" s="380" t="s">
        <v>194</v>
      </c>
      <c r="D5529" s="377"/>
      <c r="E5529" s="377"/>
      <c r="F5529" s="378"/>
      <c r="G5529" s="377"/>
      <c r="H5529" s="377"/>
      <c r="I5529" s="399"/>
      <c r="J5529" s="377"/>
      <c r="K5529" s="377"/>
      <c r="L5529" s="378"/>
      <c r="M5529" s="377"/>
      <c r="N5529" s="377"/>
      <c r="O5529" s="380"/>
      <c r="P5529" s="380"/>
      <c r="Q5529" s="380"/>
    </row>
    <row r="5530" spans="1:17" x14ac:dyDescent="0.2">
      <c r="A5530" s="334" t="s">
        <v>1741</v>
      </c>
      <c r="B5530" s="380"/>
      <c r="C5530" s="334" t="s">
        <v>1748</v>
      </c>
      <c r="D5530" s="377">
        <v>1000</v>
      </c>
      <c r="E5530" s="377"/>
      <c r="F5530" s="378"/>
      <c r="G5530" s="377"/>
      <c r="H5530" s="377"/>
      <c r="I5530" s="399"/>
      <c r="J5530" s="377"/>
      <c r="K5530" s="377"/>
      <c r="L5530" s="378"/>
      <c r="M5530" s="377"/>
      <c r="N5530" s="377"/>
      <c r="O5530" s="380"/>
      <c r="P5530" s="380"/>
      <c r="Q5530" s="380"/>
    </row>
    <row r="5531" spans="1:17" x14ac:dyDescent="0.2">
      <c r="A5531" s="334" t="s">
        <v>1742</v>
      </c>
      <c r="B5531" s="380"/>
      <c r="C5531" s="334" t="s">
        <v>1553</v>
      </c>
      <c r="D5531" s="377"/>
      <c r="E5531" s="377"/>
      <c r="F5531" s="378"/>
      <c r="G5531" s="377"/>
      <c r="H5531" s="377"/>
      <c r="I5531" s="399"/>
      <c r="J5531" s="377"/>
      <c r="K5531" s="377"/>
      <c r="L5531" s="378"/>
      <c r="M5531" s="377"/>
      <c r="N5531" s="377"/>
      <c r="O5531" s="380"/>
      <c r="P5531" s="380"/>
      <c r="Q5531" s="380"/>
    </row>
    <row r="5532" spans="1:17" x14ac:dyDescent="0.2">
      <c r="A5532" s="334" t="s">
        <v>1584</v>
      </c>
      <c r="B5532" s="380"/>
      <c r="C5532" s="334" t="s">
        <v>0</v>
      </c>
      <c r="D5532" s="377"/>
      <c r="E5532" s="377"/>
      <c r="F5532" s="378"/>
      <c r="G5532" s="377"/>
      <c r="H5532" s="377"/>
      <c r="I5532" s="399"/>
      <c r="J5532" s="377"/>
      <c r="K5532" s="377"/>
      <c r="L5532" s="378"/>
      <c r="M5532" s="377"/>
      <c r="N5532" s="377"/>
      <c r="O5532" s="380"/>
      <c r="P5532" s="380"/>
      <c r="Q5532" s="380"/>
    </row>
    <row r="5533" spans="1:17" x14ac:dyDescent="0.2">
      <c r="A5533" s="334" t="s">
        <v>1730</v>
      </c>
      <c r="B5533" s="380"/>
      <c r="C5533" s="334" t="s">
        <v>1985</v>
      </c>
      <c r="D5533" s="377">
        <v>2000</v>
      </c>
      <c r="E5533" s="377"/>
      <c r="F5533" s="378"/>
      <c r="G5533" s="377"/>
      <c r="H5533" s="377"/>
      <c r="I5533" s="399"/>
      <c r="J5533" s="377">
        <v>2000</v>
      </c>
      <c r="K5533" s="377"/>
      <c r="L5533" s="378"/>
      <c r="M5533" s="377"/>
      <c r="N5533" s="377"/>
      <c r="O5533" s="380"/>
      <c r="P5533" s="380"/>
      <c r="Q5533" s="380"/>
    </row>
    <row r="5534" spans="1:17" x14ac:dyDescent="0.2">
      <c r="A5534" s="334" t="s">
        <v>1566</v>
      </c>
      <c r="B5534" s="380"/>
      <c r="C5534" s="334" t="s">
        <v>366</v>
      </c>
      <c r="D5534" s="377"/>
      <c r="E5534" s="377"/>
      <c r="F5534" s="378"/>
      <c r="G5534" s="377"/>
      <c r="H5534" s="377"/>
      <c r="I5534" s="399"/>
      <c r="J5534" s="377"/>
      <c r="K5534" s="377"/>
      <c r="L5534" s="378"/>
      <c r="M5534" s="377"/>
      <c r="N5534" s="377"/>
      <c r="O5534" s="380"/>
      <c r="P5534" s="380"/>
      <c r="Q5534" s="380"/>
    </row>
    <row r="5535" spans="1:17" x14ac:dyDescent="0.2">
      <c r="A5535" s="334" t="s">
        <v>1587</v>
      </c>
      <c r="B5535" s="380"/>
      <c r="C5535" s="334" t="s">
        <v>34</v>
      </c>
      <c r="D5535" s="377"/>
      <c r="E5535" s="377"/>
      <c r="F5535" s="378"/>
      <c r="G5535" s="377"/>
      <c r="H5535" s="377"/>
      <c r="I5535" s="399"/>
      <c r="J5535" s="377"/>
      <c r="K5535" s="377"/>
      <c r="L5535" s="378"/>
      <c r="M5535" s="377"/>
      <c r="N5535" s="377"/>
      <c r="O5535" s="380"/>
      <c r="P5535" s="380"/>
      <c r="Q5535" s="380"/>
    </row>
    <row r="5536" spans="1:17" x14ac:dyDescent="0.2">
      <c r="A5536" s="334" t="s">
        <v>1903</v>
      </c>
      <c r="B5536" s="380"/>
      <c r="C5536" s="334" t="s">
        <v>35</v>
      </c>
      <c r="D5536" s="377"/>
      <c r="E5536" s="377"/>
      <c r="F5536" s="378"/>
      <c r="G5536" s="377"/>
      <c r="H5536" s="377"/>
      <c r="I5536" s="399"/>
      <c r="J5536" s="377"/>
      <c r="K5536" s="377"/>
      <c r="L5536" s="378"/>
      <c r="M5536" s="377"/>
      <c r="N5536" s="377"/>
      <c r="O5536" s="380"/>
      <c r="P5536" s="380"/>
      <c r="Q5536" s="380"/>
    </row>
    <row r="5537" spans="1:17" x14ac:dyDescent="0.2">
      <c r="A5537" s="334" t="s">
        <v>1962</v>
      </c>
      <c r="B5537" s="380"/>
      <c r="C5537" s="380" t="s">
        <v>572</v>
      </c>
      <c r="D5537" s="377"/>
      <c r="E5537" s="380"/>
      <c r="F5537" s="378"/>
      <c r="G5537" s="380"/>
      <c r="H5537" s="380"/>
      <c r="I5537" s="399"/>
      <c r="J5537" s="377"/>
      <c r="K5537" s="382"/>
      <c r="L5537" s="380"/>
      <c r="M5537" s="380"/>
      <c r="N5537" s="380"/>
      <c r="O5537" s="380"/>
      <c r="P5537" s="380"/>
      <c r="Q5537" s="380"/>
    </row>
    <row r="5538" spans="1:17" x14ac:dyDescent="0.2">
      <c r="A5538" s="334" t="s">
        <v>1567</v>
      </c>
      <c r="B5538" s="380"/>
      <c r="C5538" s="334" t="s">
        <v>3142</v>
      </c>
      <c r="D5538" s="377"/>
      <c r="E5538" s="377"/>
      <c r="F5538" s="378"/>
      <c r="G5538" s="377"/>
      <c r="H5538" s="377"/>
      <c r="I5538" s="399"/>
      <c r="J5538" s="377"/>
      <c r="K5538" s="377"/>
      <c r="L5538" s="378"/>
      <c r="M5538" s="377"/>
      <c r="N5538" s="377"/>
      <c r="O5538" s="380"/>
      <c r="P5538" s="380"/>
      <c r="Q5538" s="380"/>
    </row>
    <row r="5539" spans="1:17" x14ac:dyDescent="0.2">
      <c r="A5539" s="380"/>
      <c r="B5539" s="380"/>
      <c r="C5539" s="380"/>
      <c r="D5539" s="394"/>
      <c r="E5539" s="394"/>
      <c r="F5539" s="413"/>
      <c r="G5539" s="394"/>
      <c r="H5539" s="394"/>
      <c r="I5539" s="385"/>
      <c r="J5539" s="394"/>
      <c r="K5539" s="394"/>
      <c r="L5539" s="413"/>
      <c r="M5539" s="394"/>
      <c r="N5539" s="394"/>
      <c r="O5539" s="380"/>
      <c r="P5539" s="380"/>
      <c r="Q5539" s="380"/>
    </row>
    <row r="5540" spans="1:17" x14ac:dyDescent="0.2">
      <c r="A5540" s="380"/>
      <c r="B5540" s="380"/>
      <c r="C5540" s="380"/>
      <c r="D5540" s="334">
        <f>SUM(D5510:D5538)</f>
        <v>4690</v>
      </c>
      <c r="E5540" s="334">
        <f>SUM(E5509:E5538)</f>
        <v>0</v>
      </c>
      <c r="F5540" s="412">
        <f>SUM(F5509:F5538)</f>
        <v>0</v>
      </c>
      <c r="G5540" s="334"/>
      <c r="H5540" s="334">
        <f>SUM(H5509:H5538)</f>
        <v>0</v>
      </c>
      <c r="I5540" s="399"/>
      <c r="J5540" s="334">
        <f>SUM(J5510:J5538)</f>
        <v>3800</v>
      </c>
      <c r="K5540" s="334">
        <f>SUM(K5509:K5538)</f>
        <v>500</v>
      </c>
      <c r="L5540" s="412">
        <f>SUM(L5509:L5538)</f>
        <v>500</v>
      </c>
      <c r="M5540" s="334"/>
      <c r="N5540" s="334">
        <f>SUM(N5509:N5538)</f>
        <v>1500</v>
      </c>
      <c r="O5540" s="380"/>
      <c r="P5540" s="380"/>
      <c r="Q5540" s="380"/>
    </row>
    <row r="5541" spans="1:17" ht="15.75" thickTop="1" x14ac:dyDescent="0.2">
      <c r="A5541" s="380"/>
      <c r="B5541" s="380"/>
      <c r="C5541" s="380"/>
      <c r="D5541" s="395">
        <f>D5540</f>
        <v>4690</v>
      </c>
      <c r="E5541" s="395">
        <f t="shared" ref="E5541:H5541" si="42">E5540</f>
        <v>0</v>
      </c>
      <c r="F5541" s="395">
        <f t="shared" si="42"/>
        <v>0</v>
      </c>
      <c r="G5541" s="395"/>
      <c r="H5541" s="395">
        <f t="shared" si="42"/>
        <v>0</v>
      </c>
      <c r="I5541" s="382"/>
      <c r="J5541" s="395">
        <f>J5540</f>
        <v>3800</v>
      </c>
      <c r="K5541" s="395">
        <f>K5540</f>
        <v>500</v>
      </c>
      <c r="L5541" s="401">
        <f>L5540</f>
        <v>500</v>
      </c>
      <c r="M5541" s="395"/>
      <c r="N5541" s="395">
        <f>N5540</f>
        <v>1500</v>
      </c>
      <c r="O5541" s="380"/>
      <c r="P5541" s="380"/>
      <c r="Q5541" s="380"/>
    </row>
    <row r="5542" spans="1:17" x14ac:dyDescent="0.2">
      <c r="A5542" s="334" t="s">
        <v>342</v>
      </c>
      <c r="B5542" s="380"/>
      <c r="C5542" s="334" t="s">
        <v>342</v>
      </c>
      <c r="D5542" s="380"/>
      <c r="E5542" s="334"/>
      <c r="F5542" s="412"/>
      <c r="G5542" s="334"/>
      <c r="H5542" s="380"/>
      <c r="I5542" s="385"/>
      <c r="J5542" s="380"/>
      <c r="K5542" s="334"/>
      <c r="L5542" s="412"/>
      <c r="M5542" s="334"/>
      <c r="N5542" s="380"/>
      <c r="O5542" s="380"/>
      <c r="P5542" s="380"/>
      <c r="Q5542" s="380"/>
    </row>
    <row r="5543" spans="1:17" x14ac:dyDescent="0.2">
      <c r="A5543" s="334" t="s">
        <v>469</v>
      </c>
      <c r="B5543" s="380"/>
      <c r="C5543" s="380"/>
      <c r="D5543" s="334"/>
      <c r="E5543" s="384" t="s">
        <v>302</v>
      </c>
      <c r="F5543" s="412"/>
      <c r="G5543" s="334"/>
      <c r="H5543" s="380"/>
      <c r="I5543" s="443"/>
      <c r="J5543" s="334"/>
      <c r="K5543" s="384" t="s">
        <v>302</v>
      </c>
      <c r="L5543" s="412"/>
      <c r="M5543" s="334"/>
      <c r="N5543" s="380"/>
      <c r="O5543" s="380"/>
      <c r="P5543" s="380"/>
      <c r="Q5543" s="380"/>
    </row>
    <row r="5544" spans="1:17" x14ac:dyDescent="0.2">
      <c r="A5544" s="334" t="s">
        <v>342</v>
      </c>
      <c r="B5544" s="380"/>
      <c r="C5544" s="334"/>
      <c r="D5544" s="442"/>
      <c r="E5544" s="334" t="s">
        <v>299</v>
      </c>
      <c r="F5544" s="412"/>
      <c r="G5544" s="334"/>
      <c r="H5544" s="382"/>
      <c r="I5544" s="385"/>
      <c r="J5544" s="442"/>
      <c r="K5544" s="334" t="s">
        <v>299</v>
      </c>
      <c r="L5544" s="412"/>
      <c r="M5544" s="334"/>
      <c r="N5544" s="382"/>
      <c r="O5544" s="380"/>
      <c r="P5544" s="380"/>
      <c r="Q5544" s="380"/>
    </row>
    <row r="5545" spans="1:17" x14ac:dyDescent="0.2">
      <c r="A5545" s="334" t="s">
        <v>342</v>
      </c>
      <c r="B5545" s="380"/>
      <c r="C5545" s="334" t="s">
        <v>342</v>
      </c>
      <c r="D5545" s="334"/>
      <c r="E5545" s="334" t="s">
        <v>181</v>
      </c>
      <c r="F5545" s="412"/>
      <c r="G5545" s="334"/>
      <c r="H5545" s="385"/>
      <c r="I5545" s="385"/>
      <c r="J5545" s="334"/>
      <c r="K5545" s="334" t="s">
        <v>181</v>
      </c>
      <c r="L5545" s="412"/>
      <c r="M5545" s="334"/>
      <c r="N5545" s="385"/>
      <c r="O5545" s="380"/>
      <c r="P5545" s="380"/>
      <c r="Q5545" s="380"/>
    </row>
    <row r="5546" spans="1:17" x14ac:dyDescent="0.2">
      <c r="A5546" s="334" t="s">
        <v>1723</v>
      </c>
      <c r="B5546" s="380"/>
      <c r="C5546" s="334" t="s">
        <v>1880</v>
      </c>
      <c r="D5546" s="334"/>
      <c r="E5546" s="380"/>
      <c r="F5546" s="378"/>
      <c r="G5546" s="380"/>
      <c r="H5546" s="382"/>
      <c r="I5546" s="382"/>
      <c r="J5546" s="334"/>
      <c r="K5546" s="380"/>
      <c r="L5546" s="378"/>
      <c r="M5546" s="380"/>
      <c r="N5546" s="382"/>
      <c r="O5546" s="380"/>
      <c r="P5546" s="380"/>
      <c r="Q5546" s="380"/>
    </row>
    <row r="5547" spans="1:17" x14ac:dyDescent="0.2">
      <c r="A5547" s="380"/>
      <c r="B5547" s="380"/>
      <c r="C5547" s="380"/>
      <c r="D5547" s="380"/>
      <c r="E5547" s="377"/>
      <c r="F5547" s="378"/>
      <c r="G5547" s="377"/>
      <c r="H5547" s="399"/>
      <c r="I5547" s="399"/>
      <c r="J5547" s="380"/>
      <c r="K5547" s="377"/>
      <c r="L5547" s="378"/>
      <c r="M5547" s="377"/>
      <c r="N5547" s="399"/>
      <c r="O5547" s="380"/>
      <c r="P5547" s="380"/>
      <c r="Q5547" s="380"/>
    </row>
    <row r="5548" spans="1:17" x14ac:dyDescent="0.2">
      <c r="A5548" s="334" t="s">
        <v>1568</v>
      </c>
      <c r="B5548" s="380"/>
      <c r="C5548" s="380" t="s">
        <v>1817</v>
      </c>
      <c r="D5548" s="377"/>
      <c r="E5548" s="377"/>
      <c r="F5548" s="378"/>
      <c r="G5548" s="377"/>
      <c r="H5548" s="399"/>
      <c r="I5548" s="399"/>
      <c r="J5548" s="377"/>
      <c r="K5548" s="377"/>
      <c r="L5548" s="378"/>
      <c r="M5548" s="377"/>
      <c r="N5548" s="399"/>
      <c r="O5548" s="380"/>
      <c r="P5548" s="380"/>
      <c r="Q5548" s="380"/>
    </row>
    <row r="5549" spans="1:17" x14ac:dyDescent="0.2">
      <c r="A5549" s="334" t="s">
        <v>1724</v>
      </c>
      <c r="B5549" s="380"/>
      <c r="C5549" s="334" t="s">
        <v>1881</v>
      </c>
      <c r="D5549" s="377"/>
      <c r="E5549" s="377"/>
      <c r="F5549" s="378"/>
      <c r="G5549" s="377"/>
      <c r="H5549" s="399"/>
      <c r="I5549" s="399"/>
      <c r="J5549" s="377"/>
      <c r="K5549" s="377"/>
      <c r="L5549" s="378"/>
      <c r="M5549" s="377"/>
      <c r="N5549" s="399"/>
      <c r="O5549" s="380"/>
      <c r="P5549" s="380"/>
      <c r="Q5549" s="380"/>
    </row>
    <row r="5550" spans="1:17" x14ac:dyDescent="0.2">
      <c r="A5550" s="334" t="s">
        <v>1961</v>
      </c>
      <c r="B5550" s="380"/>
      <c r="C5550" s="334" t="s">
        <v>9</v>
      </c>
      <c r="D5550" s="377"/>
      <c r="E5550" s="377"/>
      <c r="F5550" s="378"/>
      <c r="G5550" s="377"/>
      <c r="H5550" s="399"/>
      <c r="I5550" s="399"/>
      <c r="J5550" s="377"/>
      <c r="K5550" s="377"/>
      <c r="L5550" s="378"/>
      <c r="M5550" s="377"/>
      <c r="N5550" s="399"/>
      <c r="O5550" s="380"/>
      <c r="P5550" s="380"/>
      <c r="Q5550" s="380"/>
    </row>
    <row r="5551" spans="1:17" x14ac:dyDescent="0.2">
      <c r="A5551" s="334" t="s">
        <v>1736</v>
      </c>
      <c r="B5551" s="380"/>
      <c r="C5551" s="334" t="s">
        <v>1747</v>
      </c>
      <c r="D5551" s="377"/>
      <c r="E5551" s="377"/>
      <c r="F5551" s="378"/>
      <c r="G5551" s="377"/>
      <c r="H5551" s="399"/>
      <c r="I5551" s="399"/>
      <c r="J5551" s="377"/>
      <c r="K5551" s="377"/>
      <c r="L5551" s="378"/>
      <c r="M5551" s="377"/>
      <c r="N5551" s="399"/>
      <c r="O5551" s="380"/>
      <c r="P5551" s="380"/>
      <c r="Q5551" s="380"/>
    </row>
    <row r="5552" spans="1:17" x14ac:dyDescent="0.2">
      <c r="A5552" s="334" t="s">
        <v>1744</v>
      </c>
      <c r="B5552" s="380"/>
      <c r="C5552" s="334" t="s">
        <v>1254</v>
      </c>
      <c r="D5552" s="377"/>
      <c r="E5552" s="377"/>
      <c r="F5552" s="378"/>
      <c r="G5552" s="377"/>
      <c r="H5552" s="399"/>
      <c r="I5552" s="399"/>
      <c r="J5552" s="377"/>
      <c r="K5552" s="377"/>
      <c r="L5552" s="378"/>
      <c r="M5552" s="377"/>
      <c r="N5552" s="399"/>
      <c r="O5552" s="380"/>
      <c r="P5552" s="380"/>
      <c r="Q5552" s="380"/>
    </row>
    <row r="5553" spans="1:17" x14ac:dyDescent="0.2">
      <c r="A5553" s="334" t="s">
        <v>1582</v>
      </c>
      <c r="B5553" s="380"/>
      <c r="C5553" s="334" t="s">
        <v>3135</v>
      </c>
      <c r="D5553" s="377"/>
      <c r="E5553" s="377"/>
      <c r="F5553" s="378"/>
      <c r="G5553" s="377"/>
      <c r="H5553" s="399"/>
      <c r="I5553" s="399"/>
      <c r="J5553" s="377"/>
      <c r="K5553" s="377"/>
      <c r="L5553" s="378"/>
      <c r="M5553" s="377"/>
      <c r="N5553" s="399"/>
      <c r="O5553" s="380"/>
      <c r="P5553" s="380"/>
      <c r="Q5553" s="380"/>
    </row>
    <row r="5554" spans="1:17" x14ac:dyDescent="0.2">
      <c r="A5554" s="334" t="s">
        <v>1745</v>
      </c>
      <c r="B5554" s="380"/>
      <c r="C5554" s="334" t="s">
        <v>1887</v>
      </c>
      <c r="D5554" s="377"/>
      <c r="E5554" s="377"/>
      <c r="F5554" s="378"/>
      <c r="G5554" s="377"/>
      <c r="H5554" s="399"/>
      <c r="I5554" s="399"/>
      <c r="J5554" s="377"/>
      <c r="K5554" s="377"/>
      <c r="L5554" s="378"/>
      <c r="M5554" s="377"/>
      <c r="N5554" s="399"/>
      <c r="O5554" s="380"/>
      <c r="P5554" s="380"/>
      <c r="Q5554" s="380"/>
    </row>
    <row r="5555" spans="1:17" x14ac:dyDescent="0.2">
      <c r="A5555" s="334" t="s">
        <v>1906</v>
      </c>
      <c r="B5555" s="380"/>
      <c r="C5555" s="334" t="s">
        <v>39</v>
      </c>
      <c r="D5555" s="377"/>
      <c r="E5555" s="377"/>
      <c r="F5555" s="378"/>
      <c r="G5555" s="377"/>
      <c r="H5555" s="399"/>
      <c r="I5555" s="399"/>
      <c r="J5555" s="377"/>
      <c r="K5555" s="377"/>
      <c r="L5555" s="378"/>
      <c r="M5555" s="377"/>
      <c r="N5555" s="399"/>
      <c r="O5555" s="380"/>
      <c r="P5555" s="380"/>
      <c r="Q5555" s="380"/>
    </row>
    <row r="5556" spans="1:17" x14ac:dyDescent="0.2">
      <c r="A5556" s="334" t="s">
        <v>1576</v>
      </c>
      <c r="B5556" s="380"/>
      <c r="C5556" s="334" t="s">
        <v>1590</v>
      </c>
      <c r="D5556" s="377"/>
      <c r="E5556" s="377"/>
      <c r="F5556" s="378"/>
      <c r="G5556" s="377"/>
      <c r="H5556" s="399"/>
      <c r="I5556" s="399"/>
      <c r="J5556" s="377"/>
      <c r="K5556" s="377"/>
      <c r="L5556" s="378"/>
      <c r="M5556" s="377"/>
      <c r="N5556" s="399"/>
      <c r="O5556" s="380"/>
      <c r="P5556" s="380"/>
      <c r="Q5556" s="380"/>
    </row>
    <row r="5557" spans="1:17" x14ac:dyDescent="0.2">
      <c r="A5557" s="334" t="s">
        <v>1737</v>
      </c>
      <c r="B5557" s="380"/>
      <c r="C5557" s="334" t="s">
        <v>1984</v>
      </c>
      <c r="D5557" s="377"/>
      <c r="E5557" s="377"/>
      <c r="F5557" s="378"/>
      <c r="G5557" s="377"/>
      <c r="H5557" s="399"/>
      <c r="I5557" s="399"/>
      <c r="J5557" s="377"/>
      <c r="K5557" s="377"/>
      <c r="L5557" s="378"/>
      <c r="M5557" s="377"/>
      <c r="N5557" s="399"/>
      <c r="O5557" s="380"/>
      <c r="P5557" s="380"/>
      <c r="Q5557" s="380"/>
    </row>
    <row r="5558" spans="1:17" x14ac:dyDescent="0.2">
      <c r="A5558" s="334" t="s">
        <v>1752</v>
      </c>
      <c r="B5558" s="380"/>
      <c r="C5558" s="334" t="s">
        <v>367</v>
      </c>
      <c r="D5558" s="377"/>
      <c r="E5558" s="377"/>
      <c r="F5558" s="378"/>
      <c r="G5558" s="377"/>
      <c r="H5558" s="399"/>
      <c r="I5558" s="399"/>
      <c r="J5558" s="377"/>
      <c r="K5558" s="377"/>
      <c r="L5558" s="378"/>
      <c r="M5558" s="377"/>
      <c r="N5558" s="399"/>
      <c r="O5558" s="380"/>
      <c r="P5558" s="380"/>
      <c r="Q5558" s="380"/>
    </row>
    <row r="5559" spans="1:17" x14ac:dyDescent="0.2">
      <c r="A5559" s="384" t="s">
        <v>1952</v>
      </c>
      <c r="B5559" s="380"/>
      <c r="C5559" s="334" t="s">
        <v>1251</v>
      </c>
      <c r="D5559" s="377"/>
      <c r="E5559" s="377"/>
      <c r="F5559" s="378"/>
      <c r="G5559" s="377"/>
      <c r="H5559" s="399"/>
      <c r="I5559" s="399"/>
      <c r="J5559" s="377"/>
      <c r="K5559" s="377"/>
      <c r="L5559" s="378"/>
      <c r="M5559" s="377"/>
      <c r="N5559" s="399"/>
      <c r="O5559" s="380"/>
      <c r="P5559" s="380"/>
      <c r="Q5559" s="380"/>
    </row>
    <row r="5560" spans="1:17" x14ac:dyDescent="0.2">
      <c r="A5560" s="334" t="s">
        <v>1734</v>
      </c>
      <c r="B5560" s="380"/>
      <c r="C5560" s="334" t="s">
        <v>1746</v>
      </c>
      <c r="D5560" s="377"/>
      <c r="E5560" s="377"/>
      <c r="F5560" s="378"/>
      <c r="G5560" s="377"/>
      <c r="H5560" s="399"/>
      <c r="I5560" s="399"/>
      <c r="J5560" s="377"/>
      <c r="K5560" s="377"/>
      <c r="L5560" s="378"/>
      <c r="M5560" s="377"/>
      <c r="N5560" s="399"/>
      <c r="O5560" s="380"/>
      <c r="P5560" s="380"/>
      <c r="Q5560" s="380"/>
    </row>
    <row r="5561" spans="1:17" x14ac:dyDescent="0.2">
      <c r="A5561" s="334" t="s">
        <v>1578</v>
      </c>
      <c r="B5561" s="380"/>
      <c r="C5561" s="334" t="s">
        <v>22</v>
      </c>
      <c r="D5561" s="377"/>
      <c r="E5561" s="377"/>
      <c r="F5561" s="378"/>
      <c r="G5561" s="377"/>
      <c r="H5561" s="399"/>
      <c r="I5561" s="399"/>
      <c r="J5561" s="377"/>
      <c r="K5561" s="377"/>
      <c r="L5561" s="378"/>
      <c r="M5561" s="377"/>
      <c r="N5561" s="399"/>
      <c r="O5561" s="380"/>
      <c r="P5561" s="380"/>
      <c r="Q5561" s="380"/>
    </row>
    <row r="5562" spans="1:17" x14ac:dyDescent="0.2">
      <c r="A5562" s="334" t="s">
        <v>1738</v>
      </c>
      <c r="B5562" s="380"/>
      <c r="C5562" s="334" t="s">
        <v>1591</v>
      </c>
      <c r="D5562" s="377"/>
      <c r="E5562" s="377"/>
      <c r="F5562" s="378"/>
      <c r="G5562" s="377"/>
      <c r="H5562" s="399"/>
      <c r="I5562" s="399"/>
      <c r="J5562" s="377"/>
      <c r="K5562" s="377"/>
      <c r="L5562" s="378"/>
      <c r="M5562" s="377"/>
      <c r="N5562" s="399"/>
      <c r="O5562" s="380"/>
      <c r="P5562" s="380"/>
      <c r="Q5562" s="380"/>
    </row>
    <row r="5563" spans="1:17" x14ac:dyDescent="0.2">
      <c r="A5563" s="334" t="s">
        <v>1727</v>
      </c>
      <c r="B5563" s="380"/>
      <c r="C5563" s="334" t="s">
        <v>307</v>
      </c>
      <c r="D5563" s="377"/>
      <c r="E5563" s="377"/>
      <c r="F5563" s="378"/>
      <c r="G5563" s="377"/>
      <c r="H5563" s="399"/>
      <c r="I5563" s="399"/>
      <c r="J5563" s="377"/>
      <c r="K5563" s="377"/>
      <c r="L5563" s="378"/>
      <c r="M5563" s="377"/>
      <c r="N5563" s="399"/>
      <c r="O5563" s="380"/>
      <c r="P5563" s="380"/>
      <c r="Q5563" s="380"/>
    </row>
    <row r="5564" spans="1:17" x14ac:dyDescent="0.2">
      <c r="A5564" s="334" t="s">
        <v>1728</v>
      </c>
      <c r="B5564" s="380"/>
      <c r="C5564" s="334" t="s">
        <v>310</v>
      </c>
      <c r="D5564" s="377"/>
      <c r="E5564" s="377"/>
      <c r="F5564" s="378"/>
      <c r="G5564" s="377"/>
      <c r="H5564" s="399"/>
      <c r="I5564" s="399"/>
      <c r="J5564" s="377"/>
      <c r="K5564" s="377"/>
      <c r="L5564" s="378"/>
      <c r="M5564" s="377"/>
      <c r="N5564" s="399"/>
      <c r="O5564" s="380"/>
      <c r="P5564" s="380"/>
      <c r="Q5564" s="380"/>
    </row>
    <row r="5565" spans="1:17" x14ac:dyDescent="0.2">
      <c r="A5565" s="334" t="s">
        <v>1729</v>
      </c>
      <c r="B5565" s="380"/>
      <c r="C5565" s="380" t="s">
        <v>1551</v>
      </c>
      <c r="D5565" s="377"/>
      <c r="E5565" s="377"/>
      <c r="F5565" s="378"/>
      <c r="G5565" s="377"/>
      <c r="H5565" s="399"/>
      <c r="I5565" s="399"/>
      <c r="J5565" s="377"/>
      <c r="K5565" s="377"/>
      <c r="L5565" s="378"/>
      <c r="M5565" s="377"/>
      <c r="N5565" s="399"/>
      <c r="O5565" s="380"/>
      <c r="P5565" s="380"/>
      <c r="Q5565" s="380"/>
    </row>
    <row r="5566" spans="1:17" x14ac:dyDescent="0.2">
      <c r="A5566" s="334" t="s">
        <v>1735</v>
      </c>
      <c r="B5566" s="380"/>
      <c r="C5566" s="380" t="s">
        <v>194</v>
      </c>
      <c r="D5566" s="377"/>
      <c r="E5566" s="377"/>
      <c r="F5566" s="378"/>
      <c r="G5566" s="377"/>
      <c r="H5566" s="399"/>
      <c r="I5566" s="399"/>
      <c r="J5566" s="377"/>
      <c r="K5566" s="377"/>
      <c r="L5566" s="378"/>
      <c r="M5566" s="377"/>
      <c r="N5566" s="399"/>
      <c r="O5566" s="380"/>
      <c r="P5566" s="380"/>
      <c r="Q5566" s="380"/>
    </row>
    <row r="5567" spans="1:17" x14ac:dyDescent="0.2">
      <c r="A5567" s="334" t="s">
        <v>1741</v>
      </c>
      <c r="B5567" s="380"/>
      <c r="C5567" s="334" t="s">
        <v>1748</v>
      </c>
      <c r="D5567" s="377"/>
      <c r="E5567" s="377"/>
      <c r="F5567" s="378"/>
      <c r="G5567" s="377"/>
      <c r="H5567" s="399"/>
      <c r="I5567" s="399"/>
      <c r="J5567" s="377"/>
      <c r="K5567" s="377"/>
      <c r="L5567" s="378"/>
      <c r="M5567" s="377"/>
      <c r="N5567" s="399"/>
      <c r="O5567" s="380"/>
      <c r="P5567" s="380"/>
      <c r="Q5567" s="380"/>
    </row>
    <row r="5568" spans="1:17" x14ac:dyDescent="0.2">
      <c r="A5568" s="334" t="s">
        <v>1742</v>
      </c>
      <c r="B5568" s="380"/>
      <c r="C5568" s="334" t="s">
        <v>1553</v>
      </c>
      <c r="D5568" s="377"/>
      <c r="E5568" s="377"/>
      <c r="F5568" s="378"/>
      <c r="G5568" s="377"/>
      <c r="H5568" s="399"/>
      <c r="I5568" s="399"/>
      <c r="J5568" s="377"/>
      <c r="K5568" s="377"/>
      <c r="L5568" s="378"/>
      <c r="M5568" s="377"/>
      <c r="N5568" s="399"/>
      <c r="O5568" s="380"/>
      <c r="P5568" s="380"/>
      <c r="Q5568" s="380"/>
    </row>
    <row r="5569" spans="1:17" x14ac:dyDescent="0.2">
      <c r="A5569" s="334" t="s">
        <v>1584</v>
      </c>
      <c r="B5569" s="380"/>
      <c r="C5569" s="334" t="s">
        <v>0</v>
      </c>
      <c r="D5569" s="377"/>
      <c r="E5569" s="377"/>
      <c r="F5569" s="378"/>
      <c r="G5569" s="377"/>
      <c r="H5569" s="399"/>
      <c r="I5569" s="399"/>
      <c r="J5569" s="377"/>
      <c r="K5569" s="377"/>
      <c r="L5569" s="378"/>
      <c r="M5569" s="377"/>
      <c r="N5569" s="399"/>
      <c r="O5569" s="380"/>
      <c r="P5569" s="380"/>
      <c r="Q5569" s="380"/>
    </row>
    <row r="5570" spans="1:17" x14ac:dyDescent="0.2">
      <c r="A5570" s="334" t="s">
        <v>1730</v>
      </c>
      <c r="B5570" s="380"/>
      <c r="C5570" s="334" t="s">
        <v>1985</v>
      </c>
      <c r="D5570" s="377"/>
      <c r="E5570" s="377"/>
      <c r="F5570" s="378"/>
      <c r="G5570" s="377"/>
      <c r="H5570" s="399"/>
      <c r="I5570" s="399"/>
      <c r="J5570" s="377"/>
      <c r="K5570" s="377"/>
      <c r="L5570" s="378"/>
      <c r="M5570" s="377"/>
      <c r="N5570" s="399"/>
      <c r="O5570" s="380"/>
      <c r="P5570" s="380"/>
      <c r="Q5570" s="380"/>
    </row>
    <row r="5571" spans="1:17" x14ac:dyDescent="0.2">
      <c r="A5571" s="334" t="s">
        <v>1566</v>
      </c>
      <c r="B5571" s="380"/>
      <c r="C5571" s="334" t="s">
        <v>366</v>
      </c>
      <c r="D5571" s="377"/>
      <c r="E5571" s="377"/>
      <c r="F5571" s="378"/>
      <c r="G5571" s="377"/>
      <c r="H5571" s="399"/>
      <c r="I5571" s="399"/>
      <c r="J5571" s="377"/>
      <c r="K5571" s="377"/>
      <c r="L5571" s="378"/>
      <c r="M5571" s="377"/>
      <c r="N5571" s="399"/>
      <c r="O5571" s="380"/>
      <c r="P5571" s="380"/>
      <c r="Q5571" s="380"/>
    </row>
    <row r="5572" spans="1:17" x14ac:dyDescent="0.2">
      <c r="A5572" s="334" t="s">
        <v>1587</v>
      </c>
      <c r="B5572" s="380"/>
      <c r="C5572" s="334" t="s">
        <v>34</v>
      </c>
      <c r="D5572" s="377"/>
      <c r="E5572" s="377"/>
      <c r="F5572" s="378"/>
      <c r="G5572" s="377"/>
      <c r="H5572" s="399"/>
      <c r="I5572" s="399"/>
      <c r="J5572" s="377"/>
      <c r="K5572" s="377"/>
      <c r="L5572" s="378"/>
      <c r="M5572" s="377"/>
      <c r="N5572" s="399"/>
      <c r="O5572" s="380"/>
      <c r="P5572" s="380"/>
      <c r="Q5572" s="380"/>
    </row>
    <row r="5573" spans="1:17" x14ac:dyDescent="0.2">
      <c r="A5573" s="334" t="s">
        <v>1903</v>
      </c>
      <c r="B5573" s="380"/>
      <c r="C5573" s="334" t="s">
        <v>35</v>
      </c>
      <c r="D5573" s="377"/>
      <c r="E5573" s="377"/>
      <c r="F5573" s="378"/>
      <c r="G5573" s="377"/>
      <c r="H5573" s="399"/>
      <c r="I5573" s="399"/>
      <c r="J5573" s="377"/>
      <c r="K5573" s="377"/>
      <c r="L5573" s="378"/>
      <c r="M5573" s="377"/>
      <c r="N5573" s="399"/>
      <c r="O5573" s="380"/>
      <c r="P5573" s="380"/>
      <c r="Q5573" s="380"/>
    </row>
    <row r="5574" spans="1:17" x14ac:dyDescent="0.2">
      <c r="A5574" s="334" t="s">
        <v>1962</v>
      </c>
      <c r="B5574" s="380"/>
      <c r="C5574" s="380" t="s">
        <v>572</v>
      </c>
      <c r="D5574" s="377"/>
      <c r="E5574" s="377"/>
      <c r="F5574" s="416"/>
      <c r="G5574" s="399"/>
      <c r="H5574" s="399"/>
      <c r="I5574" s="399"/>
      <c r="J5574" s="377"/>
      <c r="K5574" s="377"/>
      <c r="L5574" s="416"/>
      <c r="M5574" s="399"/>
      <c r="N5574" s="399"/>
      <c r="O5574" s="380"/>
      <c r="P5574" s="380"/>
      <c r="Q5574" s="380"/>
    </row>
    <row r="5575" spans="1:17" x14ac:dyDescent="0.2">
      <c r="A5575" s="334" t="s">
        <v>1567</v>
      </c>
      <c r="B5575" s="380"/>
      <c r="C5575" s="334" t="s">
        <v>3142</v>
      </c>
      <c r="D5575" s="399"/>
      <c r="E5575" s="394"/>
      <c r="F5575" s="416"/>
      <c r="G5575" s="399"/>
      <c r="H5575" s="399"/>
      <c r="I5575" s="399"/>
      <c r="J5575" s="399"/>
      <c r="K5575" s="394"/>
      <c r="L5575" s="416"/>
      <c r="M5575" s="399"/>
      <c r="N5575" s="399"/>
      <c r="O5575" s="380"/>
      <c r="P5575" s="380"/>
      <c r="Q5575" s="380"/>
    </row>
    <row r="5576" spans="1:17" x14ac:dyDescent="0.2">
      <c r="A5576" s="380"/>
      <c r="B5576" s="380"/>
      <c r="C5576" s="380"/>
      <c r="D5576" s="399"/>
      <c r="E5576" s="334">
        <f>SUM(E5547:E5574)</f>
        <v>0</v>
      </c>
      <c r="F5576" s="415"/>
      <c r="G5576" s="385"/>
      <c r="H5576" s="385"/>
      <c r="I5576" s="385"/>
      <c r="J5576" s="399"/>
      <c r="K5576" s="334">
        <f>SUM(K5547:K5574)</f>
        <v>0</v>
      </c>
      <c r="L5576" s="415"/>
      <c r="M5576" s="385"/>
      <c r="N5576" s="385"/>
      <c r="O5576" s="380"/>
      <c r="P5576" s="380"/>
      <c r="Q5576" s="380"/>
    </row>
    <row r="5577" spans="1:17" ht="15.75" thickTop="1" x14ac:dyDescent="0.2">
      <c r="A5577" s="380"/>
      <c r="B5577" s="380"/>
      <c r="C5577" s="380"/>
      <c r="D5577" s="385"/>
      <c r="E5577" s="395">
        <f>E5576-E5547</f>
        <v>0</v>
      </c>
      <c r="F5577" s="416"/>
      <c r="G5577" s="399"/>
      <c r="H5577" s="399"/>
      <c r="I5577" s="399"/>
      <c r="J5577" s="385"/>
      <c r="K5577" s="395">
        <f>K5576-K5547</f>
        <v>0</v>
      </c>
      <c r="L5577" s="416"/>
      <c r="M5577" s="399"/>
      <c r="N5577" s="399"/>
      <c r="O5577" s="380"/>
      <c r="P5577" s="380"/>
      <c r="Q5577" s="380"/>
    </row>
    <row r="5578" spans="1:17" x14ac:dyDescent="0.2">
      <c r="A5578" s="380"/>
      <c r="B5578" s="380"/>
      <c r="C5578" s="380"/>
      <c r="D5578" s="399"/>
      <c r="E5578" s="380"/>
      <c r="F5578" s="378"/>
      <c r="G5578" s="380"/>
      <c r="H5578" s="380"/>
      <c r="I5578" s="382"/>
      <c r="J5578" s="399"/>
      <c r="K5578" s="380"/>
      <c r="L5578" s="378"/>
      <c r="M5578" s="380"/>
      <c r="N5578" s="380"/>
      <c r="O5578" s="380"/>
      <c r="P5578" s="380"/>
      <c r="Q5578" s="380"/>
    </row>
    <row r="5579" spans="1:17" x14ac:dyDescent="0.2">
      <c r="A5579" s="334" t="s">
        <v>342</v>
      </c>
      <c r="B5579" s="380"/>
      <c r="C5579" s="334" t="s">
        <v>342</v>
      </c>
      <c r="D5579" s="380"/>
      <c r="E5579" s="334"/>
      <c r="F5579" s="412"/>
      <c r="G5579" s="334"/>
      <c r="H5579" s="380"/>
      <c r="I5579" s="385"/>
      <c r="J5579" s="380"/>
      <c r="K5579" s="334"/>
      <c r="L5579" s="412"/>
      <c r="M5579" s="334"/>
      <c r="N5579" s="380"/>
      <c r="O5579" s="380"/>
      <c r="P5579" s="380"/>
      <c r="Q5579" s="380"/>
    </row>
    <row r="5580" spans="1:17" x14ac:dyDescent="0.2">
      <c r="A5580" s="334" t="s">
        <v>474</v>
      </c>
      <c r="B5580" s="380"/>
      <c r="C5580" s="380"/>
      <c r="D5580" s="334"/>
      <c r="E5580" s="380"/>
      <c r="F5580" s="378"/>
      <c r="G5580" s="380"/>
      <c r="H5580" s="380"/>
      <c r="I5580" s="443"/>
      <c r="J5580" s="334"/>
      <c r="K5580" s="382"/>
      <c r="L5580" s="380"/>
      <c r="M5580" s="380"/>
      <c r="N5580" s="380"/>
      <c r="O5580" s="380"/>
      <c r="P5580" s="380"/>
      <c r="Q5580" s="380"/>
    </row>
    <row r="5581" spans="1:17" x14ac:dyDescent="0.2">
      <c r="A5581" s="334" t="s">
        <v>342</v>
      </c>
      <c r="B5581" s="380"/>
      <c r="C5581" s="334"/>
      <c r="D5581" s="442" t="s">
        <v>293</v>
      </c>
      <c r="E5581" s="384" t="s">
        <v>295</v>
      </c>
      <c r="F5581" s="421" t="s">
        <v>296</v>
      </c>
      <c r="G5581" s="384"/>
      <c r="H5581" s="442" t="s">
        <v>477</v>
      </c>
      <c r="I5581" s="385"/>
      <c r="J5581" s="442" t="s">
        <v>293</v>
      </c>
      <c r="K5581" s="384" t="s">
        <v>295</v>
      </c>
      <c r="L5581" s="421" t="s">
        <v>296</v>
      </c>
      <c r="M5581" s="384"/>
      <c r="N5581" s="442" t="s">
        <v>477</v>
      </c>
      <c r="O5581" s="380"/>
      <c r="P5581" s="380"/>
      <c r="Q5581" s="380"/>
    </row>
    <row r="5582" spans="1:17" x14ac:dyDescent="0.2">
      <c r="A5582" s="334" t="s">
        <v>342</v>
      </c>
      <c r="B5582" s="380"/>
      <c r="C5582" s="334" t="s">
        <v>342</v>
      </c>
      <c r="D5582" s="334" t="s">
        <v>294</v>
      </c>
      <c r="E5582" s="334" t="s">
        <v>796</v>
      </c>
      <c r="F5582" s="412" t="s">
        <v>960</v>
      </c>
      <c r="G5582" s="334"/>
      <c r="H5582" s="380" t="s">
        <v>800</v>
      </c>
      <c r="I5582" s="385"/>
      <c r="J5582" s="334" t="s">
        <v>294</v>
      </c>
      <c r="K5582" s="334" t="s">
        <v>796</v>
      </c>
      <c r="L5582" s="412" t="s">
        <v>960</v>
      </c>
      <c r="M5582" s="334"/>
      <c r="N5582" s="380" t="s">
        <v>800</v>
      </c>
      <c r="O5582" s="380"/>
      <c r="P5582" s="380"/>
      <c r="Q5582" s="380"/>
    </row>
    <row r="5583" spans="1:17" x14ac:dyDescent="0.2">
      <c r="A5583" s="334" t="s">
        <v>1723</v>
      </c>
      <c r="B5583" s="380"/>
      <c r="C5583" s="334" t="s">
        <v>1880</v>
      </c>
      <c r="D5583" s="334" t="s">
        <v>181</v>
      </c>
      <c r="E5583" s="334" t="s">
        <v>181</v>
      </c>
      <c r="F5583" s="412" t="s">
        <v>181</v>
      </c>
      <c r="G5583" s="334"/>
      <c r="H5583" s="334" t="s">
        <v>181</v>
      </c>
      <c r="I5583" s="382"/>
      <c r="J5583" s="334" t="s">
        <v>181</v>
      </c>
      <c r="K5583" s="334" t="s">
        <v>181</v>
      </c>
      <c r="L5583" s="412" t="s">
        <v>181</v>
      </c>
      <c r="M5583" s="334"/>
      <c r="N5583" s="334" t="s">
        <v>181</v>
      </c>
      <c r="O5583" s="380"/>
      <c r="P5583" s="380"/>
      <c r="Q5583" s="380"/>
    </row>
    <row r="5584" spans="1:17" x14ac:dyDescent="0.2">
      <c r="A5584" s="380"/>
      <c r="B5584" s="380"/>
      <c r="C5584" s="380"/>
      <c r="D5584" s="380"/>
      <c r="E5584" s="377"/>
      <c r="F5584" s="378"/>
      <c r="G5584" s="377"/>
      <c r="H5584" s="377"/>
      <c r="I5584" s="399"/>
      <c r="J5584" s="380"/>
      <c r="K5584" s="377"/>
      <c r="L5584" s="378"/>
      <c r="M5584" s="377"/>
      <c r="N5584" s="377"/>
      <c r="O5584" s="380"/>
      <c r="P5584" s="380"/>
      <c r="Q5584" s="380"/>
    </row>
    <row r="5585" spans="1:17" x14ac:dyDescent="0.2">
      <c r="A5585" s="334" t="s">
        <v>1568</v>
      </c>
      <c r="B5585" s="380"/>
      <c r="C5585" s="380" t="s">
        <v>1817</v>
      </c>
      <c r="D5585" s="377"/>
      <c r="E5585" s="377">
        <v>0</v>
      </c>
      <c r="F5585" s="378">
        <v>0</v>
      </c>
      <c r="G5585" s="377"/>
      <c r="H5585" s="377">
        <v>0</v>
      </c>
      <c r="I5585" s="399"/>
      <c r="J5585" s="377"/>
      <c r="K5585" s="377">
        <v>0</v>
      </c>
      <c r="L5585" s="378">
        <v>0</v>
      </c>
      <c r="M5585" s="377"/>
      <c r="N5585" s="377">
        <v>0</v>
      </c>
      <c r="O5585" s="380"/>
      <c r="P5585" s="380"/>
      <c r="Q5585" s="380"/>
    </row>
    <row r="5586" spans="1:17" x14ac:dyDescent="0.2">
      <c r="A5586" s="334" t="s">
        <v>1724</v>
      </c>
      <c r="B5586" s="380"/>
      <c r="C5586" s="334" t="s">
        <v>1881</v>
      </c>
      <c r="D5586" s="377">
        <v>0</v>
      </c>
      <c r="E5586" s="377"/>
      <c r="F5586" s="378"/>
      <c r="G5586" s="377"/>
      <c r="H5586" s="377"/>
      <c r="I5586" s="399"/>
      <c r="J5586" s="377">
        <v>0</v>
      </c>
      <c r="K5586" s="377"/>
      <c r="L5586" s="378"/>
      <c r="M5586" s="377"/>
      <c r="N5586" s="377"/>
      <c r="O5586" s="380"/>
      <c r="P5586" s="380"/>
      <c r="Q5586" s="380"/>
    </row>
    <row r="5587" spans="1:17" x14ac:dyDescent="0.2">
      <c r="A5587" s="334" t="s">
        <v>1961</v>
      </c>
      <c r="B5587" s="380"/>
      <c r="C5587" s="334" t="s">
        <v>9</v>
      </c>
      <c r="D5587" s="377"/>
      <c r="E5587" s="377"/>
      <c r="F5587" s="378"/>
      <c r="G5587" s="377"/>
      <c r="H5587" s="377"/>
      <c r="I5587" s="399"/>
      <c r="J5587" s="377"/>
      <c r="K5587" s="377"/>
      <c r="L5587" s="378"/>
      <c r="M5587" s="377"/>
      <c r="N5587" s="377"/>
      <c r="O5587" s="380"/>
      <c r="P5587" s="380"/>
      <c r="Q5587" s="380"/>
    </row>
    <row r="5588" spans="1:17" x14ac:dyDescent="0.2">
      <c r="A5588" s="334" t="s">
        <v>1736</v>
      </c>
      <c r="B5588" s="380"/>
      <c r="C5588" s="334" t="s">
        <v>1747</v>
      </c>
      <c r="D5588" s="377"/>
      <c r="E5588" s="377"/>
      <c r="F5588" s="378"/>
      <c r="G5588" s="377"/>
      <c r="H5588" s="377"/>
      <c r="I5588" s="399"/>
      <c r="J5588" s="377"/>
      <c r="K5588" s="377"/>
      <c r="L5588" s="378"/>
      <c r="M5588" s="377"/>
      <c r="N5588" s="377"/>
      <c r="O5588" s="380"/>
      <c r="P5588" s="380"/>
      <c r="Q5588" s="380"/>
    </row>
    <row r="5589" spans="1:17" x14ac:dyDescent="0.2">
      <c r="A5589" s="334" t="s">
        <v>1744</v>
      </c>
      <c r="B5589" s="380"/>
      <c r="C5589" s="334" t="s">
        <v>1254</v>
      </c>
      <c r="D5589" s="377"/>
      <c r="E5589" s="377"/>
      <c r="F5589" s="378"/>
      <c r="G5589" s="377"/>
      <c r="H5589" s="377"/>
      <c r="I5589" s="399"/>
      <c r="J5589" s="377"/>
      <c r="K5589" s="377"/>
      <c r="L5589" s="378"/>
      <c r="M5589" s="377"/>
      <c r="N5589" s="377"/>
      <c r="O5589" s="380"/>
      <c r="P5589" s="380"/>
      <c r="Q5589" s="380"/>
    </row>
    <row r="5590" spans="1:17" x14ac:dyDescent="0.2">
      <c r="A5590" s="334" t="s">
        <v>1582</v>
      </c>
      <c r="B5590" s="380"/>
      <c r="C5590" s="334" t="s">
        <v>3135</v>
      </c>
      <c r="D5590" s="377"/>
      <c r="E5590" s="377"/>
      <c r="F5590" s="378"/>
      <c r="G5590" s="377"/>
      <c r="H5590" s="377"/>
      <c r="I5590" s="399"/>
      <c r="J5590" s="377"/>
      <c r="K5590" s="377"/>
      <c r="L5590" s="378"/>
      <c r="M5590" s="377"/>
      <c r="N5590" s="377"/>
      <c r="O5590" s="380"/>
      <c r="P5590" s="380"/>
      <c r="Q5590" s="380"/>
    </row>
    <row r="5591" spans="1:17" x14ac:dyDescent="0.2">
      <c r="A5591" s="334" t="s">
        <v>1745</v>
      </c>
      <c r="B5591" s="380"/>
      <c r="C5591" s="334" t="s">
        <v>1887</v>
      </c>
      <c r="D5591" s="377"/>
      <c r="E5591" s="377"/>
      <c r="F5591" s="378"/>
      <c r="G5591" s="377"/>
      <c r="H5591" s="377"/>
      <c r="I5591" s="399"/>
      <c r="J5591" s="377"/>
      <c r="K5591" s="377"/>
      <c r="L5591" s="378"/>
      <c r="M5591" s="377"/>
      <c r="N5591" s="377"/>
      <c r="O5591" s="380"/>
      <c r="P5591" s="380"/>
      <c r="Q5591" s="380"/>
    </row>
    <row r="5592" spans="1:17" x14ac:dyDescent="0.2">
      <c r="A5592" s="334" t="s">
        <v>1906</v>
      </c>
      <c r="B5592" s="380"/>
      <c r="C5592" s="334" t="s">
        <v>39</v>
      </c>
      <c r="D5592" s="377"/>
      <c r="E5592" s="377"/>
      <c r="F5592" s="378"/>
      <c r="G5592" s="377"/>
      <c r="H5592" s="377"/>
      <c r="I5592" s="399"/>
      <c r="J5592" s="377"/>
      <c r="K5592" s="377"/>
      <c r="L5592" s="378"/>
      <c r="M5592" s="377"/>
      <c r="N5592" s="377"/>
      <c r="O5592" s="380"/>
      <c r="P5592" s="380"/>
      <c r="Q5592" s="380"/>
    </row>
    <row r="5593" spans="1:17" x14ac:dyDescent="0.2">
      <c r="A5593" s="334" t="s">
        <v>1576</v>
      </c>
      <c r="B5593" s="380"/>
      <c r="C5593" s="334" t="s">
        <v>1590</v>
      </c>
      <c r="D5593" s="377"/>
      <c r="E5593" s="377"/>
      <c r="F5593" s="378"/>
      <c r="G5593" s="377"/>
      <c r="H5593" s="377"/>
      <c r="I5593" s="399"/>
      <c r="J5593" s="377"/>
      <c r="K5593" s="377"/>
      <c r="L5593" s="378"/>
      <c r="M5593" s="377"/>
      <c r="N5593" s="377"/>
      <c r="O5593" s="380"/>
      <c r="P5593" s="380"/>
      <c r="Q5593" s="380"/>
    </row>
    <row r="5594" spans="1:17" x14ac:dyDescent="0.2">
      <c r="A5594" s="334" t="s">
        <v>1737</v>
      </c>
      <c r="B5594" s="380"/>
      <c r="C5594" s="334" t="s">
        <v>1984</v>
      </c>
      <c r="D5594" s="377"/>
      <c r="E5594" s="377"/>
      <c r="F5594" s="378"/>
      <c r="G5594" s="377"/>
      <c r="H5594" s="377"/>
      <c r="I5594" s="399"/>
      <c r="J5594" s="377"/>
      <c r="K5594" s="377"/>
      <c r="L5594" s="378"/>
      <c r="M5594" s="377"/>
      <c r="N5594" s="377"/>
      <c r="O5594" s="380"/>
      <c r="P5594" s="380"/>
      <c r="Q5594" s="380"/>
    </row>
    <row r="5595" spans="1:17" x14ac:dyDescent="0.2">
      <c r="A5595" s="384" t="s">
        <v>1726</v>
      </c>
      <c r="B5595" s="380"/>
      <c r="C5595" s="334" t="s">
        <v>1117</v>
      </c>
      <c r="D5595" s="377"/>
      <c r="E5595" s="377"/>
      <c r="F5595" s="378"/>
      <c r="G5595" s="377"/>
      <c r="H5595" s="377"/>
      <c r="I5595" s="399"/>
      <c r="J5595" s="377"/>
      <c r="K5595" s="377"/>
      <c r="L5595" s="378"/>
      <c r="M5595" s="377"/>
      <c r="N5595" s="377"/>
      <c r="O5595" s="380"/>
      <c r="P5595" s="380"/>
      <c r="Q5595" s="380"/>
    </row>
    <row r="5596" spans="1:17" x14ac:dyDescent="0.2">
      <c r="A5596" s="384" t="s">
        <v>1751</v>
      </c>
      <c r="B5596" s="380"/>
      <c r="C5596" s="334" t="s">
        <v>3138</v>
      </c>
      <c r="D5596" s="377"/>
      <c r="E5596" s="377"/>
      <c r="F5596" s="378"/>
      <c r="G5596" s="377"/>
      <c r="H5596" s="377"/>
      <c r="I5596" s="399"/>
      <c r="J5596" s="377"/>
      <c r="K5596" s="377"/>
      <c r="L5596" s="378"/>
      <c r="M5596" s="377"/>
      <c r="N5596" s="377"/>
      <c r="O5596" s="380"/>
      <c r="P5596" s="380"/>
      <c r="Q5596" s="380"/>
    </row>
    <row r="5597" spans="1:17" x14ac:dyDescent="0.2">
      <c r="A5597" s="334" t="s">
        <v>1752</v>
      </c>
      <c r="B5597" s="380"/>
      <c r="C5597" s="334" t="s">
        <v>367</v>
      </c>
      <c r="D5597" s="377"/>
      <c r="E5597" s="377"/>
      <c r="F5597" s="378"/>
      <c r="G5597" s="377"/>
      <c r="H5597" s="377"/>
      <c r="I5597" s="399"/>
      <c r="J5597" s="377"/>
      <c r="K5597" s="377"/>
      <c r="L5597" s="378"/>
      <c r="M5597" s="377"/>
      <c r="N5597" s="377"/>
      <c r="O5597" s="380"/>
      <c r="P5597" s="380"/>
      <c r="Q5597" s="380"/>
    </row>
    <row r="5598" spans="1:17" x14ac:dyDescent="0.2">
      <c r="A5598" s="334" t="s">
        <v>1734</v>
      </c>
      <c r="B5598" s="380"/>
      <c r="C5598" s="334" t="s">
        <v>1746</v>
      </c>
      <c r="D5598" s="377"/>
      <c r="E5598" s="377"/>
      <c r="F5598" s="378"/>
      <c r="G5598" s="377"/>
      <c r="H5598" s="377"/>
      <c r="I5598" s="399"/>
      <c r="J5598" s="377"/>
      <c r="K5598" s="377"/>
      <c r="L5598" s="378"/>
      <c r="M5598" s="377"/>
      <c r="N5598" s="377"/>
      <c r="O5598" s="380"/>
      <c r="P5598" s="380"/>
      <c r="Q5598" s="380"/>
    </row>
    <row r="5599" spans="1:17" x14ac:dyDescent="0.2">
      <c r="A5599" s="334" t="s">
        <v>1578</v>
      </c>
      <c r="B5599" s="380"/>
      <c r="C5599" s="334" t="s">
        <v>22</v>
      </c>
      <c r="D5599" s="377"/>
      <c r="E5599" s="377"/>
      <c r="F5599" s="378"/>
      <c r="G5599" s="377"/>
      <c r="H5599" s="377"/>
      <c r="I5599" s="399"/>
      <c r="J5599" s="377"/>
      <c r="K5599" s="377"/>
      <c r="L5599" s="378"/>
      <c r="M5599" s="377"/>
      <c r="N5599" s="377"/>
      <c r="O5599" s="380"/>
      <c r="P5599" s="380"/>
      <c r="Q5599" s="380"/>
    </row>
    <row r="5600" spans="1:17" x14ac:dyDescent="0.2">
      <c r="A5600" s="334" t="s">
        <v>1738</v>
      </c>
      <c r="B5600" s="380"/>
      <c r="C5600" s="334" t="s">
        <v>1591</v>
      </c>
      <c r="D5600" s="377"/>
      <c r="E5600" s="377"/>
      <c r="F5600" s="378"/>
      <c r="G5600" s="377"/>
      <c r="H5600" s="377"/>
      <c r="I5600" s="399"/>
      <c r="J5600" s="377"/>
      <c r="K5600" s="377"/>
      <c r="L5600" s="378"/>
      <c r="M5600" s="377"/>
      <c r="N5600" s="377"/>
      <c r="O5600" s="380"/>
      <c r="P5600" s="380"/>
      <c r="Q5600" s="380"/>
    </row>
    <row r="5601" spans="1:17" x14ac:dyDescent="0.2">
      <c r="A5601" s="334" t="s">
        <v>1727</v>
      </c>
      <c r="B5601" s="380"/>
      <c r="C5601" s="334" t="s">
        <v>307</v>
      </c>
      <c r="D5601" s="377"/>
      <c r="E5601" s="377"/>
      <c r="F5601" s="378"/>
      <c r="G5601" s="377"/>
      <c r="H5601" s="377"/>
      <c r="I5601" s="399"/>
      <c r="J5601" s="377"/>
      <c r="K5601" s="377"/>
      <c r="L5601" s="378"/>
      <c r="M5601" s="377"/>
      <c r="N5601" s="377"/>
      <c r="O5601" s="380"/>
      <c r="P5601" s="380"/>
      <c r="Q5601" s="380"/>
    </row>
    <row r="5602" spans="1:17" x14ac:dyDescent="0.2">
      <c r="A5602" s="334" t="s">
        <v>1728</v>
      </c>
      <c r="B5602" s="380"/>
      <c r="C5602" s="334" t="s">
        <v>310</v>
      </c>
      <c r="D5602" s="377"/>
      <c r="E5602" s="377"/>
      <c r="F5602" s="378"/>
      <c r="G5602" s="377"/>
      <c r="H5602" s="377"/>
      <c r="I5602" s="399"/>
      <c r="J5602" s="377"/>
      <c r="K5602" s="377"/>
      <c r="L5602" s="378"/>
      <c r="M5602" s="377"/>
      <c r="N5602" s="377"/>
      <c r="O5602" s="380"/>
      <c r="P5602" s="380"/>
      <c r="Q5602" s="380"/>
    </row>
    <row r="5603" spans="1:17" x14ac:dyDescent="0.2">
      <c r="A5603" s="334" t="s">
        <v>1729</v>
      </c>
      <c r="B5603" s="380"/>
      <c r="C5603" s="380" t="s">
        <v>1551</v>
      </c>
      <c r="D5603" s="377"/>
      <c r="E5603" s="377"/>
      <c r="F5603" s="378"/>
      <c r="G5603" s="377"/>
      <c r="H5603" s="377"/>
      <c r="I5603" s="399"/>
      <c r="J5603" s="377"/>
      <c r="K5603" s="377"/>
      <c r="L5603" s="378"/>
      <c r="M5603" s="377"/>
      <c r="N5603" s="377"/>
      <c r="O5603" s="380"/>
      <c r="P5603" s="380"/>
      <c r="Q5603" s="380"/>
    </row>
    <row r="5604" spans="1:17" x14ac:dyDescent="0.2">
      <c r="A5604" s="334" t="s">
        <v>1735</v>
      </c>
      <c r="B5604" s="380"/>
      <c r="C5604" s="380" t="s">
        <v>194</v>
      </c>
      <c r="D5604" s="377"/>
      <c r="E5604" s="377"/>
      <c r="F5604" s="378"/>
      <c r="G5604" s="377"/>
      <c r="H5604" s="377"/>
      <c r="I5604" s="399"/>
      <c r="J5604" s="377"/>
      <c r="K5604" s="377"/>
      <c r="L5604" s="378"/>
      <c r="M5604" s="377"/>
      <c r="N5604" s="377"/>
      <c r="O5604" s="380"/>
      <c r="P5604" s="380"/>
      <c r="Q5604" s="380"/>
    </row>
    <row r="5605" spans="1:17" x14ac:dyDescent="0.2">
      <c r="A5605" s="334" t="s">
        <v>1741</v>
      </c>
      <c r="B5605" s="380"/>
      <c r="C5605" s="334" t="s">
        <v>1748</v>
      </c>
      <c r="D5605" s="377"/>
      <c r="E5605" s="377"/>
      <c r="F5605" s="378"/>
      <c r="G5605" s="377"/>
      <c r="H5605" s="377"/>
      <c r="I5605" s="399"/>
      <c r="J5605" s="377"/>
      <c r="K5605" s="377"/>
      <c r="L5605" s="378"/>
      <c r="M5605" s="377"/>
      <c r="N5605" s="377"/>
      <c r="O5605" s="380"/>
      <c r="P5605" s="380"/>
      <c r="Q5605" s="380"/>
    </row>
    <row r="5606" spans="1:17" x14ac:dyDescent="0.2">
      <c r="A5606" s="334" t="s">
        <v>1742</v>
      </c>
      <c r="B5606" s="380"/>
      <c r="C5606" s="334" t="s">
        <v>1553</v>
      </c>
      <c r="D5606" s="377"/>
      <c r="E5606" s="377"/>
      <c r="F5606" s="378"/>
      <c r="G5606" s="377"/>
      <c r="H5606" s="377"/>
      <c r="I5606" s="399"/>
      <c r="J5606" s="377"/>
      <c r="K5606" s="377"/>
      <c r="L5606" s="378"/>
      <c r="M5606" s="377"/>
      <c r="N5606" s="377"/>
      <c r="O5606" s="380"/>
      <c r="P5606" s="380"/>
      <c r="Q5606" s="380"/>
    </row>
    <row r="5607" spans="1:17" x14ac:dyDescent="0.2">
      <c r="A5607" s="334" t="s">
        <v>1584</v>
      </c>
      <c r="B5607" s="380"/>
      <c r="C5607" s="334" t="s">
        <v>0</v>
      </c>
      <c r="D5607" s="377"/>
      <c r="E5607" s="377"/>
      <c r="F5607" s="378"/>
      <c r="G5607" s="377"/>
      <c r="H5607" s="377"/>
      <c r="I5607" s="399"/>
      <c r="J5607" s="377"/>
      <c r="K5607" s="377"/>
      <c r="L5607" s="378"/>
      <c r="M5607" s="377"/>
      <c r="N5607" s="377"/>
      <c r="O5607" s="380"/>
      <c r="P5607" s="380"/>
      <c r="Q5607" s="380"/>
    </row>
    <row r="5608" spans="1:17" x14ac:dyDescent="0.2">
      <c r="A5608" s="334" t="s">
        <v>1730</v>
      </c>
      <c r="B5608" s="380"/>
      <c r="C5608" s="334" t="s">
        <v>1985</v>
      </c>
      <c r="D5608" s="377"/>
      <c r="E5608" s="377"/>
      <c r="F5608" s="378"/>
      <c r="G5608" s="377"/>
      <c r="H5608" s="377"/>
      <c r="I5608" s="399"/>
      <c r="J5608" s="377"/>
      <c r="K5608" s="377"/>
      <c r="L5608" s="378"/>
      <c r="M5608" s="377"/>
      <c r="N5608" s="377"/>
      <c r="O5608" s="380"/>
      <c r="P5608" s="380"/>
      <c r="Q5608" s="380"/>
    </row>
    <row r="5609" spans="1:17" x14ac:dyDescent="0.2">
      <c r="A5609" s="334" t="s">
        <v>1566</v>
      </c>
      <c r="B5609" s="380"/>
      <c r="C5609" s="334" t="s">
        <v>366</v>
      </c>
      <c r="D5609" s="377"/>
      <c r="E5609" s="377"/>
      <c r="F5609" s="378"/>
      <c r="G5609" s="377"/>
      <c r="H5609" s="377"/>
      <c r="I5609" s="399"/>
      <c r="J5609" s="377"/>
      <c r="K5609" s="377"/>
      <c r="L5609" s="378"/>
      <c r="M5609" s="377"/>
      <c r="N5609" s="377"/>
      <c r="O5609" s="380"/>
      <c r="P5609" s="380"/>
      <c r="Q5609" s="380"/>
    </row>
    <row r="5610" spans="1:17" x14ac:dyDescent="0.2">
      <c r="A5610" s="334" t="s">
        <v>1587</v>
      </c>
      <c r="B5610" s="380"/>
      <c r="C5610" s="334" t="s">
        <v>34</v>
      </c>
      <c r="D5610" s="377"/>
      <c r="E5610" s="377"/>
      <c r="F5610" s="378"/>
      <c r="G5610" s="377"/>
      <c r="H5610" s="377"/>
      <c r="I5610" s="399"/>
      <c r="J5610" s="377"/>
      <c r="K5610" s="377"/>
      <c r="L5610" s="378"/>
      <c r="M5610" s="377"/>
      <c r="N5610" s="377"/>
      <c r="O5610" s="380"/>
      <c r="P5610" s="380"/>
      <c r="Q5610" s="380"/>
    </row>
    <row r="5611" spans="1:17" x14ac:dyDescent="0.2">
      <c r="A5611" s="334" t="s">
        <v>1903</v>
      </c>
      <c r="B5611" s="380"/>
      <c r="C5611" s="334" t="s">
        <v>35</v>
      </c>
      <c r="D5611" s="377"/>
      <c r="E5611" s="377"/>
      <c r="F5611" s="378"/>
      <c r="G5611" s="377"/>
      <c r="H5611" s="377"/>
      <c r="I5611" s="399"/>
      <c r="J5611" s="377"/>
      <c r="K5611" s="377"/>
      <c r="L5611" s="378"/>
      <c r="M5611" s="377"/>
      <c r="N5611" s="377"/>
      <c r="O5611" s="380"/>
      <c r="P5611" s="380"/>
      <c r="Q5611" s="380"/>
    </row>
    <row r="5612" spans="1:17" x14ac:dyDescent="0.2">
      <c r="A5612" s="334" t="s">
        <v>1962</v>
      </c>
      <c r="B5612" s="380"/>
      <c r="C5612" s="380" t="s">
        <v>572</v>
      </c>
      <c r="D5612" s="377"/>
      <c r="E5612" s="380"/>
      <c r="F5612" s="378"/>
      <c r="G5612" s="380"/>
      <c r="H5612" s="380"/>
      <c r="I5612" s="399"/>
      <c r="J5612" s="377"/>
      <c r="K5612" s="382"/>
      <c r="L5612" s="380"/>
      <c r="M5612" s="380"/>
      <c r="N5612" s="380"/>
      <c r="O5612" s="380"/>
      <c r="P5612" s="380"/>
      <c r="Q5612" s="380"/>
    </row>
    <row r="5613" spans="1:17" x14ac:dyDescent="0.2">
      <c r="A5613" s="334" t="s">
        <v>1567</v>
      </c>
      <c r="B5613" s="380"/>
      <c r="C5613" s="334" t="s">
        <v>3142</v>
      </c>
      <c r="D5613" s="377"/>
      <c r="E5613" s="377"/>
      <c r="F5613" s="378"/>
      <c r="G5613" s="377"/>
      <c r="H5613" s="377"/>
      <c r="I5613" s="399"/>
      <c r="J5613" s="377"/>
      <c r="K5613" s="377"/>
      <c r="L5613" s="378"/>
      <c r="M5613" s="377"/>
      <c r="N5613" s="377"/>
      <c r="O5613" s="380"/>
      <c r="P5613" s="380"/>
      <c r="Q5613" s="380"/>
    </row>
    <row r="5614" spans="1:17" x14ac:dyDescent="0.2">
      <c r="A5614" s="380"/>
      <c r="B5614" s="380"/>
      <c r="C5614" s="380"/>
      <c r="D5614" s="394"/>
      <c r="E5614" s="394"/>
      <c r="F5614" s="413"/>
      <c r="G5614" s="394"/>
      <c r="H5614" s="394"/>
      <c r="I5614" s="385"/>
      <c r="J5614" s="394"/>
      <c r="K5614" s="394"/>
      <c r="L5614" s="413"/>
      <c r="M5614" s="394"/>
      <c r="N5614" s="394"/>
      <c r="O5614" s="380"/>
      <c r="P5614" s="380"/>
      <c r="Q5614" s="380"/>
    </row>
    <row r="5615" spans="1:17" x14ac:dyDescent="0.2">
      <c r="A5615" s="380"/>
      <c r="B5615" s="380"/>
      <c r="C5615" s="380"/>
      <c r="D5615" s="334">
        <f>SUM(D5585:D5613)</f>
        <v>0</v>
      </c>
      <c r="E5615" s="334">
        <f>SUM(E5584:E5613)</f>
        <v>0</v>
      </c>
      <c r="F5615" s="412">
        <f>SUM(F5584:F5613)</f>
        <v>0</v>
      </c>
      <c r="G5615" s="334"/>
      <c r="H5615" s="334">
        <f>SUM(H5584:H5613)</f>
        <v>0</v>
      </c>
      <c r="I5615" s="399"/>
      <c r="J5615" s="334">
        <f>SUM(J5585:J5613)</f>
        <v>0</v>
      </c>
      <c r="K5615" s="334">
        <f>SUM(K5584:K5613)</f>
        <v>0</v>
      </c>
      <c r="L5615" s="412">
        <f>SUM(L5584:L5613)</f>
        <v>0</v>
      </c>
      <c r="M5615" s="334"/>
      <c r="N5615" s="334">
        <f>SUM(N5584:N5613)</f>
        <v>0</v>
      </c>
      <c r="O5615" s="380"/>
      <c r="P5615" s="380"/>
      <c r="Q5615" s="380"/>
    </row>
    <row r="5616" spans="1:17" ht="15.75" thickTop="1" x14ac:dyDescent="0.2">
      <c r="A5616" s="380"/>
      <c r="B5616" s="380"/>
      <c r="C5616" s="380"/>
      <c r="D5616" s="395">
        <f>D5615-D5585</f>
        <v>0</v>
      </c>
      <c r="E5616" s="395">
        <f>E5615-E5584</f>
        <v>0</v>
      </c>
      <c r="F5616" s="401">
        <f>F5615-F5584</f>
        <v>0</v>
      </c>
      <c r="G5616" s="395"/>
      <c r="H5616" s="395">
        <f>H5615-H5584</f>
        <v>0</v>
      </c>
      <c r="I5616" s="382"/>
      <c r="J5616" s="395">
        <f>J5615-J5585</f>
        <v>0</v>
      </c>
      <c r="K5616" s="395">
        <f>K5615-K5584</f>
        <v>0</v>
      </c>
      <c r="L5616" s="401">
        <f>L5615-L5584</f>
        <v>0</v>
      </c>
      <c r="M5616" s="395"/>
      <c r="N5616" s="395">
        <f>N5615-N5584</f>
        <v>0</v>
      </c>
      <c r="O5616" s="380"/>
      <c r="P5616" s="380"/>
      <c r="Q5616" s="380"/>
    </row>
    <row r="5617" spans="1:17" x14ac:dyDescent="0.2">
      <c r="A5617" s="334" t="s">
        <v>342</v>
      </c>
      <c r="B5617" s="380"/>
      <c r="C5617" s="334" t="s">
        <v>342</v>
      </c>
      <c r="D5617" s="380"/>
      <c r="E5617" s="334"/>
      <c r="F5617" s="412"/>
      <c r="G5617" s="334"/>
      <c r="H5617" s="380"/>
      <c r="I5617" s="385"/>
      <c r="J5617" s="380"/>
      <c r="K5617" s="334"/>
      <c r="L5617" s="412"/>
      <c r="M5617" s="334"/>
      <c r="N5617" s="380"/>
      <c r="O5617" s="380"/>
      <c r="P5617" s="380"/>
      <c r="Q5617" s="380"/>
    </row>
    <row r="5618" spans="1:17" x14ac:dyDescent="0.2">
      <c r="A5618" s="334" t="s">
        <v>475</v>
      </c>
      <c r="B5618" s="380"/>
      <c r="C5618" s="380"/>
      <c r="D5618" s="334"/>
      <c r="E5618" s="380"/>
      <c r="F5618" s="475"/>
      <c r="G5618" s="424"/>
      <c r="H5618" s="443"/>
      <c r="I5618" s="443"/>
      <c r="J5618" s="334"/>
      <c r="K5618" s="382"/>
      <c r="L5618" s="475"/>
      <c r="M5618" s="424"/>
      <c r="N5618" s="443"/>
      <c r="O5618" s="380"/>
      <c r="P5618" s="380"/>
      <c r="Q5618" s="380"/>
    </row>
    <row r="5619" spans="1:17" x14ac:dyDescent="0.2">
      <c r="A5619" s="334" t="s">
        <v>342</v>
      </c>
      <c r="B5619" s="380"/>
      <c r="C5619" s="334"/>
      <c r="D5619" s="442" t="s">
        <v>297</v>
      </c>
      <c r="E5619" s="384" t="s">
        <v>476</v>
      </c>
      <c r="F5619" s="415"/>
      <c r="G5619" s="385"/>
      <c r="H5619" s="382"/>
      <c r="I5619" s="385"/>
      <c r="J5619" s="442" t="s">
        <v>297</v>
      </c>
      <c r="K5619" s="384" t="s">
        <v>476</v>
      </c>
      <c r="L5619" s="415"/>
      <c r="M5619" s="385"/>
      <c r="N5619" s="382"/>
      <c r="O5619" s="380"/>
      <c r="P5619" s="380"/>
      <c r="Q5619" s="380"/>
    </row>
    <row r="5620" spans="1:17" x14ac:dyDescent="0.2">
      <c r="A5620" s="334" t="s">
        <v>342</v>
      </c>
      <c r="B5620" s="380"/>
      <c r="C5620" s="334" t="s">
        <v>342</v>
      </c>
      <c r="D5620" s="334" t="s">
        <v>228</v>
      </c>
      <c r="E5620" s="334" t="s">
        <v>799</v>
      </c>
      <c r="F5620" s="415"/>
      <c r="G5620" s="385"/>
      <c r="H5620" s="385"/>
      <c r="I5620" s="385"/>
      <c r="J5620" s="334" t="s">
        <v>228</v>
      </c>
      <c r="K5620" s="334" t="s">
        <v>799</v>
      </c>
      <c r="L5620" s="415"/>
      <c r="M5620" s="385"/>
      <c r="N5620" s="385"/>
      <c r="O5620" s="380"/>
      <c r="P5620" s="380"/>
      <c r="Q5620" s="380"/>
    </row>
    <row r="5621" spans="1:17" x14ac:dyDescent="0.2">
      <c r="A5621" s="334" t="s">
        <v>1723</v>
      </c>
      <c r="B5621" s="380"/>
      <c r="C5621" s="334" t="s">
        <v>1880</v>
      </c>
      <c r="D5621" s="334" t="s">
        <v>181</v>
      </c>
      <c r="E5621" s="334" t="s">
        <v>181</v>
      </c>
      <c r="F5621" s="416"/>
      <c r="G5621" s="382"/>
      <c r="H5621" s="382"/>
      <c r="I5621" s="382"/>
      <c r="J5621" s="334" t="s">
        <v>181</v>
      </c>
      <c r="K5621" s="334" t="s">
        <v>181</v>
      </c>
      <c r="L5621" s="416"/>
      <c r="M5621" s="382"/>
      <c r="N5621" s="382"/>
      <c r="O5621" s="380"/>
      <c r="P5621" s="380"/>
      <c r="Q5621" s="380"/>
    </row>
    <row r="5622" spans="1:17" x14ac:dyDescent="0.2">
      <c r="A5622" s="380"/>
      <c r="B5622" s="380"/>
      <c r="C5622" s="380"/>
      <c r="D5622" s="380"/>
      <c r="E5622" s="377"/>
      <c r="F5622" s="416"/>
      <c r="G5622" s="399"/>
      <c r="H5622" s="399"/>
      <c r="I5622" s="399"/>
      <c r="J5622" s="380"/>
      <c r="K5622" s="377"/>
      <c r="L5622" s="416"/>
      <c r="M5622" s="399"/>
      <c r="N5622" s="399"/>
      <c r="O5622" s="380"/>
      <c r="P5622" s="380"/>
      <c r="Q5622" s="380"/>
    </row>
    <row r="5623" spans="1:17" x14ac:dyDescent="0.2">
      <c r="A5623" s="334" t="s">
        <v>1568</v>
      </c>
      <c r="B5623" s="380"/>
      <c r="C5623" s="380" t="s">
        <v>1817</v>
      </c>
      <c r="D5623" s="377"/>
      <c r="E5623" s="377">
        <v>0</v>
      </c>
      <c r="F5623" s="416"/>
      <c r="G5623" s="399"/>
      <c r="H5623" s="399"/>
      <c r="I5623" s="399"/>
      <c r="J5623" s="377"/>
      <c r="K5623" s="377">
        <v>0</v>
      </c>
      <c r="L5623" s="416"/>
      <c r="M5623" s="399"/>
      <c r="N5623" s="399"/>
      <c r="O5623" s="380"/>
      <c r="P5623" s="380"/>
      <c r="Q5623" s="380"/>
    </row>
    <row r="5624" spans="1:17" x14ac:dyDescent="0.2">
      <c r="A5624" s="334" t="s">
        <v>1724</v>
      </c>
      <c r="B5624" s="380"/>
      <c r="C5624" s="334" t="s">
        <v>1881</v>
      </c>
      <c r="D5624" s="377">
        <v>0</v>
      </c>
      <c r="E5624" s="377"/>
      <c r="F5624" s="416"/>
      <c r="G5624" s="399"/>
      <c r="H5624" s="399"/>
      <c r="I5624" s="399"/>
      <c r="J5624" s="377">
        <v>0</v>
      </c>
      <c r="K5624" s="377"/>
      <c r="L5624" s="416"/>
      <c r="M5624" s="399"/>
      <c r="N5624" s="399"/>
      <c r="O5624" s="380"/>
      <c r="P5624" s="380"/>
      <c r="Q5624" s="380"/>
    </row>
    <row r="5625" spans="1:17" x14ac:dyDescent="0.2">
      <c r="A5625" s="334" t="s">
        <v>1961</v>
      </c>
      <c r="B5625" s="380"/>
      <c r="C5625" s="334" t="s">
        <v>9</v>
      </c>
      <c r="D5625" s="377"/>
      <c r="E5625" s="377"/>
      <c r="F5625" s="416"/>
      <c r="G5625" s="399"/>
      <c r="H5625" s="399"/>
      <c r="I5625" s="399"/>
      <c r="J5625" s="377"/>
      <c r="K5625" s="377"/>
      <c r="L5625" s="416"/>
      <c r="M5625" s="399"/>
      <c r="N5625" s="399"/>
      <c r="O5625" s="380"/>
      <c r="P5625" s="380"/>
      <c r="Q5625" s="380"/>
    </row>
    <row r="5626" spans="1:17" x14ac:dyDescent="0.2">
      <c r="A5626" s="334" t="s">
        <v>1736</v>
      </c>
      <c r="B5626" s="380"/>
      <c r="C5626" s="334" t="s">
        <v>1747</v>
      </c>
      <c r="D5626" s="377"/>
      <c r="E5626" s="377"/>
      <c r="F5626" s="416"/>
      <c r="G5626" s="399"/>
      <c r="H5626" s="399"/>
      <c r="I5626" s="399"/>
      <c r="J5626" s="377"/>
      <c r="K5626" s="377"/>
      <c r="L5626" s="416"/>
      <c r="M5626" s="399"/>
      <c r="N5626" s="399"/>
      <c r="O5626" s="380"/>
      <c r="P5626" s="380"/>
      <c r="Q5626" s="380"/>
    </row>
    <row r="5627" spans="1:17" x14ac:dyDescent="0.2">
      <c r="A5627" s="334" t="s">
        <v>1744</v>
      </c>
      <c r="B5627" s="380"/>
      <c r="C5627" s="334" t="s">
        <v>1254</v>
      </c>
      <c r="D5627" s="377"/>
      <c r="E5627" s="377"/>
      <c r="F5627" s="416"/>
      <c r="G5627" s="399"/>
      <c r="H5627" s="399"/>
      <c r="I5627" s="399"/>
      <c r="J5627" s="377"/>
      <c r="K5627" s="377"/>
      <c r="L5627" s="416"/>
      <c r="M5627" s="399"/>
      <c r="N5627" s="399"/>
      <c r="O5627" s="380"/>
      <c r="P5627" s="380"/>
      <c r="Q5627" s="380"/>
    </row>
    <row r="5628" spans="1:17" x14ac:dyDescent="0.2">
      <c r="A5628" s="334" t="s">
        <v>1582</v>
      </c>
      <c r="B5628" s="380"/>
      <c r="C5628" s="334" t="s">
        <v>3135</v>
      </c>
      <c r="D5628" s="377"/>
      <c r="E5628" s="377"/>
      <c r="F5628" s="416"/>
      <c r="G5628" s="399"/>
      <c r="H5628" s="399"/>
      <c r="I5628" s="399"/>
      <c r="J5628" s="377"/>
      <c r="K5628" s="377"/>
      <c r="L5628" s="416"/>
      <c r="M5628" s="399"/>
      <c r="N5628" s="399"/>
      <c r="O5628" s="380"/>
      <c r="P5628" s="380"/>
      <c r="Q5628" s="380"/>
    </row>
    <row r="5629" spans="1:17" x14ac:dyDescent="0.2">
      <c r="A5629" s="334" t="s">
        <v>1745</v>
      </c>
      <c r="B5629" s="380"/>
      <c r="C5629" s="334" t="s">
        <v>1887</v>
      </c>
      <c r="D5629" s="377"/>
      <c r="E5629" s="377"/>
      <c r="F5629" s="416"/>
      <c r="G5629" s="399"/>
      <c r="H5629" s="399"/>
      <c r="I5629" s="399"/>
      <c r="J5629" s="377"/>
      <c r="K5629" s="377"/>
      <c r="L5629" s="416"/>
      <c r="M5629" s="399"/>
      <c r="N5629" s="399"/>
      <c r="O5629" s="380"/>
      <c r="P5629" s="380"/>
      <c r="Q5629" s="380"/>
    </row>
    <row r="5630" spans="1:17" x14ac:dyDescent="0.2">
      <c r="A5630" s="334" t="s">
        <v>1906</v>
      </c>
      <c r="B5630" s="380"/>
      <c r="C5630" s="334" t="s">
        <v>39</v>
      </c>
      <c r="D5630" s="377"/>
      <c r="E5630" s="377"/>
      <c r="F5630" s="416"/>
      <c r="G5630" s="399"/>
      <c r="H5630" s="399"/>
      <c r="I5630" s="399"/>
      <c r="J5630" s="377"/>
      <c r="K5630" s="377"/>
      <c r="L5630" s="416"/>
      <c r="M5630" s="399"/>
      <c r="N5630" s="399"/>
      <c r="O5630" s="380"/>
      <c r="P5630" s="380"/>
      <c r="Q5630" s="380"/>
    </row>
    <row r="5631" spans="1:17" x14ac:dyDescent="0.2">
      <c r="A5631" s="334" t="s">
        <v>1576</v>
      </c>
      <c r="B5631" s="380"/>
      <c r="C5631" s="334" t="s">
        <v>1590</v>
      </c>
      <c r="D5631" s="377"/>
      <c r="E5631" s="377"/>
      <c r="F5631" s="416"/>
      <c r="G5631" s="399"/>
      <c r="H5631" s="399"/>
      <c r="I5631" s="399"/>
      <c r="J5631" s="377"/>
      <c r="K5631" s="377"/>
      <c r="L5631" s="416"/>
      <c r="M5631" s="399"/>
      <c r="N5631" s="399"/>
      <c r="O5631" s="380"/>
      <c r="P5631" s="380"/>
      <c r="Q5631" s="380"/>
    </row>
    <row r="5632" spans="1:17" x14ac:dyDescent="0.2">
      <c r="A5632" s="334" t="s">
        <v>1737</v>
      </c>
      <c r="B5632" s="380"/>
      <c r="C5632" s="334" t="s">
        <v>1984</v>
      </c>
      <c r="D5632" s="377"/>
      <c r="E5632" s="377"/>
      <c r="F5632" s="416"/>
      <c r="G5632" s="399"/>
      <c r="H5632" s="399"/>
      <c r="I5632" s="399"/>
      <c r="J5632" s="377"/>
      <c r="K5632" s="377"/>
      <c r="L5632" s="416"/>
      <c r="M5632" s="399"/>
      <c r="N5632" s="399"/>
      <c r="O5632" s="380"/>
      <c r="P5632" s="380"/>
      <c r="Q5632" s="380"/>
    </row>
    <row r="5633" spans="1:17" x14ac:dyDescent="0.2">
      <c r="A5633" s="384" t="s">
        <v>1726</v>
      </c>
      <c r="B5633" s="380"/>
      <c r="C5633" s="334" t="s">
        <v>1117</v>
      </c>
      <c r="D5633" s="377"/>
      <c r="E5633" s="377"/>
      <c r="F5633" s="416"/>
      <c r="G5633" s="399"/>
      <c r="H5633" s="399"/>
      <c r="I5633" s="399"/>
      <c r="J5633" s="377"/>
      <c r="K5633" s="377"/>
      <c r="L5633" s="416"/>
      <c r="M5633" s="399"/>
      <c r="N5633" s="399"/>
      <c r="O5633" s="380"/>
      <c r="P5633" s="380"/>
      <c r="Q5633" s="380"/>
    </row>
    <row r="5634" spans="1:17" x14ac:dyDescent="0.2">
      <c r="A5634" s="384" t="s">
        <v>1751</v>
      </c>
      <c r="B5634" s="380"/>
      <c r="C5634" s="334" t="s">
        <v>3138</v>
      </c>
      <c r="D5634" s="377"/>
      <c r="E5634" s="377"/>
      <c r="F5634" s="416"/>
      <c r="G5634" s="399"/>
      <c r="H5634" s="399"/>
      <c r="I5634" s="399"/>
      <c r="J5634" s="377"/>
      <c r="K5634" s="377"/>
      <c r="L5634" s="416"/>
      <c r="M5634" s="399"/>
      <c r="N5634" s="399"/>
      <c r="O5634" s="380"/>
      <c r="P5634" s="380"/>
      <c r="Q5634" s="380"/>
    </row>
    <row r="5635" spans="1:17" x14ac:dyDescent="0.2">
      <c r="A5635" s="334" t="s">
        <v>1752</v>
      </c>
      <c r="B5635" s="380"/>
      <c r="C5635" s="334" t="s">
        <v>367</v>
      </c>
      <c r="D5635" s="377"/>
      <c r="E5635" s="377"/>
      <c r="F5635" s="416"/>
      <c r="G5635" s="399"/>
      <c r="H5635" s="399"/>
      <c r="I5635" s="399"/>
      <c r="J5635" s="377"/>
      <c r="K5635" s="377"/>
      <c r="L5635" s="416"/>
      <c r="M5635" s="399"/>
      <c r="N5635" s="399"/>
      <c r="O5635" s="380"/>
      <c r="P5635" s="380"/>
      <c r="Q5635" s="380"/>
    </row>
    <row r="5636" spans="1:17" x14ac:dyDescent="0.2">
      <c r="A5636" s="334" t="s">
        <v>1734</v>
      </c>
      <c r="B5636" s="380"/>
      <c r="C5636" s="334" t="s">
        <v>1746</v>
      </c>
      <c r="D5636" s="377"/>
      <c r="E5636" s="377"/>
      <c r="F5636" s="416"/>
      <c r="G5636" s="399"/>
      <c r="H5636" s="399"/>
      <c r="I5636" s="399"/>
      <c r="J5636" s="377"/>
      <c r="K5636" s="377"/>
      <c r="L5636" s="416"/>
      <c r="M5636" s="399"/>
      <c r="N5636" s="399"/>
      <c r="O5636" s="380"/>
      <c r="P5636" s="380"/>
      <c r="Q5636" s="380"/>
    </row>
    <row r="5637" spans="1:17" x14ac:dyDescent="0.2">
      <c r="A5637" s="334" t="s">
        <v>1578</v>
      </c>
      <c r="B5637" s="380"/>
      <c r="C5637" s="334" t="s">
        <v>22</v>
      </c>
      <c r="D5637" s="377"/>
      <c r="E5637" s="377"/>
      <c r="F5637" s="416"/>
      <c r="G5637" s="399"/>
      <c r="H5637" s="399"/>
      <c r="I5637" s="399"/>
      <c r="J5637" s="377"/>
      <c r="K5637" s="377"/>
      <c r="L5637" s="416"/>
      <c r="M5637" s="399"/>
      <c r="N5637" s="399"/>
      <c r="O5637" s="380"/>
      <c r="P5637" s="380"/>
      <c r="Q5637" s="380"/>
    </row>
    <row r="5638" spans="1:17" x14ac:dyDescent="0.2">
      <c r="A5638" s="334" t="s">
        <v>1738</v>
      </c>
      <c r="B5638" s="380"/>
      <c r="C5638" s="334" t="s">
        <v>1591</v>
      </c>
      <c r="D5638" s="377"/>
      <c r="E5638" s="377"/>
      <c r="F5638" s="416"/>
      <c r="G5638" s="399"/>
      <c r="H5638" s="399"/>
      <c r="I5638" s="399"/>
      <c r="J5638" s="377"/>
      <c r="K5638" s="377"/>
      <c r="L5638" s="416"/>
      <c r="M5638" s="399"/>
      <c r="N5638" s="399"/>
      <c r="O5638" s="380"/>
      <c r="P5638" s="380"/>
      <c r="Q5638" s="380"/>
    </row>
    <row r="5639" spans="1:17" x14ac:dyDescent="0.2">
      <c r="A5639" s="334" t="s">
        <v>1727</v>
      </c>
      <c r="B5639" s="380"/>
      <c r="C5639" s="334" t="s">
        <v>307</v>
      </c>
      <c r="D5639" s="377"/>
      <c r="E5639" s="377"/>
      <c r="F5639" s="416"/>
      <c r="G5639" s="399"/>
      <c r="H5639" s="399"/>
      <c r="I5639" s="399"/>
      <c r="J5639" s="377"/>
      <c r="K5639" s="377"/>
      <c r="L5639" s="416"/>
      <c r="M5639" s="399"/>
      <c r="N5639" s="399"/>
      <c r="O5639" s="380"/>
      <c r="P5639" s="380"/>
      <c r="Q5639" s="380"/>
    </row>
    <row r="5640" spans="1:17" x14ac:dyDescent="0.2">
      <c r="A5640" s="334" t="s">
        <v>1728</v>
      </c>
      <c r="B5640" s="380"/>
      <c r="C5640" s="334" t="s">
        <v>310</v>
      </c>
      <c r="D5640" s="377"/>
      <c r="E5640" s="377"/>
      <c r="F5640" s="416"/>
      <c r="G5640" s="399"/>
      <c r="H5640" s="399"/>
      <c r="I5640" s="399"/>
      <c r="J5640" s="377"/>
      <c r="K5640" s="377"/>
      <c r="L5640" s="416"/>
      <c r="M5640" s="399"/>
      <c r="N5640" s="399"/>
      <c r="O5640" s="380"/>
      <c r="P5640" s="380"/>
      <c r="Q5640" s="380"/>
    </row>
    <row r="5641" spans="1:17" x14ac:dyDescent="0.2">
      <c r="A5641" s="334" t="s">
        <v>1729</v>
      </c>
      <c r="B5641" s="380"/>
      <c r="C5641" s="380" t="s">
        <v>1551</v>
      </c>
      <c r="D5641" s="377"/>
      <c r="E5641" s="377"/>
      <c r="F5641" s="416"/>
      <c r="G5641" s="399"/>
      <c r="H5641" s="399"/>
      <c r="I5641" s="399"/>
      <c r="J5641" s="377"/>
      <c r="K5641" s="377"/>
      <c r="L5641" s="416"/>
      <c r="M5641" s="399"/>
      <c r="N5641" s="399"/>
      <c r="O5641" s="380"/>
      <c r="P5641" s="380"/>
      <c r="Q5641" s="380"/>
    </row>
    <row r="5642" spans="1:17" x14ac:dyDescent="0.2">
      <c r="A5642" s="334" t="s">
        <v>1735</v>
      </c>
      <c r="B5642" s="380"/>
      <c r="C5642" s="380" t="s">
        <v>194</v>
      </c>
      <c r="D5642" s="377"/>
      <c r="E5642" s="377"/>
      <c r="F5642" s="416"/>
      <c r="G5642" s="399"/>
      <c r="H5642" s="399"/>
      <c r="I5642" s="399"/>
      <c r="J5642" s="377"/>
      <c r="K5642" s="377"/>
      <c r="L5642" s="416"/>
      <c r="M5642" s="399"/>
      <c r="N5642" s="399"/>
      <c r="O5642" s="380"/>
      <c r="P5642" s="380"/>
      <c r="Q5642" s="380"/>
    </row>
    <row r="5643" spans="1:17" x14ac:dyDescent="0.2">
      <c r="A5643" s="334" t="s">
        <v>1741</v>
      </c>
      <c r="B5643" s="380"/>
      <c r="C5643" s="334" t="s">
        <v>1748</v>
      </c>
      <c r="D5643" s="377"/>
      <c r="E5643" s="377"/>
      <c r="F5643" s="416"/>
      <c r="G5643" s="399"/>
      <c r="H5643" s="399"/>
      <c r="I5643" s="399"/>
      <c r="J5643" s="377"/>
      <c r="K5643" s="377"/>
      <c r="L5643" s="416"/>
      <c r="M5643" s="399"/>
      <c r="N5643" s="399"/>
      <c r="O5643" s="380"/>
      <c r="P5643" s="380"/>
      <c r="Q5643" s="380"/>
    </row>
    <row r="5644" spans="1:17" x14ac:dyDescent="0.2">
      <c r="A5644" s="334" t="s">
        <v>1742</v>
      </c>
      <c r="B5644" s="380"/>
      <c r="C5644" s="334" t="s">
        <v>1553</v>
      </c>
      <c r="D5644" s="377"/>
      <c r="E5644" s="377"/>
      <c r="F5644" s="416"/>
      <c r="G5644" s="399"/>
      <c r="H5644" s="399"/>
      <c r="I5644" s="399"/>
      <c r="J5644" s="377"/>
      <c r="K5644" s="377"/>
      <c r="L5644" s="416"/>
      <c r="M5644" s="399"/>
      <c r="N5644" s="399"/>
      <c r="O5644" s="380"/>
      <c r="P5644" s="380"/>
      <c r="Q5644" s="380"/>
    </row>
    <row r="5645" spans="1:17" x14ac:dyDescent="0.2">
      <c r="A5645" s="334" t="s">
        <v>1584</v>
      </c>
      <c r="B5645" s="380"/>
      <c r="C5645" s="334" t="s">
        <v>0</v>
      </c>
      <c r="D5645" s="377"/>
      <c r="E5645" s="377"/>
      <c r="F5645" s="416"/>
      <c r="G5645" s="399"/>
      <c r="H5645" s="399"/>
      <c r="I5645" s="399"/>
      <c r="J5645" s="377"/>
      <c r="K5645" s="377"/>
      <c r="L5645" s="416"/>
      <c r="M5645" s="399"/>
      <c r="N5645" s="399"/>
      <c r="O5645" s="380"/>
      <c r="P5645" s="380"/>
      <c r="Q5645" s="380"/>
    </row>
    <row r="5646" spans="1:17" x14ac:dyDescent="0.2">
      <c r="A5646" s="334" t="s">
        <v>1730</v>
      </c>
      <c r="B5646" s="380"/>
      <c r="C5646" s="334" t="s">
        <v>1985</v>
      </c>
      <c r="D5646" s="377"/>
      <c r="E5646" s="377"/>
      <c r="F5646" s="416"/>
      <c r="G5646" s="399"/>
      <c r="H5646" s="399"/>
      <c r="I5646" s="399"/>
      <c r="J5646" s="377"/>
      <c r="K5646" s="377"/>
      <c r="L5646" s="416"/>
      <c r="M5646" s="399"/>
      <c r="N5646" s="399"/>
      <c r="O5646" s="380"/>
      <c r="P5646" s="380"/>
      <c r="Q5646" s="380"/>
    </row>
    <row r="5647" spans="1:17" x14ac:dyDescent="0.2">
      <c r="A5647" s="334" t="s">
        <v>1566</v>
      </c>
      <c r="B5647" s="380"/>
      <c r="C5647" s="334" t="s">
        <v>366</v>
      </c>
      <c r="D5647" s="377"/>
      <c r="E5647" s="377"/>
      <c r="F5647" s="416"/>
      <c r="G5647" s="399"/>
      <c r="H5647" s="399"/>
      <c r="I5647" s="399"/>
      <c r="J5647" s="377"/>
      <c r="K5647" s="377"/>
      <c r="L5647" s="416"/>
      <c r="M5647" s="399"/>
      <c r="N5647" s="399"/>
      <c r="O5647" s="380"/>
      <c r="P5647" s="380"/>
      <c r="Q5647" s="380"/>
    </row>
    <row r="5648" spans="1:17" x14ac:dyDescent="0.2">
      <c r="A5648" s="334" t="s">
        <v>1587</v>
      </c>
      <c r="B5648" s="380"/>
      <c r="C5648" s="334" t="s">
        <v>34</v>
      </c>
      <c r="D5648" s="377"/>
      <c r="E5648" s="377"/>
      <c r="F5648" s="416"/>
      <c r="G5648" s="399"/>
      <c r="H5648" s="399"/>
      <c r="I5648" s="399"/>
      <c r="J5648" s="377"/>
      <c r="K5648" s="377"/>
      <c r="L5648" s="416"/>
      <c r="M5648" s="399"/>
      <c r="N5648" s="399"/>
      <c r="O5648" s="380"/>
      <c r="P5648" s="380"/>
      <c r="Q5648" s="380"/>
    </row>
    <row r="5649" spans="1:17" x14ac:dyDescent="0.2">
      <c r="A5649" s="334" t="s">
        <v>1903</v>
      </c>
      <c r="B5649" s="380"/>
      <c r="C5649" s="334" t="s">
        <v>35</v>
      </c>
      <c r="D5649" s="377"/>
      <c r="E5649" s="377"/>
      <c r="F5649" s="416"/>
      <c r="G5649" s="399"/>
      <c r="H5649" s="399"/>
      <c r="I5649" s="399"/>
      <c r="J5649" s="377"/>
      <c r="K5649" s="377"/>
      <c r="L5649" s="416"/>
      <c r="M5649" s="399"/>
      <c r="N5649" s="399"/>
      <c r="O5649" s="380"/>
      <c r="P5649" s="380"/>
      <c r="Q5649" s="380"/>
    </row>
    <row r="5650" spans="1:17" x14ac:dyDescent="0.2">
      <c r="A5650" s="334" t="s">
        <v>1962</v>
      </c>
      <c r="B5650" s="380"/>
      <c r="C5650" s="380" t="s">
        <v>572</v>
      </c>
      <c r="D5650" s="377"/>
      <c r="E5650" s="380"/>
      <c r="F5650" s="416"/>
      <c r="G5650" s="399"/>
      <c r="H5650" s="399"/>
      <c r="I5650" s="399"/>
      <c r="J5650" s="377"/>
      <c r="K5650" s="382"/>
      <c r="L5650" s="416"/>
      <c r="M5650" s="399"/>
      <c r="N5650" s="399"/>
      <c r="O5650" s="380"/>
      <c r="P5650" s="380"/>
      <c r="Q5650" s="380"/>
    </row>
    <row r="5651" spans="1:17" x14ac:dyDescent="0.2">
      <c r="A5651" s="334" t="s">
        <v>1567</v>
      </c>
      <c r="B5651" s="380"/>
      <c r="C5651" s="334" t="s">
        <v>3142</v>
      </c>
      <c r="D5651" s="377"/>
      <c r="E5651" s="377"/>
      <c r="F5651" s="416"/>
      <c r="G5651" s="399"/>
      <c r="H5651" s="399"/>
      <c r="I5651" s="399"/>
      <c r="J5651" s="377"/>
      <c r="K5651" s="377"/>
      <c r="L5651" s="416"/>
      <c r="M5651" s="399"/>
      <c r="N5651" s="399"/>
      <c r="O5651" s="380"/>
      <c r="P5651" s="380"/>
      <c r="Q5651" s="380"/>
    </row>
    <row r="5652" spans="1:17" x14ac:dyDescent="0.2">
      <c r="A5652" s="380"/>
      <c r="B5652" s="380"/>
      <c r="C5652" s="380"/>
      <c r="D5652" s="394"/>
      <c r="E5652" s="394"/>
      <c r="F5652" s="415"/>
      <c r="G5652" s="385"/>
      <c r="H5652" s="385"/>
      <c r="I5652" s="385"/>
      <c r="J5652" s="394"/>
      <c r="K5652" s="394"/>
      <c r="L5652" s="415"/>
      <c r="M5652" s="385"/>
      <c r="N5652" s="385"/>
      <c r="O5652" s="380"/>
      <c r="P5652" s="380"/>
      <c r="Q5652" s="380"/>
    </row>
    <row r="5653" spans="1:17" x14ac:dyDescent="0.2">
      <c r="A5653" s="380"/>
      <c r="B5653" s="380"/>
      <c r="C5653" s="380"/>
      <c r="D5653" s="334">
        <f>SUM(D5623:D5651)</f>
        <v>0</v>
      </c>
      <c r="E5653" s="334">
        <f>SUM(E5622:E5651)</f>
        <v>0</v>
      </c>
      <c r="F5653" s="416"/>
      <c r="G5653" s="399"/>
      <c r="H5653" s="399"/>
      <c r="I5653" s="399"/>
      <c r="J5653" s="334">
        <f>SUM(J5623:J5651)</f>
        <v>0</v>
      </c>
      <c r="K5653" s="334">
        <f>SUM(K5622:K5651)</f>
        <v>0</v>
      </c>
      <c r="L5653" s="416"/>
      <c r="M5653" s="399"/>
      <c r="N5653" s="399"/>
      <c r="O5653" s="380"/>
      <c r="P5653" s="380"/>
      <c r="Q5653" s="380"/>
    </row>
    <row r="5654" spans="1:17" ht="15.75" thickTop="1" x14ac:dyDescent="0.2">
      <c r="A5654" s="380"/>
      <c r="B5654" s="380"/>
      <c r="C5654" s="380"/>
      <c r="D5654" s="395">
        <f>D5653-D5623</f>
        <v>0</v>
      </c>
      <c r="E5654" s="395">
        <f>E5653-E5622</f>
        <v>0</v>
      </c>
      <c r="F5654" s="378"/>
      <c r="G5654" s="380"/>
      <c r="H5654" s="380"/>
      <c r="I5654" s="382"/>
      <c r="J5654" s="395">
        <f>J5653-J5623</f>
        <v>0</v>
      </c>
      <c r="K5654" s="395">
        <f>K5653-K5622</f>
        <v>0</v>
      </c>
      <c r="L5654" s="378"/>
      <c r="M5654" s="380"/>
      <c r="N5654" s="380"/>
      <c r="O5654" s="380"/>
      <c r="P5654" s="380"/>
      <c r="Q5654" s="380"/>
    </row>
    <row r="5655" spans="1:17" x14ac:dyDescent="0.2">
      <c r="A5655" s="334" t="s">
        <v>342</v>
      </c>
      <c r="B5655" s="380"/>
      <c r="C5655" s="334" t="s">
        <v>342</v>
      </c>
      <c r="D5655" s="380"/>
      <c r="E5655" s="334"/>
      <c r="F5655" s="412"/>
      <c r="G5655" s="334"/>
      <c r="H5655" s="380"/>
      <c r="I5655" s="385"/>
      <c r="J5655" s="380"/>
      <c r="K5655" s="334"/>
      <c r="L5655" s="412"/>
      <c r="M5655" s="334"/>
      <c r="N5655" s="380"/>
      <c r="O5655" s="380"/>
      <c r="P5655" s="380"/>
      <c r="Q5655" s="380"/>
    </row>
    <row r="5656" spans="1:17" x14ac:dyDescent="0.2">
      <c r="A5656" s="334" t="s">
        <v>526</v>
      </c>
      <c r="B5656" s="380"/>
      <c r="C5656" s="380"/>
      <c r="D5656" s="334"/>
      <c r="E5656" s="380"/>
      <c r="F5656" s="378"/>
      <c r="G5656" s="380"/>
      <c r="H5656" s="380"/>
      <c r="I5656" s="443"/>
      <c r="J5656" s="334"/>
      <c r="K5656" s="382"/>
      <c r="L5656" s="380"/>
      <c r="M5656" s="380"/>
      <c r="N5656" s="380"/>
      <c r="O5656" s="380"/>
      <c r="P5656" s="380"/>
      <c r="Q5656" s="380"/>
    </row>
    <row r="5657" spans="1:17" x14ac:dyDescent="0.2">
      <c r="A5657" s="334" t="s">
        <v>342</v>
      </c>
      <c r="B5657" s="380"/>
      <c r="C5657" s="334"/>
      <c r="D5657" s="442" t="s">
        <v>293</v>
      </c>
      <c r="E5657" s="384" t="s">
        <v>295</v>
      </c>
      <c r="F5657" s="421" t="s">
        <v>296</v>
      </c>
      <c r="G5657" s="384"/>
      <c r="H5657" s="442" t="s">
        <v>468</v>
      </c>
      <c r="I5657" s="385"/>
      <c r="J5657" s="442" t="s">
        <v>293</v>
      </c>
      <c r="K5657" s="384" t="s">
        <v>295</v>
      </c>
      <c r="L5657" s="421" t="s">
        <v>296</v>
      </c>
      <c r="M5657" s="384"/>
      <c r="N5657" s="442" t="s">
        <v>468</v>
      </c>
      <c r="O5657" s="380"/>
      <c r="P5657" s="380"/>
      <c r="Q5657" s="380"/>
    </row>
    <row r="5658" spans="1:17" x14ac:dyDescent="0.2">
      <c r="A5658" s="334" t="s">
        <v>342</v>
      </c>
      <c r="B5658" s="380"/>
      <c r="C5658" s="334" t="s">
        <v>342</v>
      </c>
      <c r="D5658" s="334" t="s">
        <v>294</v>
      </c>
      <c r="E5658" s="334" t="s">
        <v>796</v>
      </c>
      <c r="F5658" s="412" t="s">
        <v>960</v>
      </c>
      <c r="G5658" s="334"/>
      <c r="H5658" s="380" t="s">
        <v>795</v>
      </c>
      <c r="I5658" s="385"/>
      <c r="J5658" s="334" t="s">
        <v>294</v>
      </c>
      <c r="K5658" s="334" t="s">
        <v>796</v>
      </c>
      <c r="L5658" s="412" t="s">
        <v>960</v>
      </c>
      <c r="M5658" s="334"/>
      <c r="N5658" s="380" t="s">
        <v>795</v>
      </c>
      <c r="O5658" s="380"/>
      <c r="P5658" s="380"/>
      <c r="Q5658" s="380"/>
    </row>
    <row r="5659" spans="1:17" x14ac:dyDescent="0.2">
      <c r="A5659" s="334" t="s">
        <v>1723</v>
      </c>
      <c r="B5659" s="380"/>
      <c r="C5659" s="334" t="s">
        <v>1880</v>
      </c>
      <c r="D5659" s="334" t="s">
        <v>181</v>
      </c>
      <c r="E5659" s="334" t="s">
        <v>181</v>
      </c>
      <c r="F5659" s="412" t="s">
        <v>181</v>
      </c>
      <c r="G5659" s="334"/>
      <c r="H5659" s="334" t="s">
        <v>181</v>
      </c>
      <c r="I5659" s="382"/>
      <c r="J5659" s="334" t="s">
        <v>181</v>
      </c>
      <c r="K5659" s="334" t="s">
        <v>181</v>
      </c>
      <c r="L5659" s="412" t="s">
        <v>181</v>
      </c>
      <c r="M5659" s="334"/>
      <c r="N5659" s="334" t="s">
        <v>181</v>
      </c>
      <c r="O5659" s="380"/>
      <c r="P5659" s="380"/>
      <c r="Q5659" s="380"/>
    </row>
    <row r="5660" spans="1:17" x14ac:dyDescent="0.2">
      <c r="A5660" s="380"/>
      <c r="B5660" s="380"/>
      <c r="C5660" s="380"/>
      <c r="D5660" s="380"/>
      <c r="E5660" s="377"/>
      <c r="F5660" s="378"/>
      <c r="G5660" s="377"/>
      <c r="H5660" s="377"/>
      <c r="I5660" s="399"/>
      <c r="J5660" s="380"/>
      <c r="K5660" s="377"/>
      <c r="L5660" s="378"/>
      <c r="M5660" s="377"/>
      <c r="N5660" s="377"/>
      <c r="O5660" s="380"/>
      <c r="P5660" s="380"/>
      <c r="Q5660" s="380"/>
    </row>
    <row r="5661" spans="1:17" x14ac:dyDescent="0.2">
      <c r="A5661" s="334" t="s">
        <v>1568</v>
      </c>
      <c r="B5661" s="380"/>
      <c r="C5661" s="380" t="s">
        <v>1817</v>
      </c>
      <c r="D5661" s="377"/>
      <c r="E5661" s="377"/>
      <c r="F5661" s="378"/>
      <c r="G5661" s="377"/>
      <c r="H5661" s="377"/>
      <c r="I5661" s="399"/>
      <c r="J5661" s="377"/>
      <c r="K5661" s="377">
        <v>400</v>
      </c>
      <c r="L5661" s="378">
        <v>500</v>
      </c>
      <c r="M5661" s="377"/>
      <c r="N5661" s="377">
        <v>2000</v>
      </c>
      <c r="O5661" s="380"/>
      <c r="P5661" s="380"/>
      <c r="Q5661" s="380"/>
    </row>
    <row r="5662" spans="1:17" x14ac:dyDescent="0.2">
      <c r="A5662" s="334" t="s">
        <v>1724</v>
      </c>
      <c r="B5662" s="380"/>
      <c r="C5662" s="334" t="s">
        <v>1881</v>
      </c>
      <c r="D5662" s="377">
        <v>500</v>
      </c>
      <c r="E5662" s="440">
        <v>400</v>
      </c>
      <c r="F5662" s="474">
        <v>500</v>
      </c>
      <c r="G5662" s="440"/>
      <c r="H5662" s="440">
        <v>2000</v>
      </c>
      <c r="I5662" s="399"/>
      <c r="J5662" s="377"/>
      <c r="K5662" s="377"/>
      <c r="L5662" s="378"/>
      <c r="M5662" s="377"/>
      <c r="N5662" s="377"/>
      <c r="O5662" s="380"/>
      <c r="P5662" s="380"/>
      <c r="Q5662" s="380"/>
    </row>
    <row r="5663" spans="1:17" x14ac:dyDescent="0.2">
      <c r="A5663" s="334" t="s">
        <v>1961</v>
      </c>
      <c r="B5663" s="380"/>
      <c r="C5663" s="334" t="s">
        <v>9</v>
      </c>
      <c r="D5663" s="377"/>
      <c r="E5663" s="377"/>
      <c r="F5663" s="378"/>
      <c r="G5663" s="377"/>
      <c r="H5663" s="377"/>
      <c r="I5663" s="399"/>
      <c r="J5663" s="377"/>
      <c r="K5663" s="377"/>
      <c r="L5663" s="378"/>
      <c r="M5663" s="377"/>
      <c r="N5663" s="377"/>
      <c r="O5663" s="380"/>
      <c r="P5663" s="380"/>
      <c r="Q5663" s="380"/>
    </row>
    <row r="5664" spans="1:17" x14ac:dyDescent="0.2">
      <c r="A5664" s="334" t="s">
        <v>1736</v>
      </c>
      <c r="B5664" s="380"/>
      <c r="C5664" s="334" t="s">
        <v>1747</v>
      </c>
      <c r="D5664" s="377"/>
      <c r="E5664" s="377"/>
      <c r="F5664" s="378"/>
      <c r="G5664" s="377"/>
      <c r="H5664" s="377"/>
      <c r="I5664" s="399"/>
      <c r="J5664" s="377"/>
      <c r="K5664" s="377"/>
      <c r="L5664" s="378"/>
      <c r="M5664" s="377"/>
      <c r="N5664" s="377"/>
      <c r="O5664" s="380"/>
      <c r="P5664" s="380"/>
      <c r="Q5664" s="380"/>
    </row>
    <row r="5665" spans="1:17" x14ac:dyDescent="0.2">
      <c r="A5665" s="334" t="s">
        <v>1744</v>
      </c>
      <c r="B5665" s="380"/>
      <c r="C5665" s="334" t="s">
        <v>1254</v>
      </c>
      <c r="D5665" s="377"/>
      <c r="E5665" s="377"/>
      <c r="F5665" s="378"/>
      <c r="G5665" s="377"/>
      <c r="H5665" s="377"/>
      <c r="I5665" s="399"/>
      <c r="J5665" s="377"/>
      <c r="K5665" s="377"/>
      <c r="L5665" s="378"/>
      <c r="M5665" s="377"/>
      <c r="N5665" s="377"/>
      <c r="O5665" s="380"/>
      <c r="P5665" s="380"/>
      <c r="Q5665" s="380"/>
    </row>
    <row r="5666" spans="1:17" x14ac:dyDescent="0.2">
      <c r="A5666" s="334" t="s">
        <v>1582</v>
      </c>
      <c r="B5666" s="380"/>
      <c r="C5666" s="334" t="s">
        <v>3135</v>
      </c>
      <c r="D5666" s="377"/>
      <c r="E5666" s="377"/>
      <c r="F5666" s="378"/>
      <c r="G5666" s="377"/>
      <c r="H5666" s="377"/>
      <c r="I5666" s="399"/>
      <c r="J5666" s="377"/>
      <c r="K5666" s="377"/>
      <c r="L5666" s="378"/>
      <c r="M5666" s="377"/>
      <c r="N5666" s="377"/>
      <c r="O5666" s="380"/>
      <c r="P5666" s="380"/>
      <c r="Q5666" s="380"/>
    </row>
    <row r="5667" spans="1:17" x14ac:dyDescent="0.2">
      <c r="A5667" s="334" t="s">
        <v>1745</v>
      </c>
      <c r="B5667" s="380"/>
      <c r="C5667" s="334" t="s">
        <v>1887</v>
      </c>
      <c r="D5667" s="377"/>
      <c r="E5667" s="377"/>
      <c r="F5667" s="378"/>
      <c r="G5667" s="377"/>
      <c r="H5667" s="377"/>
      <c r="I5667" s="399"/>
      <c r="J5667" s="377"/>
      <c r="K5667" s="377"/>
      <c r="L5667" s="378"/>
      <c r="M5667" s="377"/>
      <c r="N5667" s="377"/>
      <c r="O5667" s="380"/>
      <c r="P5667" s="380"/>
      <c r="Q5667" s="380"/>
    </row>
    <row r="5668" spans="1:17" x14ac:dyDescent="0.2">
      <c r="A5668" s="334" t="s">
        <v>1906</v>
      </c>
      <c r="B5668" s="380"/>
      <c r="C5668" s="334" t="s">
        <v>39</v>
      </c>
      <c r="D5668" s="377"/>
      <c r="E5668" s="377"/>
      <c r="F5668" s="378"/>
      <c r="G5668" s="377"/>
      <c r="H5668" s="377"/>
      <c r="I5668" s="399"/>
      <c r="J5668" s="377"/>
      <c r="K5668" s="377"/>
      <c r="L5668" s="378"/>
      <c r="M5668" s="377"/>
      <c r="N5668" s="377"/>
      <c r="O5668" s="380"/>
      <c r="P5668" s="380"/>
      <c r="Q5668" s="380"/>
    </row>
    <row r="5669" spans="1:17" x14ac:dyDescent="0.2">
      <c r="A5669" s="334" t="s">
        <v>1576</v>
      </c>
      <c r="B5669" s="380"/>
      <c r="C5669" s="334" t="s">
        <v>1590</v>
      </c>
      <c r="D5669" s="377">
        <v>500</v>
      </c>
      <c r="E5669" s="377"/>
      <c r="F5669" s="378"/>
      <c r="G5669" s="377"/>
      <c r="H5669" s="377"/>
      <c r="I5669" s="399"/>
      <c r="J5669" s="377"/>
      <c r="K5669" s="377"/>
      <c r="L5669" s="378"/>
      <c r="M5669" s="377"/>
      <c r="N5669" s="377"/>
      <c r="O5669" s="380"/>
      <c r="P5669" s="380"/>
      <c r="Q5669" s="380"/>
    </row>
    <row r="5670" spans="1:17" x14ac:dyDescent="0.2">
      <c r="A5670" s="334" t="s">
        <v>1737</v>
      </c>
      <c r="B5670" s="380"/>
      <c r="C5670" s="334" t="s">
        <v>1984</v>
      </c>
      <c r="D5670" s="377"/>
      <c r="E5670" s="377"/>
      <c r="F5670" s="378"/>
      <c r="G5670" s="377"/>
      <c r="H5670" s="377"/>
      <c r="I5670" s="399"/>
      <c r="J5670" s="377"/>
      <c r="K5670" s="377"/>
      <c r="L5670" s="378"/>
      <c r="M5670" s="377"/>
      <c r="N5670" s="377"/>
      <c r="O5670" s="380"/>
      <c r="P5670" s="380"/>
      <c r="Q5670" s="380"/>
    </row>
    <row r="5671" spans="1:17" x14ac:dyDescent="0.2">
      <c r="A5671" s="384" t="s">
        <v>1726</v>
      </c>
      <c r="B5671" s="380"/>
      <c r="C5671" s="334" t="s">
        <v>1117</v>
      </c>
      <c r="D5671" s="377"/>
      <c r="E5671" s="377"/>
      <c r="F5671" s="378"/>
      <c r="G5671" s="377"/>
      <c r="H5671" s="377"/>
      <c r="I5671" s="399"/>
      <c r="J5671" s="377"/>
      <c r="K5671" s="377"/>
      <c r="L5671" s="378"/>
      <c r="M5671" s="377"/>
      <c r="N5671" s="377"/>
      <c r="O5671" s="380"/>
      <c r="P5671" s="380"/>
      <c r="Q5671" s="380"/>
    </row>
    <row r="5672" spans="1:17" x14ac:dyDescent="0.2">
      <c r="A5672" s="384" t="s">
        <v>1751</v>
      </c>
      <c r="B5672" s="380"/>
      <c r="C5672" s="334" t="s">
        <v>3138</v>
      </c>
      <c r="D5672" s="377">
        <v>200</v>
      </c>
      <c r="E5672" s="377"/>
      <c r="F5672" s="378"/>
      <c r="G5672" s="377"/>
      <c r="H5672" s="377"/>
      <c r="I5672" s="399"/>
      <c r="J5672" s="377"/>
      <c r="K5672" s="377"/>
      <c r="L5672" s="378"/>
      <c r="M5672" s="377"/>
      <c r="N5672" s="377"/>
      <c r="O5672" s="380"/>
      <c r="P5672" s="380"/>
      <c r="Q5672" s="380"/>
    </row>
    <row r="5673" spans="1:17" x14ac:dyDescent="0.2">
      <c r="A5673" s="334" t="s">
        <v>1752</v>
      </c>
      <c r="B5673" s="380"/>
      <c r="C5673" s="334" t="s">
        <v>367</v>
      </c>
      <c r="D5673" s="377"/>
      <c r="E5673" s="377"/>
      <c r="F5673" s="378"/>
      <c r="G5673" s="377"/>
      <c r="H5673" s="377"/>
      <c r="I5673" s="399"/>
      <c r="J5673" s="377"/>
      <c r="K5673" s="377"/>
      <c r="L5673" s="378"/>
      <c r="M5673" s="377"/>
      <c r="N5673" s="377"/>
      <c r="O5673" s="380"/>
      <c r="P5673" s="380"/>
      <c r="Q5673" s="380"/>
    </row>
    <row r="5674" spans="1:17" x14ac:dyDescent="0.2">
      <c r="A5674" s="334" t="s">
        <v>1734</v>
      </c>
      <c r="B5674" s="380"/>
      <c r="C5674" s="334" t="s">
        <v>1746</v>
      </c>
      <c r="D5674" s="377"/>
      <c r="E5674" s="377"/>
      <c r="F5674" s="378"/>
      <c r="G5674" s="377"/>
      <c r="H5674" s="377"/>
      <c r="I5674" s="399"/>
      <c r="J5674" s="377"/>
      <c r="K5674" s="377"/>
      <c r="L5674" s="378"/>
      <c r="M5674" s="377"/>
      <c r="N5674" s="377"/>
      <c r="O5674" s="380"/>
      <c r="P5674" s="380"/>
      <c r="Q5674" s="380"/>
    </row>
    <row r="5675" spans="1:17" x14ac:dyDescent="0.2">
      <c r="A5675" s="334" t="s">
        <v>1578</v>
      </c>
      <c r="B5675" s="380"/>
      <c r="C5675" s="334" t="s">
        <v>22</v>
      </c>
      <c r="D5675" s="377"/>
      <c r="E5675" s="377"/>
      <c r="F5675" s="378"/>
      <c r="G5675" s="377"/>
      <c r="H5675" s="377"/>
      <c r="I5675" s="399"/>
      <c r="J5675" s="377"/>
      <c r="K5675" s="377"/>
      <c r="L5675" s="378"/>
      <c r="M5675" s="377"/>
      <c r="N5675" s="377"/>
      <c r="O5675" s="380"/>
      <c r="P5675" s="380"/>
      <c r="Q5675" s="380"/>
    </row>
    <row r="5676" spans="1:17" x14ac:dyDescent="0.2">
      <c r="A5676" s="334" t="s">
        <v>1738</v>
      </c>
      <c r="B5676" s="380"/>
      <c r="C5676" s="334" t="s">
        <v>1591</v>
      </c>
      <c r="D5676" s="377"/>
      <c r="E5676" s="377"/>
      <c r="F5676" s="378"/>
      <c r="G5676" s="377"/>
      <c r="H5676" s="377"/>
      <c r="I5676" s="399"/>
      <c r="J5676" s="377"/>
      <c r="K5676" s="377"/>
      <c r="L5676" s="378"/>
      <c r="M5676" s="377"/>
      <c r="N5676" s="377"/>
      <c r="O5676" s="380"/>
      <c r="P5676" s="380"/>
      <c r="Q5676" s="380"/>
    </row>
    <row r="5677" spans="1:17" x14ac:dyDescent="0.2">
      <c r="A5677" s="334" t="s">
        <v>1727</v>
      </c>
      <c r="B5677" s="380"/>
      <c r="C5677" s="334" t="s">
        <v>307</v>
      </c>
      <c r="D5677" s="377"/>
      <c r="E5677" s="377"/>
      <c r="F5677" s="378"/>
      <c r="G5677" s="377"/>
      <c r="H5677" s="377"/>
      <c r="I5677" s="399"/>
      <c r="J5677" s="377"/>
      <c r="K5677" s="377"/>
      <c r="L5677" s="378"/>
      <c r="M5677" s="377"/>
      <c r="N5677" s="377"/>
      <c r="O5677" s="380"/>
      <c r="P5677" s="380"/>
      <c r="Q5677" s="380"/>
    </row>
    <row r="5678" spans="1:17" x14ac:dyDescent="0.2">
      <c r="A5678" s="334" t="s">
        <v>1728</v>
      </c>
      <c r="B5678" s="380"/>
      <c r="C5678" s="334" t="s">
        <v>310</v>
      </c>
      <c r="D5678" s="377"/>
      <c r="E5678" s="377"/>
      <c r="F5678" s="378"/>
      <c r="G5678" s="377"/>
      <c r="H5678" s="377"/>
      <c r="I5678" s="399"/>
      <c r="J5678" s="377"/>
      <c r="K5678" s="377"/>
      <c r="L5678" s="378"/>
      <c r="M5678" s="377"/>
      <c r="N5678" s="377"/>
      <c r="O5678" s="380"/>
      <c r="P5678" s="380"/>
      <c r="Q5678" s="380"/>
    </row>
    <row r="5679" spans="1:17" x14ac:dyDescent="0.2">
      <c r="A5679" s="334" t="s">
        <v>1729</v>
      </c>
      <c r="B5679" s="380"/>
      <c r="C5679" s="380" t="s">
        <v>1551</v>
      </c>
      <c r="D5679" s="377">
        <f>-270-1000</f>
        <v>-1270</v>
      </c>
      <c r="E5679" s="377">
        <v>-80</v>
      </c>
      <c r="F5679" s="378">
        <v>-14.18</v>
      </c>
      <c r="G5679" s="377"/>
      <c r="H5679" s="377">
        <f>-400-1600</f>
        <v>-2000</v>
      </c>
      <c r="I5679" s="399"/>
      <c r="J5679" s="377">
        <v>500</v>
      </c>
      <c r="K5679" s="377"/>
      <c r="L5679" s="378"/>
      <c r="M5679" s="377"/>
      <c r="N5679" s="377"/>
      <c r="O5679" s="380"/>
      <c r="P5679" s="380"/>
      <c r="Q5679" s="380"/>
    </row>
    <row r="5680" spans="1:17" x14ac:dyDescent="0.2">
      <c r="A5680" s="334" t="s">
        <v>1735</v>
      </c>
      <c r="B5680" s="380"/>
      <c r="C5680" s="380" t="s">
        <v>194</v>
      </c>
      <c r="D5680" s="377"/>
      <c r="E5680" s="377"/>
      <c r="F5680" s="378"/>
      <c r="G5680" s="377"/>
      <c r="H5680" s="377"/>
      <c r="I5680" s="399"/>
      <c r="J5680" s="377"/>
      <c r="K5680" s="377"/>
      <c r="L5680" s="378"/>
      <c r="M5680" s="377"/>
      <c r="N5680" s="377"/>
      <c r="O5680" s="380"/>
      <c r="P5680" s="380"/>
      <c r="Q5680" s="380"/>
    </row>
    <row r="5681" spans="1:17" x14ac:dyDescent="0.2">
      <c r="A5681" s="334" t="s">
        <v>1741</v>
      </c>
      <c r="B5681" s="380"/>
      <c r="C5681" s="334" t="s">
        <v>1748</v>
      </c>
      <c r="D5681" s="377"/>
      <c r="E5681" s="377"/>
      <c r="F5681" s="378"/>
      <c r="G5681" s="377"/>
      <c r="H5681" s="377"/>
      <c r="I5681" s="399"/>
      <c r="J5681" s="377"/>
      <c r="K5681" s="377"/>
      <c r="L5681" s="378"/>
      <c r="M5681" s="377"/>
      <c r="N5681" s="377"/>
      <c r="O5681" s="380"/>
      <c r="P5681" s="380"/>
      <c r="Q5681" s="380"/>
    </row>
    <row r="5682" spans="1:17" x14ac:dyDescent="0.2">
      <c r="A5682" s="334" t="s">
        <v>1742</v>
      </c>
      <c r="B5682" s="380"/>
      <c r="C5682" s="334" t="s">
        <v>1553</v>
      </c>
      <c r="D5682" s="377"/>
      <c r="E5682" s="377"/>
      <c r="F5682" s="378"/>
      <c r="G5682" s="377"/>
      <c r="H5682" s="377"/>
      <c r="I5682" s="399"/>
      <c r="J5682" s="377"/>
      <c r="K5682" s="377"/>
      <c r="L5682" s="378"/>
      <c r="M5682" s="377"/>
      <c r="N5682" s="377"/>
      <c r="O5682" s="380"/>
      <c r="P5682" s="380"/>
      <c r="Q5682" s="380"/>
    </row>
    <row r="5683" spans="1:17" x14ac:dyDescent="0.2">
      <c r="A5683" s="334" t="s">
        <v>1584</v>
      </c>
      <c r="B5683" s="380"/>
      <c r="C5683" s="334" t="s">
        <v>0</v>
      </c>
      <c r="D5683" s="377"/>
      <c r="E5683" s="377"/>
      <c r="F5683" s="378"/>
      <c r="G5683" s="377"/>
      <c r="H5683" s="377"/>
      <c r="I5683" s="399"/>
      <c r="J5683" s="377"/>
      <c r="K5683" s="377"/>
      <c r="L5683" s="378"/>
      <c r="M5683" s="377"/>
      <c r="N5683" s="377"/>
      <c r="O5683" s="380"/>
      <c r="P5683" s="380"/>
      <c r="Q5683" s="380"/>
    </row>
    <row r="5684" spans="1:17" x14ac:dyDescent="0.2">
      <c r="A5684" s="334" t="s">
        <v>1730</v>
      </c>
      <c r="B5684" s="380"/>
      <c r="C5684" s="334" t="s">
        <v>1985</v>
      </c>
      <c r="D5684" s="377">
        <v>1500</v>
      </c>
      <c r="E5684" s="377"/>
      <c r="F5684" s="378"/>
      <c r="G5684" s="377"/>
      <c r="H5684" s="377"/>
      <c r="I5684" s="399"/>
      <c r="J5684" s="377">
        <v>1500</v>
      </c>
      <c r="K5684" s="377"/>
      <c r="L5684" s="378"/>
      <c r="M5684" s="377"/>
      <c r="N5684" s="377"/>
      <c r="O5684" s="380"/>
      <c r="P5684" s="380"/>
      <c r="Q5684" s="380"/>
    </row>
    <row r="5685" spans="1:17" x14ac:dyDescent="0.2">
      <c r="A5685" s="334" t="s">
        <v>1566</v>
      </c>
      <c r="B5685" s="380"/>
      <c r="C5685" s="334" t="s">
        <v>366</v>
      </c>
      <c r="D5685" s="377"/>
      <c r="E5685" s="377"/>
      <c r="F5685" s="378"/>
      <c r="G5685" s="377"/>
      <c r="H5685" s="377"/>
      <c r="I5685" s="399"/>
      <c r="J5685" s="377"/>
      <c r="K5685" s="377"/>
      <c r="L5685" s="378"/>
      <c r="M5685" s="377"/>
      <c r="N5685" s="377"/>
      <c r="O5685" s="380"/>
      <c r="P5685" s="380"/>
      <c r="Q5685" s="380"/>
    </row>
    <row r="5686" spans="1:17" x14ac:dyDescent="0.2">
      <c r="A5686" s="334" t="s">
        <v>1587</v>
      </c>
      <c r="B5686" s="380"/>
      <c r="C5686" s="334" t="s">
        <v>34</v>
      </c>
      <c r="D5686" s="377"/>
      <c r="E5686" s="377"/>
      <c r="F5686" s="378"/>
      <c r="G5686" s="377"/>
      <c r="H5686" s="377"/>
      <c r="I5686" s="399"/>
      <c r="J5686" s="377"/>
      <c r="K5686" s="377"/>
      <c r="L5686" s="378"/>
      <c r="M5686" s="377"/>
      <c r="N5686" s="377"/>
      <c r="O5686" s="380"/>
      <c r="P5686" s="380"/>
      <c r="Q5686" s="380"/>
    </row>
    <row r="5687" spans="1:17" x14ac:dyDescent="0.2">
      <c r="A5687" s="334" t="s">
        <v>1903</v>
      </c>
      <c r="B5687" s="380"/>
      <c r="C5687" s="334" t="s">
        <v>35</v>
      </c>
      <c r="D5687" s="377"/>
      <c r="E5687" s="377"/>
      <c r="F5687" s="378"/>
      <c r="G5687" s="377"/>
      <c r="H5687" s="377"/>
      <c r="I5687" s="399"/>
      <c r="J5687" s="377"/>
      <c r="K5687" s="377"/>
      <c r="L5687" s="378"/>
      <c r="M5687" s="377"/>
      <c r="N5687" s="377"/>
      <c r="O5687" s="380"/>
      <c r="P5687" s="380"/>
      <c r="Q5687" s="380"/>
    </row>
    <row r="5688" spans="1:17" x14ac:dyDescent="0.2">
      <c r="A5688" s="334" t="s">
        <v>1962</v>
      </c>
      <c r="B5688" s="380"/>
      <c r="C5688" s="380" t="s">
        <v>572</v>
      </c>
      <c r="D5688" s="377"/>
      <c r="E5688" s="380"/>
      <c r="F5688" s="378"/>
      <c r="G5688" s="380"/>
      <c r="H5688" s="380"/>
      <c r="I5688" s="399"/>
      <c r="J5688" s="377"/>
      <c r="K5688" s="382"/>
      <c r="L5688" s="380"/>
      <c r="M5688" s="380"/>
      <c r="N5688" s="380"/>
      <c r="O5688" s="380"/>
      <c r="P5688" s="380"/>
      <c r="Q5688" s="380"/>
    </row>
    <row r="5689" spans="1:17" x14ac:dyDescent="0.2">
      <c r="A5689" s="334" t="s">
        <v>1567</v>
      </c>
      <c r="B5689" s="380"/>
      <c r="C5689" s="334" t="s">
        <v>3142</v>
      </c>
      <c r="D5689" s="377"/>
      <c r="E5689" s="377"/>
      <c r="F5689" s="378"/>
      <c r="G5689" s="377"/>
      <c r="H5689" s="377"/>
      <c r="I5689" s="399"/>
      <c r="J5689" s="377"/>
      <c r="K5689" s="377"/>
      <c r="L5689" s="378"/>
      <c r="M5689" s="377"/>
      <c r="N5689" s="377"/>
      <c r="O5689" s="380"/>
      <c r="P5689" s="380"/>
      <c r="Q5689" s="380"/>
    </row>
    <row r="5690" spans="1:17" x14ac:dyDescent="0.2">
      <c r="A5690" s="380"/>
      <c r="B5690" s="380"/>
      <c r="C5690" s="380"/>
      <c r="D5690" s="394"/>
      <c r="E5690" s="394"/>
      <c r="F5690" s="413"/>
      <c r="G5690" s="394"/>
      <c r="H5690" s="394"/>
      <c r="I5690" s="385"/>
      <c r="J5690" s="394"/>
      <c r="K5690" s="394"/>
      <c r="L5690" s="413"/>
      <c r="M5690" s="394"/>
      <c r="N5690" s="394"/>
      <c r="O5690" s="380"/>
      <c r="P5690" s="380"/>
      <c r="Q5690" s="380"/>
    </row>
    <row r="5691" spans="1:17" x14ac:dyDescent="0.2">
      <c r="A5691" s="380"/>
      <c r="B5691" s="380"/>
      <c r="C5691" s="380"/>
      <c r="D5691" s="334">
        <f>SUM(D5661:D5689)</f>
        <v>1430</v>
      </c>
      <c r="E5691" s="334">
        <f>SUM(E5660:E5689)</f>
        <v>320</v>
      </c>
      <c r="F5691" s="412">
        <f>SUM(F5660:F5689)</f>
        <v>485.82</v>
      </c>
      <c r="G5691" s="334"/>
      <c r="H5691" s="334">
        <f>SUM(H5660:H5689)</f>
        <v>0</v>
      </c>
      <c r="I5691" s="399"/>
      <c r="J5691" s="334">
        <f>SUM(J5661:J5689)</f>
        <v>2000</v>
      </c>
      <c r="K5691" s="334">
        <f>SUM(K5660:K5689)</f>
        <v>400</v>
      </c>
      <c r="L5691" s="412">
        <f>SUM(L5660:L5689)</f>
        <v>500</v>
      </c>
      <c r="M5691" s="334"/>
      <c r="N5691" s="334">
        <f>SUM(N5660:N5689)</f>
        <v>2000</v>
      </c>
      <c r="O5691" s="380"/>
      <c r="P5691" s="380"/>
      <c r="Q5691" s="380"/>
    </row>
    <row r="5692" spans="1:17" ht="15.75" thickTop="1" x14ac:dyDescent="0.2">
      <c r="A5692" s="380"/>
      <c r="B5692" s="380"/>
      <c r="C5692" s="380"/>
      <c r="D5692" s="395">
        <f>D5691-D5661</f>
        <v>1430</v>
      </c>
      <c r="E5692" s="395">
        <f>E5691-E5660</f>
        <v>320</v>
      </c>
      <c r="F5692" s="401">
        <f>F5691-F5660</f>
        <v>485.82</v>
      </c>
      <c r="G5692" s="395"/>
      <c r="H5692" s="395">
        <f>H5691-H5660</f>
        <v>0</v>
      </c>
      <c r="I5692" s="382"/>
      <c r="J5692" s="395">
        <f>J5691-J5661</f>
        <v>2000</v>
      </c>
      <c r="K5692" s="395">
        <f>K5691-K5660</f>
        <v>400</v>
      </c>
      <c r="L5692" s="401">
        <f>L5691-L5660</f>
        <v>500</v>
      </c>
      <c r="M5692" s="395"/>
      <c r="N5692" s="395">
        <f>N5691-N5660</f>
        <v>2000</v>
      </c>
      <c r="O5692" s="380"/>
      <c r="P5692" s="380"/>
      <c r="Q5692" s="380"/>
    </row>
    <row r="5693" spans="1:17" x14ac:dyDescent="0.2">
      <c r="A5693" s="334" t="s">
        <v>342</v>
      </c>
      <c r="B5693" s="380"/>
      <c r="C5693" s="334" t="s">
        <v>342</v>
      </c>
      <c r="D5693" s="380"/>
      <c r="E5693" s="334"/>
      <c r="F5693" s="412"/>
      <c r="G5693" s="334"/>
      <c r="H5693" s="380"/>
      <c r="I5693" s="385"/>
      <c r="J5693" s="380"/>
      <c r="K5693" s="334"/>
      <c r="L5693" s="412"/>
      <c r="M5693" s="334"/>
      <c r="N5693" s="380"/>
      <c r="O5693" s="380"/>
      <c r="P5693" s="380"/>
      <c r="Q5693" s="380"/>
    </row>
    <row r="5694" spans="1:17" x14ac:dyDescent="0.2">
      <c r="A5694" s="334" t="s">
        <v>527</v>
      </c>
      <c r="B5694" s="380"/>
      <c r="C5694" s="380"/>
      <c r="D5694" s="334"/>
      <c r="E5694" s="380"/>
      <c r="F5694" s="378"/>
      <c r="G5694" s="380"/>
      <c r="H5694" s="380"/>
      <c r="I5694" s="443"/>
      <c r="J5694" s="334"/>
      <c r="K5694" s="382"/>
      <c r="L5694" s="380"/>
      <c r="M5694" s="380"/>
      <c r="N5694" s="380"/>
      <c r="O5694" s="380"/>
      <c r="P5694" s="380"/>
      <c r="Q5694" s="380"/>
    </row>
    <row r="5695" spans="1:17" x14ac:dyDescent="0.2">
      <c r="A5695" s="334" t="s">
        <v>342</v>
      </c>
      <c r="B5695" s="380"/>
      <c r="C5695" s="334"/>
      <c r="D5695" s="442" t="s">
        <v>528</v>
      </c>
      <c r="E5695" s="384" t="s">
        <v>369</v>
      </c>
      <c r="F5695" s="421" t="s">
        <v>370</v>
      </c>
      <c r="G5695" s="384"/>
      <c r="H5695" s="442" t="s">
        <v>297</v>
      </c>
      <c r="I5695" s="385"/>
      <c r="J5695" s="442" t="s">
        <v>528</v>
      </c>
      <c r="K5695" s="384" t="s">
        <v>369</v>
      </c>
      <c r="L5695" s="421" t="s">
        <v>370</v>
      </c>
      <c r="M5695" s="384"/>
      <c r="N5695" s="442" t="s">
        <v>297</v>
      </c>
      <c r="O5695" s="380"/>
      <c r="P5695" s="380"/>
      <c r="Q5695" s="380"/>
    </row>
    <row r="5696" spans="1:17" x14ac:dyDescent="0.2">
      <c r="A5696" s="334" t="s">
        <v>342</v>
      </c>
      <c r="B5696" s="380"/>
      <c r="C5696" s="334" t="s">
        <v>342</v>
      </c>
      <c r="D5696" s="334" t="s">
        <v>368</v>
      </c>
      <c r="E5696" s="334" t="s">
        <v>957</v>
      </c>
      <c r="F5696" s="412" t="s">
        <v>794</v>
      </c>
      <c r="G5696" s="334"/>
      <c r="H5696" s="380" t="s">
        <v>228</v>
      </c>
      <c r="I5696" s="385"/>
      <c r="J5696" s="334" t="s">
        <v>368</v>
      </c>
      <c r="K5696" s="334" t="s">
        <v>957</v>
      </c>
      <c r="L5696" s="412" t="s">
        <v>794</v>
      </c>
      <c r="M5696" s="334"/>
      <c r="N5696" s="380" t="s">
        <v>228</v>
      </c>
      <c r="O5696" s="380"/>
      <c r="P5696" s="380"/>
      <c r="Q5696" s="380"/>
    </row>
    <row r="5697" spans="1:17" x14ac:dyDescent="0.2">
      <c r="A5697" s="334" t="s">
        <v>1723</v>
      </c>
      <c r="B5697" s="380"/>
      <c r="C5697" s="334" t="s">
        <v>1880</v>
      </c>
      <c r="D5697" s="334" t="s">
        <v>181</v>
      </c>
      <c r="E5697" s="334" t="s">
        <v>181</v>
      </c>
      <c r="F5697" s="412" t="s">
        <v>181</v>
      </c>
      <c r="G5697" s="334"/>
      <c r="H5697" s="334" t="s">
        <v>181</v>
      </c>
      <c r="I5697" s="382"/>
      <c r="J5697" s="334" t="s">
        <v>181</v>
      </c>
      <c r="K5697" s="334" t="s">
        <v>181</v>
      </c>
      <c r="L5697" s="412" t="s">
        <v>181</v>
      </c>
      <c r="M5697" s="334"/>
      <c r="N5697" s="334" t="s">
        <v>181</v>
      </c>
      <c r="O5697" s="380"/>
      <c r="P5697" s="380"/>
      <c r="Q5697" s="380"/>
    </row>
    <row r="5698" spans="1:17" x14ac:dyDescent="0.2">
      <c r="A5698" s="380"/>
      <c r="B5698" s="380"/>
      <c r="C5698" s="380"/>
      <c r="D5698" s="380"/>
      <c r="E5698" s="377"/>
      <c r="F5698" s="378"/>
      <c r="G5698" s="377"/>
      <c r="H5698" s="377"/>
      <c r="I5698" s="399"/>
      <c r="J5698" s="380"/>
      <c r="K5698" s="377"/>
      <c r="L5698" s="378"/>
      <c r="M5698" s="377"/>
      <c r="N5698" s="377"/>
      <c r="O5698" s="380"/>
      <c r="P5698" s="380"/>
      <c r="Q5698" s="380"/>
    </row>
    <row r="5699" spans="1:17" x14ac:dyDescent="0.2">
      <c r="A5699" s="334" t="s">
        <v>1568</v>
      </c>
      <c r="B5699" s="380"/>
      <c r="C5699" s="380" t="s">
        <v>1817</v>
      </c>
      <c r="D5699" s="377"/>
      <c r="E5699" s="377"/>
      <c r="F5699" s="378"/>
      <c r="G5699" s="377"/>
      <c r="H5699" s="377"/>
      <c r="I5699" s="399"/>
      <c r="J5699" s="377"/>
      <c r="K5699" s="377">
        <v>500</v>
      </c>
      <c r="L5699" s="378">
        <v>500</v>
      </c>
      <c r="M5699" s="377"/>
      <c r="N5699" s="377">
        <v>400</v>
      </c>
      <c r="O5699" s="380"/>
      <c r="P5699" s="380"/>
      <c r="Q5699" s="380"/>
    </row>
    <row r="5700" spans="1:17" x14ac:dyDescent="0.2">
      <c r="A5700" s="334" t="s">
        <v>1724</v>
      </c>
      <c r="B5700" s="380"/>
      <c r="C5700" s="334" t="s">
        <v>1881</v>
      </c>
      <c r="D5700" s="377"/>
      <c r="E5700" s="440"/>
      <c r="F5700" s="474"/>
      <c r="G5700" s="440"/>
      <c r="H5700" s="440"/>
      <c r="I5700" s="399"/>
      <c r="J5700" s="377"/>
      <c r="K5700" s="377"/>
      <c r="L5700" s="378"/>
      <c r="M5700" s="377"/>
      <c r="N5700" s="377"/>
      <c r="O5700" s="380"/>
      <c r="P5700" s="380"/>
      <c r="Q5700" s="380"/>
    </row>
    <row r="5701" spans="1:17" x14ac:dyDescent="0.2">
      <c r="A5701" s="334" t="s">
        <v>1961</v>
      </c>
      <c r="B5701" s="380"/>
      <c r="C5701" s="334" t="s">
        <v>9</v>
      </c>
      <c r="D5701" s="377"/>
      <c r="E5701" s="377"/>
      <c r="F5701" s="378"/>
      <c r="G5701" s="377"/>
      <c r="H5701" s="377"/>
      <c r="I5701" s="399"/>
      <c r="J5701" s="377"/>
      <c r="K5701" s="377"/>
      <c r="L5701" s="378"/>
      <c r="M5701" s="377"/>
      <c r="N5701" s="377"/>
      <c r="O5701" s="380"/>
      <c r="P5701" s="380"/>
      <c r="Q5701" s="380"/>
    </row>
    <row r="5702" spans="1:17" x14ac:dyDescent="0.2">
      <c r="A5702" s="334" t="s">
        <v>1736</v>
      </c>
      <c r="B5702" s="380"/>
      <c r="C5702" s="334" t="s">
        <v>1747</v>
      </c>
      <c r="D5702" s="377"/>
      <c r="E5702" s="377"/>
      <c r="F5702" s="378"/>
      <c r="G5702" s="377"/>
      <c r="H5702" s="377"/>
      <c r="I5702" s="399"/>
      <c r="J5702" s="377"/>
      <c r="K5702" s="377"/>
      <c r="L5702" s="378"/>
      <c r="M5702" s="377"/>
      <c r="N5702" s="377"/>
      <c r="O5702" s="380"/>
      <c r="P5702" s="380"/>
      <c r="Q5702" s="380"/>
    </row>
    <row r="5703" spans="1:17" x14ac:dyDescent="0.2">
      <c r="A5703" s="334" t="s">
        <v>1744</v>
      </c>
      <c r="B5703" s="380"/>
      <c r="C5703" s="334" t="s">
        <v>1254</v>
      </c>
      <c r="D5703" s="377"/>
      <c r="E5703" s="377"/>
      <c r="F5703" s="378"/>
      <c r="G5703" s="377"/>
      <c r="H5703" s="377"/>
      <c r="I5703" s="399"/>
      <c r="J5703" s="377"/>
      <c r="K5703" s="377"/>
      <c r="L5703" s="378"/>
      <c r="M5703" s="377"/>
      <c r="N5703" s="377"/>
      <c r="O5703" s="380"/>
      <c r="P5703" s="380"/>
      <c r="Q5703" s="380"/>
    </row>
    <row r="5704" spans="1:17" x14ac:dyDescent="0.2">
      <c r="A5704" s="334" t="s">
        <v>1582</v>
      </c>
      <c r="B5704" s="380"/>
      <c r="C5704" s="334" t="s">
        <v>3135</v>
      </c>
      <c r="D5704" s="377"/>
      <c r="E5704" s="377"/>
      <c r="F5704" s="378"/>
      <c r="G5704" s="377"/>
      <c r="H5704" s="377"/>
      <c r="I5704" s="399"/>
      <c r="J5704" s="377"/>
      <c r="K5704" s="377"/>
      <c r="L5704" s="378"/>
      <c r="M5704" s="377"/>
      <c r="N5704" s="377"/>
      <c r="O5704" s="380"/>
      <c r="P5704" s="380"/>
      <c r="Q5704" s="380"/>
    </row>
    <row r="5705" spans="1:17" x14ac:dyDescent="0.2">
      <c r="A5705" s="334" t="s">
        <v>1745</v>
      </c>
      <c r="B5705" s="380"/>
      <c r="C5705" s="334" t="s">
        <v>1887</v>
      </c>
      <c r="D5705" s="377"/>
      <c r="E5705" s="377"/>
      <c r="F5705" s="378"/>
      <c r="G5705" s="377"/>
      <c r="H5705" s="377"/>
      <c r="I5705" s="399"/>
      <c r="J5705" s="377"/>
      <c r="K5705" s="377"/>
      <c r="L5705" s="378"/>
      <c r="M5705" s="377"/>
      <c r="N5705" s="377"/>
      <c r="O5705" s="380"/>
      <c r="P5705" s="380"/>
      <c r="Q5705" s="380"/>
    </row>
    <row r="5706" spans="1:17" x14ac:dyDescent="0.2">
      <c r="A5706" s="334" t="s">
        <v>1906</v>
      </c>
      <c r="B5706" s="380"/>
      <c r="C5706" s="334" t="s">
        <v>39</v>
      </c>
      <c r="D5706" s="377"/>
      <c r="E5706" s="377"/>
      <c r="F5706" s="378"/>
      <c r="G5706" s="377"/>
      <c r="H5706" s="377"/>
      <c r="I5706" s="399"/>
      <c r="J5706" s="377"/>
      <c r="K5706" s="377"/>
      <c r="L5706" s="378"/>
      <c r="M5706" s="377"/>
      <c r="N5706" s="377"/>
      <c r="O5706" s="380"/>
      <c r="P5706" s="380"/>
      <c r="Q5706" s="380"/>
    </row>
    <row r="5707" spans="1:17" x14ac:dyDescent="0.2">
      <c r="A5707" s="334" t="s">
        <v>1576</v>
      </c>
      <c r="B5707" s="380"/>
      <c r="C5707" s="334" t="s">
        <v>1590</v>
      </c>
      <c r="D5707" s="377"/>
      <c r="E5707" s="377"/>
      <c r="F5707" s="378"/>
      <c r="G5707" s="377"/>
      <c r="H5707" s="377"/>
      <c r="I5707" s="399"/>
      <c r="J5707" s="377"/>
      <c r="K5707" s="377"/>
      <c r="L5707" s="378"/>
      <c r="M5707" s="377"/>
      <c r="N5707" s="377"/>
      <c r="O5707" s="380"/>
      <c r="P5707" s="380"/>
      <c r="Q5707" s="380"/>
    </row>
    <row r="5708" spans="1:17" x14ac:dyDescent="0.2">
      <c r="A5708" s="334" t="s">
        <v>1737</v>
      </c>
      <c r="B5708" s="380"/>
      <c r="C5708" s="334" t="s">
        <v>1984</v>
      </c>
      <c r="D5708" s="377"/>
      <c r="E5708" s="377"/>
      <c r="F5708" s="378"/>
      <c r="G5708" s="377"/>
      <c r="H5708" s="377"/>
      <c r="I5708" s="399"/>
      <c r="J5708" s="377"/>
      <c r="K5708" s="377"/>
      <c r="L5708" s="378"/>
      <c r="M5708" s="377"/>
      <c r="N5708" s="377"/>
      <c r="O5708" s="380"/>
      <c r="P5708" s="380"/>
      <c r="Q5708" s="380"/>
    </row>
    <row r="5709" spans="1:17" x14ac:dyDescent="0.2">
      <c r="A5709" s="384" t="s">
        <v>1726</v>
      </c>
      <c r="B5709" s="380"/>
      <c r="C5709" s="334" t="s">
        <v>1117</v>
      </c>
      <c r="D5709" s="377"/>
      <c r="E5709" s="377"/>
      <c r="F5709" s="378"/>
      <c r="G5709" s="377"/>
      <c r="H5709" s="377"/>
      <c r="I5709" s="399"/>
      <c r="J5709" s="377"/>
      <c r="K5709" s="377"/>
      <c r="L5709" s="378"/>
      <c r="M5709" s="377"/>
      <c r="N5709" s="377"/>
      <c r="O5709" s="380"/>
      <c r="P5709" s="380"/>
      <c r="Q5709" s="380"/>
    </row>
    <row r="5710" spans="1:17" x14ac:dyDescent="0.2">
      <c r="A5710" s="384" t="s">
        <v>1751</v>
      </c>
      <c r="B5710" s="380"/>
      <c r="C5710" s="334" t="s">
        <v>3138</v>
      </c>
      <c r="D5710" s="377"/>
      <c r="E5710" s="377"/>
      <c r="F5710" s="378"/>
      <c r="G5710" s="377"/>
      <c r="H5710" s="377"/>
      <c r="I5710" s="399"/>
      <c r="J5710" s="377"/>
      <c r="K5710" s="377"/>
      <c r="L5710" s="378"/>
      <c r="M5710" s="377"/>
      <c r="N5710" s="377"/>
      <c r="O5710" s="380"/>
      <c r="P5710" s="380"/>
      <c r="Q5710" s="380"/>
    </row>
    <row r="5711" spans="1:17" x14ac:dyDescent="0.2">
      <c r="A5711" s="334" t="s">
        <v>1752</v>
      </c>
      <c r="B5711" s="380"/>
      <c r="C5711" s="334" t="s">
        <v>367</v>
      </c>
      <c r="D5711" s="377"/>
      <c r="E5711" s="377"/>
      <c r="F5711" s="378"/>
      <c r="G5711" s="377"/>
      <c r="H5711" s="377"/>
      <c r="I5711" s="399"/>
      <c r="J5711" s="377"/>
      <c r="K5711" s="377"/>
      <c r="L5711" s="378"/>
      <c r="M5711" s="377"/>
      <c r="N5711" s="377"/>
      <c r="O5711" s="380"/>
      <c r="P5711" s="380"/>
      <c r="Q5711" s="380"/>
    </row>
    <row r="5712" spans="1:17" x14ac:dyDescent="0.2">
      <c r="A5712" s="334" t="s">
        <v>1734</v>
      </c>
      <c r="B5712" s="380"/>
      <c r="C5712" s="334" t="s">
        <v>1746</v>
      </c>
      <c r="D5712" s="377"/>
      <c r="E5712" s="377"/>
      <c r="F5712" s="378"/>
      <c r="G5712" s="377"/>
      <c r="H5712" s="377"/>
      <c r="I5712" s="399"/>
      <c r="J5712" s="377"/>
      <c r="K5712" s="377"/>
      <c r="L5712" s="378"/>
      <c r="M5712" s="377"/>
      <c r="N5712" s="377"/>
      <c r="O5712" s="380"/>
      <c r="P5712" s="380"/>
      <c r="Q5712" s="380"/>
    </row>
    <row r="5713" spans="1:17" x14ac:dyDescent="0.2">
      <c r="A5713" s="334" t="s">
        <v>1578</v>
      </c>
      <c r="B5713" s="380"/>
      <c r="C5713" s="334" t="s">
        <v>22</v>
      </c>
      <c r="D5713" s="377"/>
      <c r="E5713" s="377"/>
      <c r="F5713" s="378"/>
      <c r="G5713" s="377"/>
      <c r="H5713" s="377"/>
      <c r="I5713" s="399"/>
      <c r="J5713" s="377"/>
      <c r="K5713" s="377"/>
      <c r="L5713" s="378"/>
      <c r="M5713" s="377"/>
      <c r="N5713" s="377"/>
      <c r="O5713" s="380"/>
      <c r="P5713" s="380"/>
      <c r="Q5713" s="380"/>
    </row>
    <row r="5714" spans="1:17" x14ac:dyDescent="0.2">
      <c r="A5714" s="334" t="s">
        <v>1738</v>
      </c>
      <c r="B5714" s="380"/>
      <c r="C5714" s="334" t="s">
        <v>1591</v>
      </c>
      <c r="D5714" s="377"/>
      <c r="E5714" s="377"/>
      <c r="F5714" s="378"/>
      <c r="G5714" s="377"/>
      <c r="H5714" s="377"/>
      <c r="I5714" s="399"/>
      <c r="J5714" s="377"/>
      <c r="K5714" s="377"/>
      <c r="L5714" s="378"/>
      <c r="M5714" s="377"/>
      <c r="N5714" s="377"/>
      <c r="O5714" s="380"/>
      <c r="P5714" s="380"/>
      <c r="Q5714" s="380"/>
    </row>
    <row r="5715" spans="1:17" x14ac:dyDescent="0.2">
      <c r="A5715" s="334" t="s">
        <v>1727</v>
      </c>
      <c r="B5715" s="380"/>
      <c r="C5715" s="334" t="s">
        <v>307</v>
      </c>
      <c r="D5715" s="377"/>
      <c r="E5715" s="377"/>
      <c r="F5715" s="378"/>
      <c r="G5715" s="377"/>
      <c r="H5715" s="377"/>
      <c r="I5715" s="399"/>
      <c r="J5715" s="377"/>
      <c r="K5715" s="377"/>
      <c r="L5715" s="378"/>
      <c r="M5715" s="377"/>
      <c r="N5715" s="377"/>
      <c r="O5715" s="380"/>
      <c r="P5715" s="380"/>
      <c r="Q5715" s="380"/>
    </row>
    <row r="5716" spans="1:17" x14ac:dyDescent="0.2">
      <c r="A5716" s="334" t="s">
        <v>1728</v>
      </c>
      <c r="B5716" s="380"/>
      <c r="C5716" s="334" t="s">
        <v>310</v>
      </c>
      <c r="D5716" s="377"/>
      <c r="E5716" s="377"/>
      <c r="F5716" s="378"/>
      <c r="G5716" s="377"/>
      <c r="H5716" s="377"/>
      <c r="I5716" s="399"/>
      <c r="J5716" s="377"/>
      <c r="K5716" s="377"/>
      <c r="L5716" s="378"/>
      <c r="M5716" s="377"/>
      <c r="N5716" s="377"/>
      <c r="O5716" s="380"/>
      <c r="P5716" s="380"/>
      <c r="Q5716" s="380"/>
    </row>
    <row r="5717" spans="1:17" x14ac:dyDescent="0.2">
      <c r="A5717" s="334" t="s">
        <v>1729</v>
      </c>
      <c r="B5717" s="380"/>
      <c r="C5717" s="380" t="s">
        <v>1551</v>
      </c>
      <c r="D5717" s="377"/>
      <c r="E5717" s="377"/>
      <c r="F5717" s="378"/>
      <c r="G5717" s="377"/>
      <c r="H5717" s="377"/>
      <c r="I5717" s="399"/>
      <c r="J5717" s="377"/>
      <c r="K5717" s="377"/>
      <c r="L5717" s="378"/>
      <c r="M5717" s="377"/>
      <c r="N5717" s="377"/>
      <c r="O5717" s="380"/>
      <c r="P5717" s="380"/>
      <c r="Q5717" s="380"/>
    </row>
    <row r="5718" spans="1:17" x14ac:dyDescent="0.2">
      <c r="A5718" s="334" t="s">
        <v>1735</v>
      </c>
      <c r="B5718" s="380"/>
      <c r="C5718" s="380" t="s">
        <v>194</v>
      </c>
      <c r="D5718" s="377"/>
      <c r="E5718" s="377"/>
      <c r="F5718" s="378"/>
      <c r="G5718" s="377"/>
      <c r="H5718" s="377"/>
      <c r="I5718" s="399"/>
      <c r="J5718" s="377"/>
      <c r="K5718" s="377"/>
      <c r="L5718" s="378"/>
      <c r="M5718" s="377"/>
      <c r="N5718" s="377"/>
      <c r="O5718" s="380"/>
      <c r="P5718" s="380"/>
      <c r="Q5718" s="380"/>
    </row>
    <row r="5719" spans="1:17" x14ac:dyDescent="0.2">
      <c r="A5719" s="334" t="s">
        <v>1741</v>
      </c>
      <c r="B5719" s="380"/>
      <c r="C5719" s="334" t="s">
        <v>1748</v>
      </c>
      <c r="D5719" s="377"/>
      <c r="E5719" s="377"/>
      <c r="F5719" s="378"/>
      <c r="G5719" s="377"/>
      <c r="H5719" s="377"/>
      <c r="I5719" s="399"/>
      <c r="J5719" s="377"/>
      <c r="K5719" s="377"/>
      <c r="L5719" s="378"/>
      <c r="M5719" s="377"/>
      <c r="N5719" s="377"/>
      <c r="O5719" s="380"/>
      <c r="P5719" s="380"/>
      <c r="Q5719" s="380"/>
    </row>
    <row r="5720" spans="1:17" x14ac:dyDescent="0.2">
      <c r="A5720" s="334" t="s">
        <v>1742</v>
      </c>
      <c r="B5720" s="380"/>
      <c r="C5720" s="334" t="s">
        <v>1553</v>
      </c>
      <c r="D5720" s="377"/>
      <c r="E5720" s="377"/>
      <c r="F5720" s="378"/>
      <c r="G5720" s="377"/>
      <c r="H5720" s="377"/>
      <c r="I5720" s="399"/>
      <c r="J5720" s="377"/>
      <c r="K5720" s="377"/>
      <c r="L5720" s="378"/>
      <c r="M5720" s="377"/>
      <c r="N5720" s="377"/>
      <c r="O5720" s="380"/>
      <c r="P5720" s="380"/>
      <c r="Q5720" s="380"/>
    </row>
    <row r="5721" spans="1:17" x14ac:dyDescent="0.2">
      <c r="A5721" s="334" t="s">
        <v>1584</v>
      </c>
      <c r="B5721" s="380"/>
      <c r="C5721" s="334" t="s">
        <v>0</v>
      </c>
      <c r="D5721" s="377"/>
      <c r="E5721" s="377"/>
      <c r="F5721" s="378"/>
      <c r="G5721" s="377"/>
      <c r="H5721" s="377"/>
      <c r="I5721" s="399"/>
      <c r="J5721" s="377"/>
      <c r="K5721" s="377"/>
      <c r="L5721" s="378"/>
      <c r="M5721" s="377"/>
      <c r="N5721" s="377"/>
      <c r="O5721" s="380"/>
      <c r="P5721" s="380"/>
      <c r="Q5721" s="380"/>
    </row>
    <row r="5722" spans="1:17" x14ac:dyDescent="0.2">
      <c r="A5722" s="334" t="s">
        <v>1730</v>
      </c>
      <c r="B5722" s="380"/>
      <c r="C5722" s="334" t="s">
        <v>1985</v>
      </c>
      <c r="D5722" s="377"/>
      <c r="E5722" s="377"/>
      <c r="F5722" s="378"/>
      <c r="G5722" s="377"/>
      <c r="H5722" s="377"/>
      <c r="I5722" s="399"/>
      <c r="J5722" s="377"/>
      <c r="K5722" s="377"/>
      <c r="L5722" s="378"/>
      <c r="M5722" s="377"/>
      <c r="N5722" s="377"/>
      <c r="O5722" s="380"/>
      <c r="P5722" s="380"/>
      <c r="Q5722" s="380"/>
    </row>
    <row r="5723" spans="1:17" x14ac:dyDescent="0.2">
      <c r="A5723" s="334" t="s">
        <v>1566</v>
      </c>
      <c r="B5723" s="380"/>
      <c r="C5723" s="334" t="s">
        <v>366</v>
      </c>
      <c r="D5723" s="377"/>
      <c r="E5723" s="377"/>
      <c r="F5723" s="378"/>
      <c r="G5723" s="377"/>
      <c r="H5723" s="377"/>
      <c r="I5723" s="399"/>
      <c r="J5723" s="377"/>
      <c r="K5723" s="377"/>
      <c r="L5723" s="378"/>
      <c r="M5723" s="377"/>
      <c r="N5723" s="377"/>
      <c r="O5723" s="380"/>
      <c r="P5723" s="380"/>
      <c r="Q5723" s="380"/>
    </row>
    <row r="5724" spans="1:17" x14ac:dyDescent="0.2">
      <c r="A5724" s="334" t="s">
        <v>1587</v>
      </c>
      <c r="B5724" s="380"/>
      <c r="C5724" s="334" t="s">
        <v>34</v>
      </c>
      <c r="D5724" s="377"/>
      <c r="E5724" s="377"/>
      <c r="F5724" s="378"/>
      <c r="G5724" s="377"/>
      <c r="H5724" s="377"/>
      <c r="I5724" s="399"/>
      <c r="J5724" s="377"/>
      <c r="K5724" s="377"/>
      <c r="L5724" s="378"/>
      <c r="M5724" s="377"/>
      <c r="N5724" s="377"/>
      <c r="O5724" s="380"/>
      <c r="P5724" s="380"/>
      <c r="Q5724" s="380"/>
    </row>
    <row r="5725" spans="1:17" x14ac:dyDescent="0.2">
      <c r="A5725" s="334" t="s">
        <v>1903</v>
      </c>
      <c r="B5725" s="380"/>
      <c r="C5725" s="334" t="s">
        <v>35</v>
      </c>
      <c r="D5725" s="377"/>
      <c r="E5725" s="377"/>
      <c r="F5725" s="378"/>
      <c r="G5725" s="377"/>
      <c r="H5725" s="377"/>
      <c r="I5725" s="399"/>
      <c r="J5725" s="377"/>
      <c r="K5725" s="377"/>
      <c r="L5725" s="378"/>
      <c r="M5725" s="377"/>
      <c r="N5725" s="377"/>
      <c r="O5725" s="380"/>
      <c r="P5725" s="380"/>
      <c r="Q5725" s="380"/>
    </row>
    <row r="5726" spans="1:17" x14ac:dyDescent="0.2">
      <c r="A5726" s="334" t="s">
        <v>1962</v>
      </c>
      <c r="B5726" s="380"/>
      <c r="C5726" s="380" t="s">
        <v>572</v>
      </c>
      <c r="D5726" s="377"/>
      <c r="E5726" s="380"/>
      <c r="F5726" s="378"/>
      <c r="G5726" s="380"/>
      <c r="H5726" s="380"/>
      <c r="I5726" s="399"/>
      <c r="J5726" s="377"/>
      <c r="K5726" s="382"/>
      <c r="L5726" s="380"/>
      <c r="M5726" s="380"/>
      <c r="N5726" s="380"/>
      <c r="O5726" s="380"/>
      <c r="P5726" s="380"/>
      <c r="Q5726" s="380"/>
    </row>
    <row r="5727" spans="1:17" x14ac:dyDescent="0.2">
      <c r="A5727" s="334" t="s">
        <v>1567</v>
      </c>
      <c r="B5727" s="380"/>
      <c r="C5727" s="334" t="s">
        <v>3142</v>
      </c>
      <c r="D5727" s="377"/>
      <c r="E5727" s="377"/>
      <c r="F5727" s="378"/>
      <c r="G5727" s="377"/>
      <c r="H5727" s="377"/>
      <c r="I5727" s="399"/>
      <c r="J5727" s="377"/>
      <c r="K5727" s="377"/>
      <c r="L5727" s="378"/>
      <c r="M5727" s="377"/>
      <c r="N5727" s="377"/>
      <c r="O5727" s="380"/>
      <c r="P5727" s="380"/>
      <c r="Q5727" s="380"/>
    </row>
    <row r="5728" spans="1:17" x14ac:dyDescent="0.2">
      <c r="A5728" s="380"/>
      <c r="B5728" s="380"/>
      <c r="C5728" s="380"/>
      <c r="D5728" s="394"/>
      <c r="E5728" s="394"/>
      <c r="F5728" s="413"/>
      <c r="G5728" s="394"/>
      <c r="H5728" s="394"/>
      <c r="I5728" s="385"/>
      <c r="J5728" s="394"/>
      <c r="K5728" s="394"/>
      <c r="L5728" s="413"/>
      <c r="M5728" s="394"/>
      <c r="N5728" s="394"/>
      <c r="O5728" s="380"/>
      <c r="P5728" s="380"/>
      <c r="Q5728" s="380"/>
    </row>
    <row r="5729" spans="1:17" x14ac:dyDescent="0.2">
      <c r="A5729" s="380"/>
      <c r="B5729" s="380"/>
      <c r="C5729" s="380"/>
      <c r="D5729" s="334">
        <f>SUM(D5699:D5727)</f>
        <v>0</v>
      </c>
      <c r="E5729" s="334">
        <f>SUM(E5698:E5727)</f>
        <v>0</v>
      </c>
      <c r="F5729" s="412">
        <f>SUM(F5698:F5727)</f>
        <v>0</v>
      </c>
      <c r="G5729" s="334"/>
      <c r="H5729" s="334">
        <f>SUM(H5698:H5727)</f>
        <v>0</v>
      </c>
      <c r="I5729" s="399"/>
      <c r="J5729" s="334">
        <f>SUM(J5699:J5727)</f>
        <v>0</v>
      </c>
      <c r="K5729" s="334">
        <f>SUM(K5698:K5727)</f>
        <v>500</v>
      </c>
      <c r="L5729" s="412">
        <f>SUM(L5698:L5727)</f>
        <v>500</v>
      </c>
      <c r="M5729" s="334"/>
      <c r="N5729" s="334">
        <f>SUM(N5698:N5727)</f>
        <v>400</v>
      </c>
      <c r="O5729" s="380"/>
      <c r="P5729" s="380"/>
      <c r="Q5729" s="380"/>
    </row>
    <row r="5730" spans="1:17" ht="15.75" thickTop="1" x14ac:dyDescent="0.2">
      <c r="A5730" s="380"/>
      <c r="B5730" s="380"/>
      <c r="C5730" s="380"/>
      <c r="D5730" s="395">
        <f>D5729-D5699</f>
        <v>0</v>
      </c>
      <c r="E5730" s="395">
        <f>E5729-E5698</f>
        <v>0</v>
      </c>
      <c r="F5730" s="401">
        <f>F5729-F5698</f>
        <v>0</v>
      </c>
      <c r="G5730" s="395"/>
      <c r="H5730" s="395">
        <f>H5729-H5698</f>
        <v>0</v>
      </c>
      <c r="I5730" s="382"/>
      <c r="J5730" s="395">
        <f>J5729-J5699</f>
        <v>0</v>
      </c>
      <c r="K5730" s="395">
        <f>K5729-K5698</f>
        <v>500</v>
      </c>
      <c r="L5730" s="401">
        <f>L5729-L5698</f>
        <v>500</v>
      </c>
      <c r="M5730" s="395"/>
      <c r="N5730" s="395">
        <f>N5729-N5698</f>
        <v>400</v>
      </c>
      <c r="O5730" s="380"/>
      <c r="P5730" s="380"/>
      <c r="Q5730" s="380"/>
    </row>
    <row r="5731" spans="1:17" x14ac:dyDescent="0.2">
      <c r="A5731" s="334" t="s">
        <v>342</v>
      </c>
      <c r="B5731" s="380"/>
      <c r="C5731" s="334" t="s">
        <v>342</v>
      </c>
      <c r="D5731" s="380"/>
      <c r="E5731" s="334"/>
      <c r="F5731" s="412"/>
      <c r="G5731" s="334"/>
      <c r="H5731" s="380"/>
      <c r="I5731" s="385"/>
      <c r="J5731" s="380"/>
      <c r="K5731" s="334"/>
      <c r="L5731" s="412"/>
      <c r="M5731" s="334"/>
      <c r="N5731" s="380"/>
      <c r="O5731" s="380"/>
      <c r="P5731" s="380"/>
      <c r="Q5731" s="380"/>
    </row>
    <row r="5732" spans="1:17" x14ac:dyDescent="0.2">
      <c r="A5732" s="334" t="s">
        <v>527</v>
      </c>
      <c r="B5732" s="380"/>
      <c r="C5732" s="380"/>
      <c r="D5732" s="334"/>
      <c r="E5732" s="380"/>
      <c r="F5732" s="378"/>
      <c r="G5732" s="476"/>
      <c r="H5732" s="443"/>
      <c r="I5732" s="443"/>
      <c r="J5732" s="334"/>
      <c r="K5732" s="382"/>
      <c r="L5732" s="380"/>
      <c r="M5732" s="476"/>
      <c r="N5732" s="443"/>
      <c r="O5732" s="380"/>
      <c r="P5732" s="380"/>
      <c r="Q5732" s="380"/>
    </row>
    <row r="5733" spans="1:17" x14ac:dyDescent="0.2">
      <c r="A5733" s="334" t="s">
        <v>342</v>
      </c>
      <c r="B5733" s="380"/>
      <c r="C5733" s="334"/>
      <c r="D5733" s="442" t="s">
        <v>476</v>
      </c>
      <c r="E5733" s="384" t="s">
        <v>371</v>
      </c>
      <c r="F5733" s="477" t="s">
        <v>937</v>
      </c>
      <c r="G5733" s="478"/>
      <c r="H5733" s="382"/>
      <c r="I5733" s="385"/>
      <c r="J5733" s="442" t="s">
        <v>476</v>
      </c>
      <c r="K5733" s="384" t="s">
        <v>371</v>
      </c>
      <c r="L5733" s="477" t="s">
        <v>937</v>
      </c>
      <c r="M5733" s="478"/>
      <c r="N5733" s="382"/>
      <c r="O5733" s="380"/>
      <c r="P5733" s="380"/>
      <c r="Q5733" s="380"/>
    </row>
    <row r="5734" spans="1:17" x14ac:dyDescent="0.2">
      <c r="A5734" s="334" t="s">
        <v>342</v>
      </c>
      <c r="B5734" s="380"/>
      <c r="C5734" s="334" t="s">
        <v>342</v>
      </c>
      <c r="D5734" s="334" t="s">
        <v>799</v>
      </c>
      <c r="E5734" s="334" t="s">
        <v>372</v>
      </c>
      <c r="F5734" s="479" t="s">
        <v>959</v>
      </c>
      <c r="G5734" s="478"/>
      <c r="H5734" s="385"/>
      <c r="I5734" s="385"/>
      <c r="J5734" s="334" t="s">
        <v>799</v>
      </c>
      <c r="K5734" s="334" t="s">
        <v>372</v>
      </c>
      <c r="L5734" s="479" t="s">
        <v>959</v>
      </c>
      <c r="M5734" s="478"/>
      <c r="N5734" s="385"/>
      <c r="O5734" s="380"/>
      <c r="P5734" s="380"/>
      <c r="Q5734" s="380"/>
    </row>
    <row r="5735" spans="1:17" x14ac:dyDescent="0.2">
      <c r="A5735" s="334" t="s">
        <v>1723</v>
      </c>
      <c r="B5735" s="380"/>
      <c r="C5735" s="334" t="s">
        <v>1880</v>
      </c>
      <c r="D5735" s="334" t="s">
        <v>181</v>
      </c>
      <c r="E5735" s="334" t="s">
        <v>181</v>
      </c>
      <c r="F5735" s="479" t="s">
        <v>181</v>
      </c>
      <c r="G5735" s="382"/>
      <c r="H5735" s="382"/>
      <c r="I5735" s="382"/>
      <c r="J5735" s="334" t="s">
        <v>181</v>
      </c>
      <c r="K5735" s="334" t="s">
        <v>181</v>
      </c>
      <c r="L5735" s="479" t="s">
        <v>181</v>
      </c>
      <c r="M5735" s="382"/>
      <c r="N5735" s="382"/>
      <c r="O5735" s="380"/>
      <c r="P5735" s="380"/>
      <c r="Q5735" s="380"/>
    </row>
    <row r="5736" spans="1:17" x14ac:dyDescent="0.2">
      <c r="A5736" s="380"/>
      <c r="B5736" s="380"/>
      <c r="C5736" s="380"/>
      <c r="D5736" s="380"/>
      <c r="E5736" s="377"/>
      <c r="F5736" s="416"/>
      <c r="G5736" s="399"/>
      <c r="H5736" s="399"/>
      <c r="I5736" s="399"/>
      <c r="J5736" s="380"/>
      <c r="K5736" s="377"/>
      <c r="L5736" s="416"/>
      <c r="M5736" s="399"/>
      <c r="N5736" s="399"/>
      <c r="O5736" s="380"/>
      <c r="P5736" s="380"/>
      <c r="Q5736" s="380"/>
    </row>
    <row r="5737" spans="1:17" x14ac:dyDescent="0.2">
      <c r="A5737" s="334" t="s">
        <v>1568</v>
      </c>
      <c r="B5737" s="380"/>
      <c r="C5737" s="380" t="s">
        <v>1817</v>
      </c>
      <c r="D5737" s="377"/>
      <c r="E5737" s="377"/>
      <c r="F5737" s="416"/>
      <c r="G5737" s="399"/>
      <c r="H5737" s="399"/>
      <c r="I5737" s="399"/>
      <c r="J5737" s="377"/>
      <c r="K5737" s="377">
        <v>700</v>
      </c>
      <c r="L5737" s="416"/>
      <c r="M5737" s="399"/>
      <c r="N5737" s="399"/>
      <c r="O5737" s="380"/>
      <c r="P5737" s="380"/>
      <c r="Q5737" s="380"/>
    </row>
    <row r="5738" spans="1:17" x14ac:dyDescent="0.2">
      <c r="A5738" s="334" t="s">
        <v>1724</v>
      </c>
      <c r="B5738" s="380"/>
      <c r="C5738" s="334" t="s">
        <v>1881</v>
      </c>
      <c r="D5738" s="440">
        <v>400</v>
      </c>
      <c r="E5738" s="440">
        <v>700</v>
      </c>
      <c r="F5738" s="416"/>
      <c r="G5738" s="399"/>
      <c r="H5738" s="399"/>
      <c r="I5738" s="399"/>
      <c r="J5738" s="377">
        <v>400</v>
      </c>
      <c r="K5738" s="377"/>
      <c r="L5738" s="416"/>
      <c r="M5738" s="399"/>
      <c r="N5738" s="399"/>
      <c r="O5738" s="380"/>
      <c r="P5738" s="380"/>
      <c r="Q5738" s="380"/>
    </row>
    <row r="5739" spans="1:17" x14ac:dyDescent="0.2">
      <c r="A5739" s="334" t="s">
        <v>1961</v>
      </c>
      <c r="B5739" s="380"/>
      <c r="C5739" s="334" t="s">
        <v>9</v>
      </c>
      <c r="D5739" s="377"/>
      <c r="E5739" s="377"/>
      <c r="F5739" s="416"/>
      <c r="G5739" s="399"/>
      <c r="H5739" s="399"/>
      <c r="I5739" s="399"/>
      <c r="J5739" s="377"/>
      <c r="K5739" s="377"/>
      <c r="L5739" s="416"/>
      <c r="M5739" s="399"/>
      <c r="N5739" s="399"/>
      <c r="O5739" s="380"/>
      <c r="P5739" s="380"/>
      <c r="Q5739" s="380"/>
    </row>
    <row r="5740" spans="1:17" x14ac:dyDescent="0.2">
      <c r="A5740" s="334" t="s">
        <v>1736</v>
      </c>
      <c r="B5740" s="380"/>
      <c r="C5740" s="334" t="s">
        <v>1747</v>
      </c>
      <c r="D5740" s="377"/>
      <c r="E5740" s="377"/>
      <c r="F5740" s="416"/>
      <c r="G5740" s="399"/>
      <c r="H5740" s="399"/>
      <c r="I5740" s="399"/>
      <c r="J5740" s="377"/>
      <c r="K5740" s="377"/>
      <c r="L5740" s="416"/>
      <c r="M5740" s="399"/>
      <c r="N5740" s="399"/>
      <c r="O5740" s="380"/>
      <c r="P5740" s="380"/>
      <c r="Q5740" s="380"/>
    </row>
    <row r="5741" spans="1:17" x14ac:dyDescent="0.2">
      <c r="A5741" s="334" t="s">
        <v>1744</v>
      </c>
      <c r="B5741" s="380"/>
      <c r="C5741" s="334" t="s">
        <v>1254</v>
      </c>
      <c r="D5741" s="377"/>
      <c r="E5741" s="377"/>
      <c r="F5741" s="416"/>
      <c r="G5741" s="399"/>
      <c r="H5741" s="399"/>
      <c r="I5741" s="399"/>
      <c r="J5741" s="377"/>
      <c r="K5741" s="377"/>
      <c r="L5741" s="416"/>
      <c r="M5741" s="399"/>
      <c r="N5741" s="399"/>
      <c r="O5741" s="380"/>
      <c r="P5741" s="380"/>
      <c r="Q5741" s="380"/>
    </row>
    <row r="5742" spans="1:17" x14ac:dyDescent="0.2">
      <c r="A5742" s="334" t="s">
        <v>1582</v>
      </c>
      <c r="B5742" s="380"/>
      <c r="C5742" s="334" t="s">
        <v>3135</v>
      </c>
      <c r="D5742" s="377"/>
      <c r="E5742" s="377"/>
      <c r="F5742" s="416"/>
      <c r="G5742" s="399"/>
      <c r="H5742" s="399"/>
      <c r="I5742" s="399"/>
      <c r="J5742" s="377"/>
      <c r="K5742" s="377"/>
      <c r="L5742" s="416"/>
      <c r="M5742" s="399"/>
      <c r="N5742" s="399"/>
      <c r="O5742" s="380"/>
      <c r="P5742" s="380"/>
      <c r="Q5742" s="380"/>
    </row>
    <row r="5743" spans="1:17" x14ac:dyDescent="0.2">
      <c r="A5743" s="334" t="s">
        <v>1745</v>
      </c>
      <c r="B5743" s="380"/>
      <c r="C5743" s="334" t="s">
        <v>1887</v>
      </c>
      <c r="D5743" s="377"/>
      <c r="E5743" s="377"/>
      <c r="F5743" s="416"/>
      <c r="G5743" s="399"/>
      <c r="H5743" s="399"/>
      <c r="I5743" s="399"/>
      <c r="J5743" s="377"/>
      <c r="K5743" s="377"/>
      <c r="L5743" s="416"/>
      <c r="M5743" s="399"/>
      <c r="N5743" s="399"/>
      <c r="O5743" s="380"/>
      <c r="P5743" s="380"/>
      <c r="Q5743" s="380"/>
    </row>
    <row r="5744" spans="1:17" x14ac:dyDescent="0.2">
      <c r="A5744" s="334" t="s">
        <v>1906</v>
      </c>
      <c r="B5744" s="380"/>
      <c r="C5744" s="334" t="s">
        <v>39</v>
      </c>
      <c r="D5744" s="377"/>
      <c r="E5744" s="377"/>
      <c r="F5744" s="416"/>
      <c r="G5744" s="399"/>
      <c r="H5744" s="399"/>
      <c r="I5744" s="399"/>
      <c r="J5744" s="377"/>
      <c r="K5744" s="377"/>
      <c r="L5744" s="416"/>
      <c r="M5744" s="399"/>
      <c r="N5744" s="399"/>
      <c r="O5744" s="380"/>
      <c r="P5744" s="380"/>
      <c r="Q5744" s="380"/>
    </row>
    <row r="5745" spans="1:17" x14ac:dyDescent="0.2">
      <c r="A5745" s="334" t="s">
        <v>1576</v>
      </c>
      <c r="B5745" s="380"/>
      <c r="C5745" s="334" t="s">
        <v>1590</v>
      </c>
      <c r="D5745" s="377"/>
      <c r="E5745" s="377"/>
      <c r="F5745" s="416"/>
      <c r="G5745" s="399"/>
      <c r="H5745" s="399"/>
      <c r="I5745" s="399"/>
      <c r="J5745" s="377"/>
      <c r="K5745" s="377"/>
      <c r="L5745" s="416"/>
      <c r="M5745" s="399"/>
      <c r="N5745" s="399"/>
      <c r="O5745" s="380"/>
      <c r="P5745" s="380"/>
      <c r="Q5745" s="380"/>
    </row>
    <row r="5746" spans="1:17" x14ac:dyDescent="0.2">
      <c r="A5746" s="334" t="s">
        <v>1737</v>
      </c>
      <c r="B5746" s="380"/>
      <c r="C5746" s="334" t="s">
        <v>1984</v>
      </c>
      <c r="D5746" s="377"/>
      <c r="E5746" s="377"/>
      <c r="F5746" s="416"/>
      <c r="G5746" s="399"/>
      <c r="H5746" s="399"/>
      <c r="I5746" s="399"/>
      <c r="J5746" s="377"/>
      <c r="K5746" s="377"/>
      <c r="L5746" s="416"/>
      <c r="M5746" s="399"/>
      <c r="N5746" s="399"/>
      <c r="O5746" s="380"/>
      <c r="P5746" s="380"/>
      <c r="Q5746" s="380"/>
    </row>
    <row r="5747" spans="1:17" x14ac:dyDescent="0.2">
      <c r="A5747" s="384" t="s">
        <v>1726</v>
      </c>
      <c r="B5747" s="380"/>
      <c r="C5747" s="334" t="s">
        <v>1117</v>
      </c>
      <c r="D5747" s="377"/>
      <c r="E5747" s="377"/>
      <c r="F5747" s="416"/>
      <c r="G5747" s="399"/>
      <c r="H5747" s="399"/>
      <c r="I5747" s="399"/>
      <c r="J5747" s="377"/>
      <c r="K5747" s="377"/>
      <c r="L5747" s="416"/>
      <c r="M5747" s="399"/>
      <c r="N5747" s="399"/>
      <c r="O5747" s="380"/>
      <c r="P5747" s="380"/>
      <c r="Q5747" s="380"/>
    </row>
    <row r="5748" spans="1:17" x14ac:dyDescent="0.2">
      <c r="A5748" s="384" t="s">
        <v>1751</v>
      </c>
      <c r="B5748" s="380"/>
      <c r="C5748" s="334" t="s">
        <v>3138</v>
      </c>
      <c r="D5748" s="377"/>
      <c r="E5748" s="377"/>
      <c r="F5748" s="416"/>
      <c r="G5748" s="399"/>
      <c r="H5748" s="399"/>
      <c r="I5748" s="399"/>
      <c r="J5748" s="377"/>
      <c r="K5748" s="377"/>
      <c r="L5748" s="416"/>
      <c r="M5748" s="399"/>
      <c r="N5748" s="399"/>
      <c r="O5748" s="380"/>
      <c r="P5748" s="380"/>
      <c r="Q5748" s="380"/>
    </row>
    <row r="5749" spans="1:17" x14ac:dyDescent="0.2">
      <c r="A5749" s="334" t="s">
        <v>1752</v>
      </c>
      <c r="B5749" s="380"/>
      <c r="C5749" s="334" t="s">
        <v>367</v>
      </c>
      <c r="D5749" s="377"/>
      <c r="E5749" s="377"/>
      <c r="F5749" s="416"/>
      <c r="G5749" s="399"/>
      <c r="H5749" s="399"/>
      <c r="I5749" s="399"/>
      <c r="J5749" s="377"/>
      <c r="K5749" s="377"/>
      <c r="L5749" s="416"/>
      <c r="M5749" s="399"/>
      <c r="N5749" s="399"/>
      <c r="O5749" s="380"/>
      <c r="P5749" s="380"/>
      <c r="Q5749" s="380"/>
    </row>
    <row r="5750" spans="1:17" x14ac:dyDescent="0.2">
      <c r="A5750" s="334" t="s">
        <v>1734</v>
      </c>
      <c r="B5750" s="380"/>
      <c r="C5750" s="334" t="s">
        <v>1746</v>
      </c>
      <c r="D5750" s="377"/>
      <c r="E5750" s="377"/>
      <c r="F5750" s="416"/>
      <c r="G5750" s="399"/>
      <c r="H5750" s="399"/>
      <c r="I5750" s="399"/>
      <c r="J5750" s="377"/>
      <c r="K5750" s="377"/>
      <c r="L5750" s="416"/>
      <c r="M5750" s="399"/>
      <c r="N5750" s="399"/>
      <c r="O5750" s="380"/>
      <c r="P5750" s="380"/>
      <c r="Q5750" s="380"/>
    </row>
    <row r="5751" spans="1:17" x14ac:dyDescent="0.2">
      <c r="A5751" s="334" t="s">
        <v>1578</v>
      </c>
      <c r="B5751" s="380"/>
      <c r="C5751" s="334" t="s">
        <v>22</v>
      </c>
      <c r="D5751" s="377"/>
      <c r="E5751" s="377"/>
      <c r="F5751" s="416"/>
      <c r="G5751" s="399"/>
      <c r="H5751" s="399"/>
      <c r="I5751" s="399"/>
      <c r="J5751" s="377"/>
      <c r="K5751" s="377"/>
      <c r="L5751" s="416"/>
      <c r="M5751" s="399"/>
      <c r="N5751" s="399"/>
      <c r="O5751" s="380"/>
      <c r="P5751" s="380"/>
      <c r="Q5751" s="380"/>
    </row>
    <row r="5752" spans="1:17" x14ac:dyDescent="0.2">
      <c r="A5752" s="334" t="s">
        <v>1738</v>
      </c>
      <c r="B5752" s="380"/>
      <c r="C5752" s="334" t="s">
        <v>1591</v>
      </c>
      <c r="D5752" s="377"/>
      <c r="E5752" s="377"/>
      <c r="F5752" s="416"/>
      <c r="G5752" s="399"/>
      <c r="H5752" s="399"/>
      <c r="I5752" s="399"/>
      <c r="J5752" s="377"/>
      <c r="K5752" s="377"/>
      <c r="L5752" s="416"/>
      <c r="M5752" s="399"/>
      <c r="N5752" s="399"/>
      <c r="O5752" s="380"/>
      <c r="P5752" s="380"/>
      <c r="Q5752" s="380"/>
    </row>
    <row r="5753" spans="1:17" x14ac:dyDescent="0.2">
      <c r="A5753" s="334" t="s">
        <v>1727</v>
      </c>
      <c r="B5753" s="380"/>
      <c r="C5753" s="334" t="s">
        <v>307</v>
      </c>
      <c r="D5753" s="377"/>
      <c r="E5753" s="377"/>
      <c r="F5753" s="416"/>
      <c r="G5753" s="399"/>
      <c r="H5753" s="399"/>
      <c r="I5753" s="399"/>
      <c r="J5753" s="377"/>
      <c r="K5753" s="377"/>
      <c r="L5753" s="416"/>
      <c r="M5753" s="399"/>
      <c r="N5753" s="399"/>
      <c r="O5753" s="380"/>
      <c r="P5753" s="380"/>
      <c r="Q5753" s="380"/>
    </row>
    <row r="5754" spans="1:17" x14ac:dyDescent="0.2">
      <c r="A5754" s="334" t="s">
        <v>1728</v>
      </c>
      <c r="B5754" s="380"/>
      <c r="C5754" s="334" t="s">
        <v>310</v>
      </c>
      <c r="D5754" s="377"/>
      <c r="E5754" s="377"/>
      <c r="F5754" s="416"/>
      <c r="G5754" s="399"/>
      <c r="H5754" s="399"/>
      <c r="I5754" s="399"/>
      <c r="J5754" s="377"/>
      <c r="K5754" s="377"/>
      <c r="L5754" s="416"/>
      <c r="M5754" s="399"/>
      <c r="N5754" s="399"/>
      <c r="O5754" s="380"/>
      <c r="P5754" s="380"/>
      <c r="Q5754" s="380"/>
    </row>
    <row r="5755" spans="1:17" x14ac:dyDescent="0.2">
      <c r="A5755" s="334" t="s">
        <v>1729</v>
      </c>
      <c r="B5755" s="380"/>
      <c r="C5755" s="380" t="s">
        <v>1551</v>
      </c>
      <c r="D5755" s="377">
        <v>-80</v>
      </c>
      <c r="E5755" s="377">
        <v>-46.34</v>
      </c>
      <c r="F5755" s="416"/>
      <c r="G5755" s="399"/>
      <c r="H5755" s="399"/>
      <c r="I5755" s="399"/>
      <c r="J5755" s="377"/>
      <c r="K5755" s="377"/>
      <c r="L5755" s="416"/>
      <c r="M5755" s="399"/>
      <c r="N5755" s="399"/>
      <c r="O5755" s="380"/>
      <c r="P5755" s="380"/>
      <c r="Q5755" s="380"/>
    </row>
    <row r="5756" spans="1:17" x14ac:dyDescent="0.2">
      <c r="A5756" s="334" t="s">
        <v>1735</v>
      </c>
      <c r="B5756" s="380"/>
      <c r="C5756" s="380" t="s">
        <v>194</v>
      </c>
      <c r="D5756" s="377"/>
      <c r="E5756" s="377"/>
      <c r="F5756" s="416"/>
      <c r="G5756" s="399"/>
      <c r="H5756" s="399"/>
      <c r="I5756" s="399"/>
      <c r="J5756" s="377"/>
      <c r="K5756" s="377"/>
      <c r="L5756" s="416"/>
      <c r="M5756" s="399"/>
      <c r="N5756" s="399"/>
      <c r="O5756" s="380"/>
      <c r="P5756" s="380"/>
      <c r="Q5756" s="380"/>
    </row>
    <row r="5757" spans="1:17" x14ac:dyDescent="0.2">
      <c r="A5757" s="334" t="s">
        <v>1741</v>
      </c>
      <c r="B5757" s="380"/>
      <c r="C5757" s="334" t="s">
        <v>1748</v>
      </c>
      <c r="D5757" s="377"/>
      <c r="E5757" s="377"/>
      <c r="F5757" s="416"/>
      <c r="G5757" s="399"/>
      <c r="H5757" s="399"/>
      <c r="I5757" s="399"/>
      <c r="J5757" s="377"/>
      <c r="K5757" s="377"/>
      <c r="L5757" s="416"/>
      <c r="M5757" s="399"/>
      <c r="N5757" s="399"/>
      <c r="O5757" s="380"/>
      <c r="P5757" s="380"/>
      <c r="Q5757" s="380"/>
    </row>
    <row r="5758" spans="1:17" x14ac:dyDescent="0.2">
      <c r="A5758" s="334" t="s">
        <v>1742</v>
      </c>
      <c r="B5758" s="380"/>
      <c r="C5758" s="334" t="s">
        <v>1553</v>
      </c>
      <c r="D5758" s="377"/>
      <c r="E5758" s="377"/>
      <c r="F5758" s="416"/>
      <c r="G5758" s="399"/>
      <c r="H5758" s="399"/>
      <c r="I5758" s="399"/>
      <c r="J5758" s="377"/>
      <c r="K5758" s="377"/>
      <c r="L5758" s="416"/>
      <c r="M5758" s="399"/>
      <c r="N5758" s="399"/>
      <c r="O5758" s="380"/>
      <c r="P5758" s="380"/>
      <c r="Q5758" s="380"/>
    </row>
    <row r="5759" spans="1:17" x14ac:dyDescent="0.2">
      <c r="A5759" s="334" t="s">
        <v>1584</v>
      </c>
      <c r="B5759" s="380"/>
      <c r="C5759" s="334" t="s">
        <v>0</v>
      </c>
      <c r="D5759" s="377"/>
      <c r="E5759" s="377"/>
      <c r="F5759" s="416"/>
      <c r="G5759" s="399"/>
      <c r="H5759" s="399"/>
      <c r="I5759" s="399"/>
      <c r="J5759" s="377"/>
      <c r="K5759" s="377"/>
      <c r="L5759" s="416"/>
      <c r="M5759" s="399"/>
      <c r="N5759" s="399"/>
      <c r="O5759" s="380"/>
      <c r="P5759" s="380"/>
      <c r="Q5759" s="380"/>
    </row>
    <row r="5760" spans="1:17" x14ac:dyDescent="0.2">
      <c r="A5760" s="334" t="s">
        <v>1730</v>
      </c>
      <c r="B5760" s="380"/>
      <c r="C5760" s="334" t="s">
        <v>1985</v>
      </c>
      <c r="D5760" s="377"/>
      <c r="E5760" s="377"/>
      <c r="F5760" s="416"/>
      <c r="G5760" s="399"/>
      <c r="H5760" s="399"/>
      <c r="I5760" s="399"/>
      <c r="J5760" s="377"/>
      <c r="K5760" s="377"/>
      <c r="L5760" s="416"/>
      <c r="M5760" s="399"/>
      <c r="N5760" s="399"/>
      <c r="O5760" s="380"/>
      <c r="P5760" s="380"/>
      <c r="Q5760" s="380"/>
    </row>
    <row r="5761" spans="1:17" x14ac:dyDescent="0.2">
      <c r="A5761" s="334" t="s">
        <v>1566</v>
      </c>
      <c r="B5761" s="380"/>
      <c r="C5761" s="334" t="s">
        <v>366</v>
      </c>
      <c r="D5761" s="377"/>
      <c r="E5761" s="377"/>
      <c r="F5761" s="416"/>
      <c r="G5761" s="399"/>
      <c r="H5761" s="399"/>
      <c r="I5761" s="399"/>
      <c r="J5761" s="377"/>
      <c r="K5761" s="377"/>
      <c r="L5761" s="416"/>
      <c r="M5761" s="399"/>
      <c r="N5761" s="399"/>
      <c r="O5761" s="380"/>
      <c r="P5761" s="380"/>
      <c r="Q5761" s="380"/>
    </row>
    <row r="5762" spans="1:17" x14ac:dyDescent="0.2">
      <c r="A5762" s="334" t="s">
        <v>1587</v>
      </c>
      <c r="B5762" s="380"/>
      <c r="C5762" s="334" t="s">
        <v>34</v>
      </c>
      <c r="D5762" s="377"/>
      <c r="E5762" s="377"/>
      <c r="F5762" s="416"/>
      <c r="G5762" s="399"/>
      <c r="H5762" s="399"/>
      <c r="I5762" s="399"/>
      <c r="J5762" s="377"/>
      <c r="K5762" s="377"/>
      <c r="L5762" s="416"/>
      <c r="M5762" s="399"/>
      <c r="N5762" s="399"/>
      <c r="O5762" s="380"/>
      <c r="P5762" s="380"/>
      <c r="Q5762" s="380"/>
    </row>
    <row r="5763" spans="1:17" x14ac:dyDescent="0.2">
      <c r="A5763" s="334" t="s">
        <v>1903</v>
      </c>
      <c r="B5763" s="380"/>
      <c r="C5763" s="334" t="s">
        <v>35</v>
      </c>
      <c r="D5763" s="377"/>
      <c r="E5763" s="377"/>
      <c r="F5763" s="416"/>
      <c r="G5763" s="399"/>
      <c r="H5763" s="399"/>
      <c r="I5763" s="399"/>
      <c r="J5763" s="377"/>
      <c r="K5763" s="377"/>
      <c r="L5763" s="416"/>
      <c r="M5763" s="399"/>
      <c r="N5763" s="399"/>
      <c r="O5763" s="380"/>
      <c r="P5763" s="380"/>
      <c r="Q5763" s="380"/>
    </row>
    <row r="5764" spans="1:17" x14ac:dyDescent="0.2">
      <c r="A5764" s="334" t="s">
        <v>1962</v>
      </c>
      <c r="B5764" s="380"/>
      <c r="C5764" s="380" t="s">
        <v>572</v>
      </c>
      <c r="D5764" s="377"/>
      <c r="E5764" s="380"/>
      <c r="F5764" s="378"/>
      <c r="G5764" s="399"/>
      <c r="H5764" s="399"/>
      <c r="I5764" s="399"/>
      <c r="J5764" s="377"/>
      <c r="K5764" s="382"/>
      <c r="L5764" s="380"/>
      <c r="M5764" s="399"/>
      <c r="N5764" s="399"/>
      <c r="O5764" s="380"/>
      <c r="P5764" s="380"/>
      <c r="Q5764" s="380"/>
    </row>
    <row r="5765" spans="1:17" x14ac:dyDescent="0.2">
      <c r="A5765" s="334" t="s">
        <v>1567</v>
      </c>
      <c r="B5765" s="380"/>
      <c r="C5765" s="334" t="s">
        <v>3142</v>
      </c>
      <c r="D5765" s="377"/>
      <c r="E5765" s="377"/>
      <c r="F5765" s="422"/>
      <c r="G5765" s="399"/>
      <c r="H5765" s="399"/>
      <c r="I5765" s="399"/>
      <c r="J5765" s="377"/>
      <c r="K5765" s="377"/>
      <c r="L5765" s="422"/>
      <c r="M5765" s="399"/>
      <c r="N5765" s="399"/>
      <c r="O5765" s="380"/>
      <c r="P5765" s="380"/>
      <c r="Q5765" s="380"/>
    </row>
    <row r="5766" spans="1:17" x14ac:dyDescent="0.2">
      <c r="A5766" s="380"/>
      <c r="B5766" s="380"/>
      <c r="C5766" s="380"/>
      <c r="D5766" s="394"/>
      <c r="E5766" s="394"/>
      <c r="F5766" s="416"/>
      <c r="G5766" s="385"/>
      <c r="H5766" s="385"/>
      <c r="I5766" s="385"/>
      <c r="J5766" s="394"/>
      <c r="K5766" s="394"/>
      <c r="L5766" s="416"/>
      <c r="M5766" s="385"/>
      <c r="N5766" s="385"/>
      <c r="O5766" s="380"/>
      <c r="P5766" s="380"/>
      <c r="Q5766" s="380"/>
    </row>
    <row r="5767" spans="1:17" ht="15.75" thickBot="1" x14ac:dyDescent="0.25">
      <c r="A5767" s="380"/>
      <c r="B5767" s="380"/>
      <c r="C5767" s="380"/>
      <c r="D5767" s="334">
        <f>SUM(D5737:D5765)</f>
        <v>320</v>
      </c>
      <c r="E5767" s="334">
        <f>SUM(E5736:E5765)</f>
        <v>653.66</v>
      </c>
      <c r="F5767" s="414">
        <f>SUM(F5736:F5765)</f>
        <v>0</v>
      </c>
      <c r="G5767" s="399"/>
      <c r="H5767" s="399"/>
      <c r="I5767" s="399"/>
      <c r="J5767" s="334">
        <f>SUM(J5737:J5765)</f>
        <v>400</v>
      </c>
      <c r="K5767" s="334">
        <f>SUM(K5736:K5765)</f>
        <v>700</v>
      </c>
      <c r="L5767" s="414">
        <f>SUM(L5736:L5765)</f>
        <v>0</v>
      </c>
      <c r="M5767" s="399"/>
      <c r="N5767" s="399"/>
      <c r="O5767" s="380"/>
      <c r="P5767" s="380"/>
      <c r="Q5767" s="380"/>
    </row>
    <row r="5768" spans="1:17" ht="15.75" thickTop="1" x14ac:dyDescent="0.2">
      <c r="A5768" s="380"/>
      <c r="B5768" s="380"/>
      <c r="C5768" s="380"/>
      <c r="D5768" s="395">
        <f>D5767-D5737</f>
        <v>320</v>
      </c>
      <c r="E5768" s="395">
        <f>E5767-E5736</f>
        <v>653.66</v>
      </c>
      <c r="F5768" s="416"/>
      <c r="G5768" s="380"/>
      <c r="H5768" s="380"/>
      <c r="I5768" s="382"/>
      <c r="J5768" s="395">
        <f>J5767-J5737</f>
        <v>400</v>
      </c>
      <c r="K5768" s="395">
        <f>K5767-K5736</f>
        <v>700</v>
      </c>
      <c r="L5768" s="416"/>
      <c r="M5768" s="380"/>
      <c r="N5768" s="380"/>
      <c r="O5768" s="380"/>
      <c r="P5768" s="380"/>
      <c r="Q5768" s="380"/>
    </row>
    <row r="5769" spans="1:17" x14ac:dyDescent="0.2">
      <c r="A5769" s="334" t="s">
        <v>342</v>
      </c>
      <c r="B5769" s="380"/>
      <c r="C5769" s="334" t="s">
        <v>342</v>
      </c>
      <c r="D5769" s="380"/>
      <c r="E5769" s="334"/>
      <c r="F5769" s="412"/>
      <c r="G5769" s="334"/>
      <c r="H5769" s="380"/>
      <c r="I5769" s="385"/>
      <c r="J5769" s="380"/>
      <c r="K5769" s="334"/>
      <c r="L5769" s="412"/>
      <c r="M5769" s="334"/>
      <c r="N5769" s="380"/>
      <c r="O5769" s="380"/>
      <c r="P5769" s="380"/>
      <c r="Q5769" s="380"/>
    </row>
    <row r="5770" spans="1:17" x14ac:dyDescent="0.2">
      <c r="A5770" s="334" t="s">
        <v>373</v>
      </c>
      <c r="B5770" s="380"/>
      <c r="C5770" s="380"/>
      <c r="D5770" s="334"/>
      <c r="E5770" s="380"/>
      <c r="F5770" s="378"/>
      <c r="G5770" s="380"/>
      <c r="H5770" s="380"/>
      <c r="I5770" s="443"/>
      <c r="J5770" s="334"/>
      <c r="K5770" s="382"/>
      <c r="L5770" s="380"/>
      <c r="M5770" s="380"/>
      <c r="N5770" s="380"/>
      <c r="O5770" s="380"/>
      <c r="P5770" s="380"/>
      <c r="Q5770" s="380"/>
    </row>
    <row r="5771" spans="1:17" x14ac:dyDescent="0.2">
      <c r="A5771" s="334" t="s">
        <v>342</v>
      </c>
      <c r="B5771" s="380"/>
      <c r="C5771" s="334"/>
      <c r="D5771" s="442" t="s">
        <v>468</v>
      </c>
      <c r="E5771" s="384" t="s">
        <v>371</v>
      </c>
      <c r="F5771" s="421" t="s">
        <v>369</v>
      </c>
      <c r="G5771" s="384"/>
      <c r="H5771" s="391" t="s">
        <v>370</v>
      </c>
      <c r="I5771" s="385"/>
      <c r="J5771" s="442" t="s">
        <v>468</v>
      </c>
      <c r="K5771" s="384" t="s">
        <v>371</v>
      </c>
      <c r="L5771" s="421" t="s">
        <v>369</v>
      </c>
      <c r="M5771" s="384"/>
      <c r="N5771" s="391" t="s">
        <v>370</v>
      </c>
      <c r="O5771" s="380"/>
      <c r="P5771" s="380"/>
      <c r="Q5771" s="380"/>
    </row>
    <row r="5772" spans="1:17" x14ac:dyDescent="0.2">
      <c r="A5772" s="334" t="s">
        <v>342</v>
      </c>
      <c r="B5772" s="380"/>
      <c r="C5772" s="334" t="s">
        <v>342</v>
      </c>
      <c r="D5772" s="334" t="s">
        <v>795</v>
      </c>
      <c r="E5772" s="334" t="s">
        <v>375</v>
      </c>
      <c r="F5772" s="412" t="s">
        <v>957</v>
      </c>
      <c r="G5772" s="334"/>
      <c r="H5772" s="392" t="s">
        <v>794</v>
      </c>
      <c r="I5772" s="385"/>
      <c r="J5772" s="334" t="s">
        <v>795</v>
      </c>
      <c r="K5772" s="334" t="s">
        <v>375</v>
      </c>
      <c r="L5772" s="412" t="s">
        <v>957</v>
      </c>
      <c r="M5772" s="334"/>
      <c r="N5772" s="392" t="s">
        <v>794</v>
      </c>
      <c r="O5772" s="380"/>
      <c r="P5772" s="380"/>
      <c r="Q5772" s="380"/>
    </row>
    <row r="5773" spans="1:17" x14ac:dyDescent="0.2">
      <c r="A5773" s="334" t="s">
        <v>1723</v>
      </c>
      <c r="B5773" s="380"/>
      <c r="C5773" s="334" t="s">
        <v>1880</v>
      </c>
      <c r="D5773" s="334" t="s">
        <v>181</v>
      </c>
      <c r="E5773" s="334" t="s">
        <v>181</v>
      </c>
      <c r="F5773" s="412" t="s">
        <v>181</v>
      </c>
      <c r="G5773" s="334"/>
      <c r="H5773" s="334" t="s">
        <v>181</v>
      </c>
      <c r="I5773" s="382"/>
      <c r="J5773" s="334" t="s">
        <v>181</v>
      </c>
      <c r="K5773" s="334" t="s">
        <v>181</v>
      </c>
      <c r="L5773" s="412" t="s">
        <v>181</v>
      </c>
      <c r="M5773" s="334"/>
      <c r="N5773" s="334" t="s">
        <v>181</v>
      </c>
      <c r="O5773" s="380"/>
      <c r="P5773" s="380"/>
      <c r="Q5773" s="380"/>
    </row>
    <row r="5774" spans="1:17" x14ac:dyDescent="0.2">
      <c r="A5774" s="380"/>
      <c r="B5774" s="380"/>
      <c r="C5774" s="380"/>
      <c r="D5774" s="380"/>
      <c r="E5774" s="377"/>
      <c r="F5774" s="378"/>
      <c r="G5774" s="377"/>
      <c r="H5774" s="377"/>
      <c r="I5774" s="399"/>
      <c r="J5774" s="380"/>
      <c r="K5774" s="377"/>
      <c r="L5774" s="378"/>
      <c r="M5774" s="377"/>
      <c r="N5774" s="377"/>
      <c r="O5774" s="380"/>
      <c r="P5774" s="380"/>
      <c r="Q5774" s="380"/>
    </row>
    <row r="5775" spans="1:17" x14ac:dyDescent="0.2">
      <c r="A5775" s="334" t="s">
        <v>1568</v>
      </c>
      <c r="B5775" s="380"/>
      <c r="C5775" s="380" t="s">
        <v>1817</v>
      </c>
      <c r="D5775" s="377"/>
      <c r="E5775" s="377">
        <v>0</v>
      </c>
      <c r="F5775" s="378">
        <v>0</v>
      </c>
      <c r="G5775" s="377"/>
      <c r="H5775" s="377">
        <v>0</v>
      </c>
      <c r="I5775" s="399"/>
      <c r="J5775" s="377"/>
      <c r="K5775" s="377">
        <v>0</v>
      </c>
      <c r="L5775" s="378">
        <v>0</v>
      </c>
      <c r="M5775" s="377"/>
      <c r="N5775" s="377">
        <v>0</v>
      </c>
      <c r="O5775" s="380"/>
      <c r="P5775" s="380"/>
      <c r="Q5775" s="380"/>
    </row>
    <row r="5776" spans="1:17" x14ac:dyDescent="0.2">
      <c r="A5776" s="334" t="s">
        <v>1724</v>
      </c>
      <c r="B5776" s="380"/>
      <c r="C5776" s="334" t="s">
        <v>1881</v>
      </c>
      <c r="D5776" s="377">
        <v>0</v>
      </c>
      <c r="E5776" s="377"/>
      <c r="F5776" s="378"/>
      <c r="G5776" s="377"/>
      <c r="H5776" s="377"/>
      <c r="I5776" s="399"/>
      <c r="J5776" s="377">
        <v>0</v>
      </c>
      <c r="K5776" s="377"/>
      <c r="L5776" s="378"/>
      <c r="M5776" s="377"/>
      <c r="N5776" s="377"/>
      <c r="O5776" s="380"/>
      <c r="P5776" s="380"/>
      <c r="Q5776" s="380"/>
    </row>
    <row r="5777" spans="1:17" x14ac:dyDescent="0.2">
      <c r="A5777" s="334" t="s">
        <v>1961</v>
      </c>
      <c r="B5777" s="380"/>
      <c r="C5777" s="334" t="s">
        <v>9</v>
      </c>
      <c r="D5777" s="377"/>
      <c r="E5777" s="377"/>
      <c r="F5777" s="378"/>
      <c r="G5777" s="377"/>
      <c r="H5777" s="377"/>
      <c r="I5777" s="399"/>
      <c r="J5777" s="377"/>
      <c r="K5777" s="377"/>
      <c r="L5777" s="378"/>
      <c r="M5777" s="377"/>
      <c r="N5777" s="377"/>
      <c r="O5777" s="380"/>
      <c r="P5777" s="380"/>
      <c r="Q5777" s="380"/>
    </row>
    <row r="5778" spans="1:17" x14ac:dyDescent="0.2">
      <c r="A5778" s="334" t="s">
        <v>1736</v>
      </c>
      <c r="B5778" s="380"/>
      <c r="C5778" s="334" t="s">
        <v>1747</v>
      </c>
      <c r="D5778" s="377"/>
      <c r="E5778" s="377"/>
      <c r="F5778" s="378"/>
      <c r="G5778" s="377"/>
      <c r="H5778" s="377"/>
      <c r="I5778" s="399"/>
      <c r="J5778" s="377"/>
      <c r="K5778" s="377"/>
      <c r="L5778" s="378"/>
      <c r="M5778" s="377"/>
      <c r="N5778" s="377"/>
      <c r="O5778" s="380"/>
      <c r="P5778" s="380"/>
      <c r="Q5778" s="380"/>
    </row>
    <row r="5779" spans="1:17" x14ac:dyDescent="0.2">
      <c r="A5779" s="334" t="s">
        <v>1744</v>
      </c>
      <c r="B5779" s="380"/>
      <c r="C5779" s="334" t="s">
        <v>1254</v>
      </c>
      <c r="D5779" s="377"/>
      <c r="E5779" s="377"/>
      <c r="F5779" s="378"/>
      <c r="G5779" s="377"/>
      <c r="H5779" s="377"/>
      <c r="I5779" s="399"/>
      <c r="J5779" s="377"/>
      <c r="K5779" s="377"/>
      <c r="L5779" s="378"/>
      <c r="M5779" s="377"/>
      <c r="N5779" s="377"/>
      <c r="O5779" s="380"/>
      <c r="P5779" s="380"/>
      <c r="Q5779" s="380"/>
    </row>
    <row r="5780" spans="1:17" x14ac:dyDescent="0.2">
      <c r="A5780" s="334" t="s">
        <v>1582</v>
      </c>
      <c r="B5780" s="380"/>
      <c r="C5780" s="334" t="s">
        <v>3135</v>
      </c>
      <c r="D5780" s="377"/>
      <c r="E5780" s="377"/>
      <c r="F5780" s="378"/>
      <c r="G5780" s="377"/>
      <c r="H5780" s="377"/>
      <c r="I5780" s="399"/>
      <c r="J5780" s="377"/>
      <c r="K5780" s="377"/>
      <c r="L5780" s="378"/>
      <c r="M5780" s="377"/>
      <c r="N5780" s="377"/>
      <c r="O5780" s="380"/>
      <c r="P5780" s="380"/>
      <c r="Q5780" s="380"/>
    </row>
    <row r="5781" spans="1:17" x14ac:dyDescent="0.2">
      <c r="A5781" s="334" t="s">
        <v>1745</v>
      </c>
      <c r="B5781" s="380"/>
      <c r="C5781" s="334" t="s">
        <v>1887</v>
      </c>
      <c r="D5781" s="377"/>
      <c r="E5781" s="377"/>
      <c r="F5781" s="378"/>
      <c r="G5781" s="377"/>
      <c r="H5781" s="377"/>
      <c r="I5781" s="399"/>
      <c r="J5781" s="377"/>
      <c r="K5781" s="377"/>
      <c r="L5781" s="378"/>
      <c r="M5781" s="377"/>
      <c r="N5781" s="377"/>
      <c r="O5781" s="380"/>
      <c r="P5781" s="380"/>
      <c r="Q5781" s="380"/>
    </row>
    <row r="5782" spans="1:17" x14ac:dyDescent="0.2">
      <c r="A5782" s="334" t="s">
        <v>1906</v>
      </c>
      <c r="B5782" s="380"/>
      <c r="C5782" s="334" t="s">
        <v>39</v>
      </c>
      <c r="D5782" s="377"/>
      <c r="E5782" s="377"/>
      <c r="F5782" s="378"/>
      <c r="G5782" s="377"/>
      <c r="H5782" s="377"/>
      <c r="I5782" s="399"/>
      <c r="J5782" s="377"/>
      <c r="K5782" s="377"/>
      <c r="L5782" s="378"/>
      <c r="M5782" s="377"/>
      <c r="N5782" s="377"/>
      <c r="O5782" s="380"/>
      <c r="P5782" s="380"/>
      <c r="Q5782" s="380"/>
    </row>
    <row r="5783" spans="1:17" x14ac:dyDescent="0.2">
      <c r="A5783" s="334" t="s">
        <v>1576</v>
      </c>
      <c r="B5783" s="380"/>
      <c r="C5783" s="334" t="s">
        <v>1590</v>
      </c>
      <c r="D5783" s="377"/>
      <c r="E5783" s="377"/>
      <c r="F5783" s="378"/>
      <c r="G5783" s="377"/>
      <c r="H5783" s="377"/>
      <c r="I5783" s="399"/>
      <c r="J5783" s="377"/>
      <c r="K5783" s="377"/>
      <c r="L5783" s="378"/>
      <c r="M5783" s="377"/>
      <c r="N5783" s="377"/>
      <c r="O5783" s="380"/>
      <c r="P5783" s="380"/>
      <c r="Q5783" s="380"/>
    </row>
    <row r="5784" spans="1:17" x14ac:dyDescent="0.2">
      <c r="A5784" s="334" t="s">
        <v>1737</v>
      </c>
      <c r="B5784" s="380"/>
      <c r="C5784" s="334" t="s">
        <v>1984</v>
      </c>
      <c r="D5784" s="377"/>
      <c r="E5784" s="377"/>
      <c r="F5784" s="378"/>
      <c r="G5784" s="377"/>
      <c r="H5784" s="377"/>
      <c r="I5784" s="399"/>
      <c r="J5784" s="377"/>
      <c r="K5784" s="377"/>
      <c r="L5784" s="378"/>
      <c r="M5784" s="377"/>
      <c r="N5784" s="377"/>
      <c r="O5784" s="380"/>
      <c r="P5784" s="380"/>
      <c r="Q5784" s="380"/>
    </row>
    <row r="5785" spans="1:17" x14ac:dyDescent="0.2">
      <c r="A5785" s="384" t="s">
        <v>1726</v>
      </c>
      <c r="B5785" s="380"/>
      <c r="C5785" s="334" t="s">
        <v>1117</v>
      </c>
      <c r="D5785" s="377"/>
      <c r="E5785" s="377"/>
      <c r="F5785" s="378"/>
      <c r="G5785" s="377"/>
      <c r="H5785" s="377"/>
      <c r="I5785" s="399"/>
      <c r="J5785" s="377"/>
      <c r="K5785" s="377"/>
      <c r="L5785" s="378"/>
      <c r="M5785" s="377"/>
      <c r="N5785" s="377"/>
      <c r="O5785" s="380"/>
      <c r="P5785" s="380"/>
      <c r="Q5785" s="380"/>
    </row>
    <row r="5786" spans="1:17" x14ac:dyDescent="0.2">
      <c r="A5786" s="384" t="s">
        <v>1751</v>
      </c>
      <c r="B5786" s="380"/>
      <c r="C5786" s="334" t="s">
        <v>3138</v>
      </c>
      <c r="D5786" s="377"/>
      <c r="E5786" s="377"/>
      <c r="F5786" s="378"/>
      <c r="G5786" s="377"/>
      <c r="H5786" s="377"/>
      <c r="I5786" s="399"/>
      <c r="J5786" s="377"/>
      <c r="K5786" s="377"/>
      <c r="L5786" s="378"/>
      <c r="M5786" s="377"/>
      <c r="N5786" s="377"/>
      <c r="O5786" s="380"/>
      <c r="P5786" s="380"/>
      <c r="Q5786" s="380"/>
    </row>
    <row r="5787" spans="1:17" x14ac:dyDescent="0.2">
      <c r="A5787" s="334" t="s">
        <v>1752</v>
      </c>
      <c r="B5787" s="380"/>
      <c r="C5787" s="334" t="s">
        <v>367</v>
      </c>
      <c r="D5787" s="377"/>
      <c r="E5787" s="377"/>
      <c r="F5787" s="378"/>
      <c r="G5787" s="377"/>
      <c r="H5787" s="377"/>
      <c r="I5787" s="399"/>
      <c r="J5787" s="377"/>
      <c r="K5787" s="377"/>
      <c r="L5787" s="378"/>
      <c r="M5787" s="377"/>
      <c r="N5787" s="377"/>
      <c r="O5787" s="380"/>
      <c r="P5787" s="380"/>
      <c r="Q5787" s="380"/>
    </row>
    <row r="5788" spans="1:17" x14ac:dyDescent="0.2">
      <c r="A5788" s="334" t="s">
        <v>1734</v>
      </c>
      <c r="B5788" s="380"/>
      <c r="C5788" s="334" t="s">
        <v>1746</v>
      </c>
      <c r="D5788" s="377"/>
      <c r="E5788" s="377"/>
      <c r="F5788" s="378"/>
      <c r="G5788" s="377"/>
      <c r="H5788" s="377"/>
      <c r="I5788" s="399"/>
      <c r="J5788" s="377"/>
      <c r="K5788" s="377"/>
      <c r="L5788" s="378"/>
      <c r="M5788" s="377"/>
      <c r="N5788" s="377"/>
      <c r="O5788" s="380"/>
      <c r="P5788" s="380"/>
      <c r="Q5788" s="380"/>
    </row>
    <row r="5789" spans="1:17" x14ac:dyDescent="0.2">
      <c r="A5789" s="334" t="s">
        <v>1578</v>
      </c>
      <c r="B5789" s="380"/>
      <c r="C5789" s="334" t="s">
        <v>22</v>
      </c>
      <c r="D5789" s="377"/>
      <c r="E5789" s="377"/>
      <c r="F5789" s="378"/>
      <c r="G5789" s="377"/>
      <c r="H5789" s="377"/>
      <c r="I5789" s="399"/>
      <c r="J5789" s="377"/>
      <c r="K5789" s="377"/>
      <c r="L5789" s="378"/>
      <c r="M5789" s="377"/>
      <c r="N5789" s="377"/>
      <c r="O5789" s="380"/>
      <c r="P5789" s="380"/>
      <c r="Q5789" s="380"/>
    </row>
    <row r="5790" spans="1:17" x14ac:dyDescent="0.2">
      <c r="A5790" s="334" t="s">
        <v>1738</v>
      </c>
      <c r="B5790" s="380"/>
      <c r="C5790" s="334" t="s">
        <v>1591</v>
      </c>
      <c r="D5790" s="377"/>
      <c r="E5790" s="377"/>
      <c r="F5790" s="378"/>
      <c r="G5790" s="377"/>
      <c r="H5790" s="377"/>
      <c r="I5790" s="399"/>
      <c r="J5790" s="377"/>
      <c r="K5790" s="377"/>
      <c r="L5790" s="378"/>
      <c r="M5790" s="377"/>
      <c r="N5790" s="377"/>
      <c r="O5790" s="380"/>
      <c r="P5790" s="380"/>
      <c r="Q5790" s="380"/>
    </row>
    <row r="5791" spans="1:17" x14ac:dyDescent="0.2">
      <c r="A5791" s="334" t="s">
        <v>1727</v>
      </c>
      <c r="B5791" s="380"/>
      <c r="C5791" s="334" t="s">
        <v>307</v>
      </c>
      <c r="D5791" s="377"/>
      <c r="E5791" s="377"/>
      <c r="F5791" s="378"/>
      <c r="G5791" s="377"/>
      <c r="H5791" s="377"/>
      <c r="I5791" s="399"/>
      <c r="J5791" s="377"/>
      <c r="K5791" s="377"/>
      <c r="L5791" s="378"/>
      <c r="M5791" s="377"/>
      <c r="N5791" s="377"/>
      <c r="O5791" s="380"/>
      <c r="P5791" s="380"/>
      <c r="Q5791" s="380"/>
    </row>
    <row r="5792" spans="1:17" x14ac:dyDescent="0.2">
      <c r="A5792" s="334" t="s">
        <v>1728</v>
      </c>
      <c r="B5792" s="380"/>
      <c r="C5792" s="334" t="s">
        <v>310</v>
      </c>
      <c r="D5792" s="377"/>
      <c r="E5792" s="377"/>
      <c r="F5792" s="378"/>
      <c r="G5792" s="377"/>
      <c r="H5792" s="377"/>
      <c r="I5792" s="399"/>
      <c r="J5792" s="377"/>
      <c r="K5792" s="377"/>
      <c r="L5792" s="378"/>
      <c r="M5792" s="377"/>
      <c r="N5792" s="377"/>
      <c r="O5792" s="380"/>
      <c r="P5792" s="380"/>
      <c r="Q5792" s="380"/>
    </row>
    <row r="5793" spans="1:17" x14ac:dyDescent="0.2">
      <c r="A5793" s="334" t="s">
        <v>1729</v>
      </c>
      <c r="B5793" s="380"/>
      <c r="C5793" s="380" t="s">
        <v>1551</v>
      </c>
      <c r="D5793" s="377"/>
      <c r="E5793" s="377"/>
      <c r="F5793" s="378"/>
      <c r="G5793" s="377"/>
      <c r="H5793" s="377"/>
      <c r="I5793" s="399"/>
      <c r="J5793" s="377"/>
      <c r="K5793" s="377"/>
      <c r="L5793" s="378"/>
      <c r="M5793" s="377"/>
      <c r="N5793" s="377"/>
      <c r="O5793" s="380"/>
      <c r="P5793" s="380"/>
      <c r="Q5793" s="380"/>
    </row>
    <row r="5794" spans="1:17" x14ac:dyDescent="0.2">
      <c r="A5794" s="334" t="s">
        <v>1735</v>
      </c>
      <c r="B5794" s="380"/>
      <c r="C5794" s="380" t="s">
        <v>194</v>
      </c>
      <c r="D5794" s="377"/>
      <c r="E5794" s="377"/>
      <c r="F5794" s="378"/>
      <c r="G5794" s="377"/>
      <c r="H5794" s="377"/>
      <c r="I5794" s="399"/>
      <c r="J5794" s="377"/>
      <c r="K5794" s="377"/>
      <c r="L5794" s="378"/>
      <c r="M5794" s="377"/>
      <c r="N5794" s="377"/>
      <c r="O5794" s="380"/>
      <c r="P5794" s="380"/>
      <c r="Q5794" s="380"/>
    </row>
    <row r="5795" spans="1:17" x14ac:dyDescent="0.2">
      <c r="A5795" s="334" t="s">
        <v>1741</v>
      </c>
      <c r="B5795" s="380"/>
      <c r="C5795" s="334" t="s">
        <v>1748</v>
      </c>
      <c r="D5795" s="377"/>
      <c r="E5795" s="377"/>
      <c r="F5795" s="378"/>
      <c r="G5795" s="377"/>
      <c r="H5795" s="377"/>
      <c r="I5795" s="399"/>
      <c r="J5795" s="377"/>
      <c r="K5795" s="377"/>
      <c r="L5795" s="378"/>
      <c r="M5795" s="377"/>
      <c r="N5795" s="377"/>
      <c r="O5795" s="380"/>
      <c r="P5795" s="380"/>
      <c r="Q5795" s="380"/>
    </row>
    <row r="5796" spans="1:17" x14ac:dyDescent="0.2">
      <c r="A5796" s="334" t="s">
        <v>1742</v>
      </c>
      <c r="B5796" s="380"/>
      <c r="C5796" s="334" t="s">
        <v>1553</v>
      </c>
      <c r="D5796" s="377"/>
      <c r="E5796" s="377"/>
      <c r="F5796" s="378"/>
      <c r="G5796" s="377"/>
      <c r="H5796" s="377"/>
      <c r="I5796" s="399"/>
      <c r="J5796" s="377"/>
      <c r="K5796" s="377"/>
      <c r="L5796" s="378"/>
      <c r="M5796" s="377"/>
      <c r="N5796" s="377"/>
      <c r="O5796" s="380"/>
      <c r="P5796" s="380"/>
      <c r="Q5796" s="380"/>
    </row>
    <row r="5797" spans="1:17" x14ac:dyDescent="0.2">
      <c r="A5797" s="334" t="s">
        <v>1584</v>
      </c>
      <c r="B5797" s="380"/>
      <c r="C5797" s="334" t="s">
        <v>0</v>
      </c>
      <c r="D5797" s="377"/>
      <c r="E5797" s="377"/>
      <c r="F5797" s="378"/>
      <c r="G5797" s="377"/>
      <c r="H5797" s="377"/>
      <c r="I5797" s="399"/>
      <c r="J5797" s="377"/>
      <c r="K5797" s="377"/>
      <c r="L5797" s="378"/>
      <c r="M5797" s="377"/>
      <c r="N5797" s="377"/>
      <c r="O5797" s="380"/>
      <c r="P5797" s="380"/>
      <c r="Q5797" s="380"/>
    </row>
    <row r="5798" spans="1:17" x14ac:dyDescent="0.2">
      <c r="A5798" s="334" t="s">
        <v>1730</v>
      </c>
      <c r="B5798" s="380"/>
      <c r="C5798" s="334" t="s">
        <v>1985</v>
      </c>
      <c r="D5798" s="377"/>
      <c r="E5798" s="377"/>
      <c r="F5798" s="378"/>
      <c r="G5798" s="377"/>
      <c r="H5798" s="377"/>
      <c r="I5798" s="399"/>
      <c r="J5798" s="377"/>
      <c r="K5798" s="377"/>
      <c r="L5798" s="378"/>
      <c r="M5798" s="377"/>
      <c r="N5798" s="377"/>
      <c r="O5798" s="380"/>
      <c r="P5798" s="380"/>
      <c r="Q5798" s="380"/>
    </row>
    <row r="5799" spans="1:17" x14ac:dyDescent="0.2">
      <c r="A5799" s="334" t="s">
        <v>1566</v>
      </c>
      <c r="B5799" s="380"/>
      <c r="C5799" s="334" t="s">
        <v>366</v>
      </c>
      <c r="D5799" s="377"/>
      <c r="E5799" s="377"/>
      <c r="F5799" s="378"/>
      <c r="G5799" s="377"/>
      <c r="H5799" s="377"/>
      <c r="I5799" s="399"/>
      <c r="J5799" s="377"/>
      <c r="K5799" s="377"/>
      <c r="L5799" s="378"/>
      <c r="M5799" s="377"/>
      <c r="N5799" s="377"/>
      <c r="O5799" s="380"/>
      <c r="P5799" s="380"/>
      <c r="Q5799" s="380"/>
    </row>
    <row r="5800" spans="1:17" x14ac:dyDescent="0.2">
      <c r="A5800" s="334" t="s">
        <v>1587</v>
      </c>
      <c r="B5800" s="380"/>
      <c r="C5800" s="334" t="s">
        <v>34</v>
      </c>
      <c r="D5800" s="377"/>
      <c r="E5800" s="377"/>
      <c r="F5800" s="378"/>
      <c r="G5800" s="377"/>
      <c r="H5800" s="377"/>
      <c r="I5800" s="399"/>
      <c r="J5800" s="377"/>
      <c r="K5800" s="377"/>
      <c r="L5800" s="378"/>
      <c r="M5800" s="377"/>
      <c r="N5800" s="377"/>
      <c r="O5800" s="380"/>
      <c r="P5800" s="380"/>
      <c r="Q5800" s="380"/>
    </row>
    <row r="5801" spans="1:17" x14ac:dyDescent="0.2">
      <c r="A5801" s="334" t="s">
        <v>1903</v>
      </c>
      <c r="B5801" s="380"/>
      <c r="C5801" s="334" t="s">
        <v>35</v>
      </c>
      <c r="D5801" s="377"/>
      <c r="E5801" s="380"/>
      <c r="F5801" s="378"/>
      <c r="G5801" s="380"/>
      <c r="H5801" s="380"/>
      <c r="I5801" s="399"/>
      <c r="J5801" s="377"/>
      <c r="K5801" s="377"/>
      <c r="L5801" s="378"/>
      <c r="M5801" s="377"/>
      <c r="N5801" s="377"/>
      <c r="O5801" s="380"/>
      <c r="P5801" s="380"/>
      <c r="Q5801" s="380"/>
    </row>
    <row r="5802" spans="1:17" x14ac:dyDescent="0.2">
      <c r="A5802" s="334" t="s">
        <v>1962</v>
      </c>
      <c r="B5802" s="380"/>
      <c r="C5802" s="380" t="s">
        <v>572</v>
      </c>
      <c r="D5802" s="377"/>
      <c r="E5802" s="377"/>
      <c r="F5802" s="378"/>
      <c r="G5802" s="377"/>
      <c r="H5802" s="377"/>
      <c r="I5802" s="399"/>
      <c r="J5802" s="377"/>
      <c r="K5802" s="382"/>
      <c r="L5802" s="380"/>
      <c r="M5802" s="380"/>
      <c r="N5802" s="380"/>
      <c r="O5802" s="380"/>
      <c r="P5802" s="380"/>
      <c r="Q5802" s="380"/>
    </row>
    <row r="5803" spans="1:17" x14ac:dyDescent="0.2">
      <c r="A5803" s="334" t="s">
        <v>1567</v>
      </c>
      <c r="B5803" s="380"/>
      <c r="C5803" s="334" t="s">
        <v>3142</v>
      </c>
      <c r="D5803" s="377"/>
      <c r="E5803" s="377"/>
      <c r="F5803" s="378"/>
      <c r="G5803" s="377"/>
      <c r="H5803" s="377"/>
      <c r="I5803" s="399"/>
      <c r="J5803" s="377"/>
      <c r="K5803" s="377"/>
      <c r="L5803" s="378"/>
      <c r="M5803" s="377"/>
      <c r="N5803" s="377"/>
      <c r="O5803" s="380"/>
      <c r="P5803" s="380"/>
      <c r="Q5803" s="380"/>
    </row>
    <row r="5804" spans="1:17" x14ac:dyDescent="0.2">
      <c r="A5804" s="380"/>
      <c r="B5804" s="380"/>
      <c r="C5804" s="380"/>
      <c r="D5804" s="394"/>
      <c r="E5804" s="394"/>
      <c r="F5804" s="413"/>
      <c r="G5804" s="394"/>
      <c r="H5804" s="394"/>
      <c r="I5804" s="385"/>
      <c r="J5804" s="394"/>
      <c r="K5804" s="394"/>
      <c r="L5804" s="413"/>
      <c r="M5804" s="394"/>
      <c r="N5804" s="394"/>
      <c r="O5804" s="380"/>
      <c r="P5804" s="380"/>
      <c r="Q5804" s="380"/>
    </row>
    <row r="5805" spans="1:17" x14ac:dyDescent="0.2">
      <c r="A5805" s="380"/>
      <c r="B5805" s="380"/>
      <c r="C5805" s="380"/>
      <c r="D5805" s="334">
        <f>SUM(D5775:D5803)</f>
        <v>0</v>
      </c>
      <c r="E5805" s="334">
        <f>SUM(E5774:E5803)</f>
        <v>0</v>
      </c>
      <c r="F5805" s="412">
        <f>SUM(F5774:F5803)</f>
        <v>0</v>
      </c>
      <c r="G5805" s="334"/>
      <c r="H5805" s="334">
        <f>SUM(H5774:H5803)</f>
        <v>0</v>
      </c>
      <c r="I5805" s="399"/>
      <c r="J5805" s="334">
        <f>SUM(J5775:J5803)</f>
        <v>0</v>
      </c>
      <c r="K5805" s="334">
        <f>SUM(K5774:K5803)</f>
        <v>0</v>
      </c>
      <c r="L5805" s="412">
        <f>SUM(L5774:L5803)</f>
        <v>0</v>
      </c>
      <c r="M5805" s="334"/>
      <c r="N5805" s="334">
        <f>SUM(N5774:N5803)</f>
        <v>0</v>
      </c>
      <c r="O5805" s="380"/>
      <c r="P5805" s="380"/>
      <c r="Q5805" s="380"/>
    </row>
    <row r="5806" spans="1:17" ht="15.75" thickTop="1" x14ac:dyDescent="0.2">
      <c r="A5806" s="380"/>
      <c r="B5806" s="380"/>
      <c r="C5806" s="380"/>
      <c r="D5806" s="395">
        <f>D5805-D5775</f>
        <v>0</v>
      </c>
      <c r="E5806" s="395">
        <f>E5805-E5774</f>
        <v>0</v>
      </c>
      <c r="F5806" s="401">
        <f>F5805-F5774</f>
        <v>0</v>
      </c>
      <c r="G5806" s="395"/>
      <c r="H5806" s="395">
        <f>H5805-H5774</f>
        <v>0</v>
      </c>
      <c r="I5806" s="382"/>
      <c r="J5806" s="395">
        <f>J5805-J5775</f>
        <v>0</v>
      </c>
      <c r="K5806" s="395">
        <f>K5805-K5774</f>
        <v>0</v>
      </c>
      <c r="L5806" s="401">
        <f>L5805-L5774</f>
        <v>0</v>
      </c>
      <c r="M5806" s="395"/>
      <c r="N5806" s="395">
        <f>N5805-N5774</f>
        <v>0</v>
      </c>
      <c r="O5806" s="380"/>
      <c r="P5806" s="380"/>
      <c r="Q5806" s="380"/>
    </row>
    <row r="5807" spans="1:17" x14ac:dyDescent="0.2">
      <c r="A5807" s="334" t="s">
        <v>342</v>
      </c>
      <c r="B5807" s="380"/>
      <c r="C5807" s="334" t="s">
        <v>342</v>
      </c>
      <c r="D5807" s="380"/>
      <c r="E5807" s="334"/>
      <c r="F5807" s="412"/>
      <c r="G5807" s="334"/>
      <c r="H5807" s="380"/>
      <c r="I5807" s="385"/>
      <c r="J5807" s="380"/>
      <c r="K5807" s="334"/>
      <c r="L5807" s="412"/>
      <c r="M5807" s="334"/>
      <c r="N5807" s="380"/>
      <c r="O5807" s="380"/>
      <c r="P5807" s="380"/>
      <c r="Q5807" s="380"/>
    </row>
    <row r="5808" spans="1:17" x14ac:dyDescent="0.2">
      <c r="A5808" s="334" t="s">
        <v>374</v>
      </c>
      <c r="B5808" s="380"/>
      <c r="C5808" s="380"/>
      <c r="D5808" s="334"/>
      <c r="E5808" s="380"/>
      <c r="F5808" s="378"/>
      <c r="G5808" s="380"/>
      <c r="H5808" s="380"/>
      <c r="I5808" s="443"/>
      <c r="J5808" s="334"/>
      <c r="K5808" s="382"/>
      <c r="L5808" s="380"/>
      <c r="M5808" s="380"/>
      <c r="N5808" s="380"/>
      <c r="O5808" s="380"/>
      <c r="P5808" s="380"/>
      <c r="Q5808" s="380"/>
    </row>
    <row r="5809" spans="1:17" x14ac:dyDescent="0.2">
      <c r="A5809" s="334" t="s">
        <v>342</v>
      </c>
      <c r="B5809" s="380"/>
      <c r="C5809" s="334"/>
      <c r="D5809" s="442" t="s">
        <v>295</v>
      </c>
      <c r="E5809" s="384" t="s">
        <v>301</v>
      </c>
      <c r="F5809" s="421" t="s">
        <v>476</v>
      </c>
      <c r="G5809" s="384"/>
      <c r="H5809" s="442" t="s">
        <v>293</v>
      </c>
      <c r="I5809" s="385"/>
      <c r="J5809" s="442" t="s">
        <v>295</v>
      </c>
      <c r="K5809" s="384" t="s">
        <v>301</v>
      </c>
      <c r="L5809" s="421" t="s">
        <v>476</v>
      </c>
      <c r="M5809" s="384"/>
      <c r="N5809" s="442" t="s">
        <v>293</v>
      </c>
      <c r="O5809" s="380"/>
      <c r="P5809" s="380"/>
      <c r="Q5809" s="380"/>
    </row>
    <row r="5810" spans="1:17" x14ac:dyDescent="0.2">
      <c r="A5810" s="334" t="s">
        <v>342</v>
      </c>
      <c r="B5810" s="380"/>
      <c r="C5810" s="334" t="s">
        <v>342</v>
      </c>
      <c r="D5810" s="334" t="s">
        <v>796</v>
      </c>
      <c r="E5810" s="334" t="s">
        <v>69</v>
      </c>
      <c r="F5810" s="412" t="s">
        <v>799</v>
      </c>
      <c r="G5810" s="334"/>
      <c r="H5810" s="380" t="s">
        <v>294</v>
      </c>
      <c r="I5810" s="385"/>
      <c r="J5810" s="334" t="s">
        <v>796</v>
      </c>
      <c r="K5810" s="334" t="s">
        <v>69</v>
      </c>
      <c r="L5810" s="412" t="s">
        <v>799</v>
      </c>
      <c r="M5810" s="334"/>
      <c r="N5810" s="380" t="s">
        <v>294</v>
      </c>
      <c r="O5810" s="380"/>
      <c r="P5810" s="380"/>
      <c r="Q5810" s="380"/>
    </row>
    <row r="5811" spans="1:17" x14ac:dyDescent="0.2">
      <c r="A5811" s="334" t="s">
        <v>1723</v>
      </c>
      <c r="B5811" s="380"/>
      <c r="C5811" s="334" t="s">
        <v>1880</v>
      </c>
      <c r="D5811" s="334" t="s">
        <v>181</v>
      </c>
      <c r="E5811" s="334" t="s">
        <v>181</v>
      </c>
      <c r="F5811" s="412" t="s">
        <v>181</v>
      </c>
      <c r="G5811" s="334"/>
      <c r="H5811" s="334" t="s">
        <v>181</v>
      </c>
      <c r="I5811" s="382"/>
      <c r="J5811" s="334" t="s">
        <v>181</v>
      </c>
      <c r="K5811" s="334" t="s">
        <v>181</v>
      </c>
      <c r="L5811" s="412" t="s">
        <v>181</v>
      </c>
      <c r="M5811" s="334"/>
      <c r="N5811" s="334" t="s">
        <v>181</v>
      </c>
      <c r="O5811" s="380"/>
      <c r="P5811" s="380"/>
      <c r="Q5811" s="380"/>
    </row>
    <row r="5812" spans="1:17" x14ac:dyDescent="0.2">
      <c r="A5812" s="380"/>
      <c r="B5812" s="380"/>
      <c r="C5812" s="380"/>
      <c r="D5812" s="380"/>
      <c r="E5812" s="377"/>
      <c r="F5812" s="378"/>
      <c r="G5812" s="377"/>
      <c r="H5812" s="377"/>
      <c r="I5812" s="399"/>
      <c r="J5812" s="380"/>
      <c r="K5812" s="377"/>
      <c r="L5812" s="378"/>
      <c r="M5812" s="377"/>
      <c r="N5812" s="377"/>
      <c r="O5812" s="380"/>
      <c r="P5812" s="380"/>
      <c r="Q5812" s="380"/>
    </row>
    <row r="5813" spans="1:17" x14ac:dyDescent="0.2">
      <c r="A5813" s="334" t="s">
        <v>1568</v>
      </c>
      <c r="B5813" s="380"/>
      <c r="C5813" s="380" t="s">
        <v>1817</v>
      </c>
      <c r="D5813" s="377"/>
      <c r="E5813" s="377">
        <v>0</v>
      </c>
      <c r="F5813" s="378">
        <v>0</v>
      </c>
      <c r="G5813" s="377">
        <v>0</v>
      </c>
      <c r="H5813" s="377">
        <v>0</v>
      </c>
      <c r="I5813" s="399"/>
      <c r="J5813" s="377"/>
      <c r="K5813" s="377">
        <v>0</v>
      </c>
      <c r="L5813" s="378">
        <v>0</v>
      </c>
      <c r="M5813" s="377">
        <v>0</v>
      </c>
      <c r="N5813" s="377">
        <v>0</v>
      </c>
      <c r="O5813" s="380"/>
      <c r="P5813" s="380"/>
      <c r="Q5813" s="380"/>
    </row>
    <row r="5814" spans="1:17" x14ac:dyDescent="0.2">
      <c r="A5814" s="334" t="s">
        <v>1724</v>
      </c>
      <c r="B5814" s="380"/>
      <c r="C5814" s="334" t="s">
        <v>1881</v>
      </c>
      <c r="D5814" s="377">
        <v>0</v>
      </c>
      <c r="E5814" s="377"/>
      <c r="F5814" s="378"/>
      <c r="G5814" s="377"/>
      <c r="H5814" s="377"/>
      <c r="I5814" s="399"/>
      <c r="J5814" s="377">
        <v>0</v>
      </c>
      <c r="K5814" s="377"/>
      <c r="L5814" s="378"/>
      <c r="M5814" s="377"/>
      <c r="N5814" s="377"/>
      <c r="O5814" s="380"/>
      <c r="P5814" s="380"/>
      <c r="Q5814" s="380"/>
    </row>
    <row r="5815" spans="1:17" x14ac:dyDescent="0.2">
      <c r="A5815" s="334" t="s">
        <v>1961</v>
      </c>
      <c r="B5815" s="380"/>
      <c r="C5815" s="334" t="s">
        <v>9</v>
      </c>
      <c r="D5815" s="377"/>
      <c r="E5815" s="377"/>
      <c r="F5815" s="378"/>
      <c r="G5815" s="377"/>
      <c r="H5815" s="377"/>
      <c r="I5815" s="399"/>
      <c r="J5815" s="377"/>
      <c r="K5815" s="377"/>
      <c r="L5815" s="378"/>
      <c r="M5815" s="377"/>
      <c r="N5815" s="377"/>
      <c r="O5815" s="380"/>
      <c r="P5815" s="380"/>
      <c r="Q5815" s="380"/>
    </row>
    <row r="5816" spans="1:17" x14ac:dyDescent="0.2">
      <c r="A5816" s="334" t="s">
        <v>1736</v>
      </c>
      <c r="B5816" s="380"/>
      <c r="C5816" s="334" t="s">
        <v>1747</v>
      </c>
      <c r="D5816" s="377"/>
      <c r="E5816" s="377"/>
      <c r="F5816" s="378"/>
      <c r="G5816" s="377"/>
      <c r="H5816" s="377"/>
      <c r="I5816" s="399"/>
      <c r="J5816" s="377"/>
      <c r="K5816" s="377"/>
      <c r="L5816" s="378"/>
      <c r="M5816" s="377"/>
      <c r="N5816" s="377"/>
      <c r="O5816" s="380"/>
      <c r="P5816" s="380"/>
      <c r="Q5816" s="380"/>
    </row>
    <row r="5817" spans="1:17" x14ac:dyDescent="0.2">
      <c r="A5817" s="334" t="s">
        <v>1744</v>
      </c>
      <c r="B5817" s="380"/>
      <c r="C5817" s="334" t="s">
        <v>1254</v>
      </c>
      <c r="D5817" s="377"/>
      <c r="E5817" s="377"/>
      <c r="F5817" s="378"/>
      <c r="G5817" s="377"/>
      <c r="H5817" s="377"/>
      <c r="I5817" s="399"/>
      <c r="J5817" s="377"/>
      <c r="K5817" s="377"/>
      <c r="L5817" s="378"/>
      <c r="M5817" s="377"/>
      <c r="N5817" s="377"/>
      <c r="O5817" s="380"/>
      <c r="P5817" s="380"/>
      <c r="Q5817" s="380"/>
    </row>
    <row r="5818" spans="1:17" x14ac:dyDescent="0.2">
      <c r="A5818" s="334" t="s">
        <v>1582</v>
      </c>
      <c r="B5818" s="380"/>
      <c r="C5818" s="334" t="s">
        <v>3135</v>
      </c>
      <c r="D5818" s="377"/>
      <c r="E5818" s="377"/>
      <c r="F5818" s="378"/>
      <c r="G5818" s="377"/>
      <c r="H5818" s="377"/>
      <c r="I5818" s="399"/>
      <c r="J5818" s="377"/>
      <c r="K5818" s="377"/>
      <c r="L5818" s="378"/>
      <c r="M5818" s="377"/>
      <c r="N5818" s="377"/>
      <c r="O5818" s="380"/>
      <c r="P5818" s="380"/>
      <c r="Q5818" s="380"/>
    </row>
    <row r="5819" spans="1:17" x14ac:dyDescent="0.2">
      <c r="A5819" s="334" t="s">
        <v>1745</v>
      </c>
      <c r="B5819" s="380"/>
      <c r="C5819" s="334" t="s">
        <v>1887</v>
      </c>
      <c r="D5819" s="377"/>
      <c r="E5819" s="377"/>
      <c r="F5819" s="378"/>
      <c r="G5819" s="377"/>
      <c r="H5819" s="377"/>
      <c r="I5819" s="399"/>
      <c r="J5819" s="377"/>
      <c r="K5819" s="377"/>
      <c r="L5819" s="378"/>
      <c r="M5819" s="377"/>
      <c r="N5819" s="377"/>
      <c r="O5819" s="380"/>
      <c r="P5819" s="380"/>
      <c r="Q5819" s="380"/>
    </row>
    <row r="5820" spans="1:17" x14ac:dyDescent="0.2">
      <c r="A5820" s="334" t="s">
        <v>1906</v>
      </c>
      <c r="B5820" s="380"/>
      <c r="C5820" s="334" t="s">
        <v>39</v>
      </c>
      <c r="D5820" s="377"/>
      <c r="E5820" s="377"/>
      <c r="F5820" s="378"/>
      <c r="G5820" s="377"/>
      <c r="H5820" s="377"/>
      <c r="I5820" s="399"/>
      <c r="J5820" s="377"/>
      <c r="K5820" s="377"/>
      <c r="L5820" s="378"/>
      <c r="M5820" s="377"/>
      <c r="N5820" s="377"/>
      <c r="O5820" s="380"/>
      <c r="P5820" s="380"/>
      <c r="Q5820" s="380"/>
    </row>
    <row r="5821" spans="1:17" x14ac:dyDescent="0.2">
      <c r="A5821" s="334" t="s">
        <v>1576</v>
      </c>
      <c r="B5821" s="380"/>
      <c r="C5821" s="334" t="s">
        <v>1590</v>
      </c>
      <c r="D5821" s="377"/>
      <c r="E5821" s="377"/>
      <c r="F5821" s="378"/>
      <c r="G5821" s="377"/>
      <c r="H5821" s="377"/>
      <c r="I5821" s="399"/>
      <c r="J5821" s="377"/>
      <c r="K5821" s="377"/>
      <c r="L5821" s="378"/>
      <c r="M5821" s="377"/>
      <c r="N5821" s="377"/>
      <c r="O5821" s="380"/>
      <c r="P5821" s="380"/>
      <c r="Q5821" s="380"/>
    </row>
    <row r="5822" spans="1:17" x14ac:dyDescent="0.2">
      <c r="A5822" s="334" t="s">
        <v>1737</v>
      </c>
      <c r="B5822" s="380"/>
      <c r="C5822" s="334" t="s">
        <v>1984</v>
      </c>
      <c r="D5822" s="377"/>
      <c r="E5822" s="377"/>
      <c r="F5822" s="378"/>
      <c r="G5822" s="377"/>
      <c r="H5822" s="377"/>
      <c r="I5822" s="399"/>
      <c r="J5822" s="377"/>
      <c r="K5822" s="377"/>
      <c r="L5822" s="378"/>
      <c r="M5822" s="377"/>
      <c r="N5822" s="377"/>
      <c r="O5822" s="380"/>
      <c r="P5822" s="380"/>
      <c r="Q5822" s="380"/>
    </row>
    <row r="5823" spans="1:17" x14ac:dyDescent="0.2">
      <c r="A5823" s="384" t="s">
        <v>1726</v>
      </c>
      <c r="B5823" s="380"/>
      <c r="C5823" s="334" t="s">
        <v>1117</v>
      </c>
      <c r="D5823" s="377"/>
      <c r="E5823" s="377"/>
      <c r="F5823" s="378"/>
      <c r="G5823" s="377"/>
      <c r="H5823" s="377"/>
      <c r="I5823" s="399"/>
      <c r="J5823" s="377"/>
      <c r="K5823" s="377"/>
      <c r="L5823" s="378"/>
      <c r="M5823" s="377"/>
      <c r="N5823" s="377"/>
      <c r="O5823" s="380"/>
      <c r="P5823" s="380"/>
      <c r="Q5823" s="380"/>
    </row>
    <row r="5824" spans="1:17" x14ac:dyDescent="0.2">
      <c r="A5824" s="384" t="s">
        <v>1751</v>
      </c>
      <c r="B5824" s="380"/>
      <c r="C5824" s="334" t="s">
        <v>3138</v>
      </c>
      <c r="D5824" s="377"/>
      <c r="E5824" s="377"/>
      <c r="F5824" s="378"/>
      <c r="G5824" s="377"/>
      <c r="H5824" s="377"/>
      <c r="I5824" s="399"/>
      <c r="J5824" s="377"/>
      <c r="K5824" s="377"/>
      <c r="L5824" s="378"/>
      <c r="M5824" s="377"/>
      <c r="N5824" s="377"/>
      <c r="O5824" s="380"/>
      <c r="P5824" s="380"/>
      <c r="Q5824" s="380"/>
    </row>
    <row r="5825" spans="1:17" x14ac:dyDescent="0.2">
      <c r="A5825" s="334" t="s">
        <v>1752</v>
      </c>
      <c r="B5825" s="380"/>
      <c r="C5825" s="334" t="s">
        <v>367</v>
      </c>
      <c r="D5825" s="377"/>
      <c r="E5825" s="377"/>
      <c r="F5825" s="378"/>
      <c r="G5825" s="377"/>
      <c r="H5825" s="377"/>
      <c r="I5825" s="399"/>
      <c r="J5825" s="377"/>
      <c r="K5825" s="377"/>
      <c r="L5825" s="378"/>
      <c r="M5825" s="377"/>
      <c r="N5825" s="377"/>
      <c r="O5825" s="380"/>
      <c r="P5825" s="380"/>
      <c r="Q5825" s="380"/>
    </row>
    <row r="5826" spans="1:17" x14ac:dyDescent="0.2">
      <c r="A5826" s="334" t="s">
        <v>1734</v>
      </c>
      <c r="B5826" s="380"/>
      <c r="C5826" s="334" t="s">
        <v>1746</v>
      </c>
      <c r="D5826" s="377"/>
      <c r="E5826" s="377"/>
      <c r="F5826" s="378"/>
      <c r="G5826" s="377"/>
      <c r="H5826" s="377"/>
      <c r="I5826" s="399"/>
      <c r="J5826" s="377"/>
      <c r="K5826" s="377"/>
      <c r="L5826" s="378"/>
      <c r="M5826" s="377"/>
      <c r="N5826" s="377"/>
      <c r="O5826" s="380"/>
      <c r="P5826" s="380"/>
      <c r="Q5826" s="380"/>
    </row>
    <row r="5827" spans="1:17" x14ac:dyDescent="0.2">
      <c r="A5827" s="334" t="s">
        <v>1578</v>
      </c>
      <c r="B5827" s="380"/>
      <c r="C5827" s="334" t="s">
        <v>22</v>
      </c>
      <c r="D5827" s="377"/>
      <c r="E5827" s="377"/>
      <c r="F5827" s="378"/>
      <c r="G5827" s="377"/>
      <c r="H5827" s="377"/>
      <c r="I5827" s="399"/>
      <c r="J5827" s="377"/>
      <c r="K5827" s="377"/>
      <c r="L5827" s="378"/>
      <c r="M5827" s="377"/>
      <c r="N5827" s="377"/>
      <c r="O5827" s="380"/>
      <c r="P5827" s="380"/>
      <c r="Q5827" s="380"/>
    </row>
    <row r="5828" spans="1:17" x14ac:dyDescent="0.2">
      <c r="A5828" s="334" t="s">
        <v>1738</v>
      </c>
      <c r="B5828" s="380"/>
      <c r="C5828" s="334" t="s">
        <v>1591</v>
      </c>
      <c r="D5828" s="377"/>
      <c r="E5828" s="377"/>
      <c r="F5828" s="378"/>
      <c r="G5828" s="377"/>
      <c r="H5828" s="377"/>
      <c r="I5828" s="399"/>
      <c r="J5828" s="377"/>
      <c r="K5828" s="377"/>
      <c r="L5828" s="378"/>
      <c r="M5828" s="377"/>
      <c r="N5828" s="377"/>
      <c r="O5828" s="380"/>
      <c r="P5828" s="380"/>
      <c r="Q5828" s="380"/>
    </row>
    <row r="5829" spans="1:17" x14ac:dyDescent="0.2">
      <c r="A5829" s="334" t="s">
        <v>1727</v>
      </c>
      <c r="B5829" s="380"/>
      <c r="C5829" s="334" t="s">
        <v>307</v>
      </c>
      <c r="D5829" s="377"/>
      <c r="E5829" s="377"/>
      <c r="F5829" s="378"/>
      <c r="G5829" s="377"/>
      <c r="H5829" s="377"/>
      <c r="I5829" s="399"/>
      <c r="J5829" s="377"/>
      <c r="K5829" s="377"/>
      <c r="L5829" s="378"/>
      <c r="M5829" s="377"/>
      <c r="N5829" s="377"/>
      <c r="O5829" s="380"/>
      <c r="P5829" s="380"/>
      <c r="Q5829" s="380"/>
    </row>
    <row r="5830" spans="1:17" x14ac:dyDescent="0.2">
      <c r="A5830" s="334" t="s">
        <v>1728</v>
      </c>
      <c r="B5830" s="380"/>
      <c r="C5830" s="334" t="s">
        <v>310</v>
      </c>
      <c r="D5830" s="377"/>
      <c r="E5830" s="377"/>
      <c r="F5830" s="378"/>
      <c r="G5830" s="377"/>
      <c r="H5830" s="377"/>
      <c r="I5830" s="399"/>
      <c r="J5830" s="377"/>
      <c r="K5830" s="377"/>
      <c r="L5830" s="378"/>
      <c r="M5830" s="377"/>
      <c r="N5830" s="377"/>
      <c r="O5830" s="380"/>
      <c r="P5830" s="380"/>
      <c r="Q5830" s="380"/>
    </row>
    <row r="5831" spans="1:17" x14ac:dyDescent="0.2">
      <c r="A5831" s="334" t="s">
        <v>1729</v>
      </c>
      <c r="B5831" s="380"/>
      <c r="C5831" s="380" t="s">
        <v>1551</v>
      </c>
      <c r="D5831" s="377"/>
      <c r="E5831" s="377"/>
      <c r="F5831" s="378"/>
      <c r="G5831" s="377"/>
      <c r="H5831" s="377"/>
      <c r="I5831" s="399"/>
      <c r="J5831" s="377"/>
      <c r="K5831" s="377"/>
      <c r="L5831" s="378"/>
      <c r="M5831" s="377"/>
      <c r="N5831" s="377"/>
      <c r="O5831" s="380"/>
      <c r="P5831" s="380"/>
      <c r="Q5831" s="380"/>
    </row>
    <row r="5832" spans="1:17" x14ac:dyDescent="0.2">
      <c r="A5832" s="334" t="s">
        <v>1735</v>
      </c>
      <c r="B5832" s="380"/>
      <c r="C5832" s="380" t="s">
        <v>194</v>
      </c>
      <c r="D5832" s="377"/>
      <c r="E5832" s="377"/>
      <c r="F5832" s="378"/>
      <c r="G5832" s="377"/>
      <c r="H5832" s="377"/>
      <c r="I5832" s="399"/>
      <c r="J5832" s="377"/>
      <c r="K5832" s="377"/>
      <c r="L5832" s="378"/>
      <c r="M5832" s="377"/>
      <c r="N5832" s="377"/>
      <c r="O5832" s="380"/>
      <c r="P5832" s="380"/>
      <c r="Q5832" s="380"/>
    </row>
    <row r="5833" spans="1:17" x14ac:dyDescent="0.2">
      <c r="A5833" s="334" t="s">
        <v>1741</v>
      </c>
      <c r="B5833" s="380"/>
      <c r="C5833" s="334" t="s">
        <v>1748</v>
      </c>
      <c r="D5833" s="377"/>
      <c r="E5833" s="377"/>
      <c r="F5833" s="378"/>
      <c r="G5833" s="377"/>
      <c r="H5833" s="377"/>
      <c r="I5833" s="399"/>
      <c r="J5833" s="377"/>
      <c r="K5833" s="377"/>
      <c r="L5833" s="378"/>
      <c r="M5833" s="377"/>
      <c r="N5833" s="377"/>
      <c r="O5833" s="380"/>
      <c r="P5833" s="380"/>
      <c r="Q5833" s="380"/>
    </row>
    <row r="5834" spans="1:17" x14ac:dyDescent="0.2">
      <c r="A5834" s="334" t="s">
        <v>1742</v>
      </c>
      <c r="B5834" s="380"/>
      <c r="C5834" s="334" t="s">
        <v>1553</v>
      </c>
      <c r="D5834" s="377"/>
      <c r="E5834" s="377"/>
      <c r="F5834" s="378"/>
      <c r="G5834" s="377"/>
      <c r="H5834" s="377"/>
      <c r="I5834" s="399"/>
      <c r="J5834" s="377"/>
      <c r="K5834" s="377"/>
      <c r="L5834" s="378"/>
      <c r="M5834" s="377"/>
      <c r="N5834" s="377"/>
      <c r="O5834" s="380"/>
      <c r="P5834" s="380"/>
      <c r="Q5834" s="380"/>
    </row>
    <row r="5835" spans="1:17" x14ac:dyDescent="0.2">
      <c r="A5835" s="334" t="s">
        <v>1584</v>
      </c>
      <c r="B5835" s="380"/>
      <c r="C5835" s="334" t="s">
        <v>0</v>
      </c>
      <c r="D5835" s="377"/>
      <c r="E5835" s="377"/>
      <c r="F5835" s="378"/>
      <c r="G5835" s="377"/>
      <c r="H5835" s="377"/>
      <c r="I5835" s="399"/>
      <c r="J5835" s="377"/>
      <c r="K5835" s="377"/>
      <c r="L5835" s="378"/>
      <c r="M5835" s="377"/>
      <c r="N5835" s="377"/>
      <c r="O5835" s="380"/>
      <c r="P5835" s="380"/>
      <c r="Q5835" s="380"/>
    </row>
    <row r="5836" spans="1:17" x14ac:dyDescent="0.2">
      <c r="A5836" s="334" t="s">
        <v>1730</v>
      </c>
      <c r="B5836" s="380"/>
      <c r="C5836" s="334" t="s">
        <v>1985</v>
      </c>
      <c r="D5836" s="377"/>
      <c r="E5836" s="377"/>
      <c r="F5836" s="378"/>
      <c r="G5836" s="377"/>
      <c r="H5836" s="377"/>
      <c r="I5836" s="399"/>
      <c r="J5836" s="377"/>
      <c r="K5836" s="377"/>
      <c r="L5836" s="378"/>
      <c r="M5836" s="377"/>
      <c r="N5836" s="377"/>
      <c r="O5836" s="380"/>
      <c r="P5836" s="380"/>
      <c r="Q5836" s="380"/>
    </row>
    <row r="5837" spans="1:17" x14ac:dyDescent="0.2">
      <c r="A5837" s="334" t="s">
        <v>1566</v>
      </c>
      <c r="B5837" s="380"/>
      <c r="C5837" s="334" t="s">
        <v>366</v>
      </c>
      <c r="D5837" s="377"/>
      <c r="E5837" s="377"/>
      <c r="F5837" s="378"/>
      <c r="G5837" s="377"/>
      <c r="H5837" s="377"/>
      <c r="I5837" s="399"/>
      <c r="J5837" s="377"/>
      <c r="K5837" s="377"/>
      <c r="L5837" s="378"/>
      <c r="M5837" s="377"/>
      <c r="N5837" s="377"/>
      <c r="O5837" s="380"/>
      <c r="P5837" s="380"/>
      <c r="Q5837" s="380"/>
    </row>
    <row r="5838" spans="1:17" x14ac:dyDescent="0.2">
      <c r="A5838" s="334" t="s">
        <v>1587</v>
      </c>
      <c r="B5838" s="380"/>
      <c r="C5838" s="334" t="s">
        <v>34</v>
      </c>
      <c r="D5838" s="377"/>
      <c r="E5838" s="377"/>
      <c r="F5838" s="378"/>
      <c r="G5838" s="377"/>
      <c r="H5838" s="377"/>
      <c r="I5838" s="399"/>
      <c r="J5838" s="377"/>
      <c r="K5838" s="377"/>
      <c r="L5838" s="378"/>
      <c r="M5838" s="377"/>
      <c r="N5838" s="377"/>
      <c r="O5838" s="380"/>
      <c r="P5838" s="380"/>
      <c r="Q5838" s="380"/>
    </row>
    <row r="5839" spans="1:17" x14ac:dyDescent="0.2">
      <c r="A5839" s="334" t="s">
        <v>1903</v>
      </c>
      <c r="B5839" s="380"/>
      <c r="C5839" s="334" t="s">
        <v>35</v>
      </c>
      <c r="D5839" s="377"/>
      <c r="E5839" s="377"/>
      <c r="F5839" s="378"/>
      <c r="G5839" s="377"/>
      <c r="H5839" s="377"/>
      <c r="I5839" s="399"/>
      <c r="J5839" s="377"/>
      <c r="K5839" s="377"/>
      <c r="L5839" s="378"/>
      <c r="M5839" s="377"/>
      <c r="N5839" s="377"/>
      <c r="O5839" s="380"/>
      <c r="P5839" s="380"/>
      <c r="Q5839" s="380"/>
    </row>
    <row r="5840" spans="1:17" x14ac:dyDescent="0.2">
      <c r="A5840" s="334" t="s">
        <v>1962</v>
      </c>
      <c r="B5840" s="380"/>
      <c r="C5840" s="380" t="s">
        <v>572</v>
      </c>
      <c r="D5840" s="377"/>
      <c r="E5840" s="380"/>
      <c r="F5840" s="378"/>
      <c r="G5840" s="380"/>
      <c r="H5840" s="380"/>
      <c r="I5840" s="399"/>
      <c r="J5840" s="377"/>
      <c r="K5840" s="382"/>
      <c r="L5840" s="380"/>
      <c r="M5840" s="380"/>
      <c r="N5840" s="380"/>
      <c r="O5840" s="380"/>
      <c r="P5840" s="380"/>
      <c r="Q5840" s="380"/>
    </row>
    <row r="5841" spans="1:17" x14ac:dyDescent="0.2">
      <c r="A5841" s="334" t="s">
        <v>1567</v>
      </c>
      <c r="B5841" s="380"/>
      <c r="C5841" s="334" t="s">
        <v>3142</v>
      </c>
      <c r="D5841" s="377"/>
      <c r="E5841" s="377"/>
      <c r="F5841" s="378"/>
      <c r="G5841" s="377"/>
      <c r="H5841" s="377"/>
      <c r="I5841" s="399"/>
      <c r="J5841" s="377"/>
      <c r="K5841" s="377"/>
      <c r="L5841" s="378"/>
      <c r="M5841" s="377"/>
      <c r="N5841" s="377"/>
      <c r="O5841" s="380"/>
      <c r="P5841" s="380"/>
      <c r="Q5841" s="380"/>
    </row>
    <row r="5842" spans="1:17" x14ac:dyDescent="0.2">
      <c r="A5842" s="380"/>
      <c r="B5842" s="380"/>
      <c r="C5842" s="380"/>
      <c r="D5842" s="394"/>
      <c r="E5842" s="394"/>
      <c r="F5842" s="413"/>
      <c r="G5842" s="394"/>
      <c r="H5842" s="394"/>
      <c r="I5842" s="385"/>
      <c r="J5842" s="394"/>
      <c r="K5842" s="394"/>
      <c r="L5842" s="413"/>
      <c r="M5842" s="394"/>
      <c r="N5842" s="394"/>
      <c r="O5842" s="380"/>
      <c r="P5842" s="380"/>
      <c r="Q5842" s="380"/>
    </row>
    <row r="5843" spans="1:17" x14ac:dyDescent="0.2">
      <c r="A5843" s="380"/>
      <c r="B5843" s="380"/>
      <c r="C5843" s="380"/>
      <c r="D5843" s="334">
        <f>SUM(D5813:D5841)</f>
        <v>0</v>
      </c>
      <c r="E5843" s="334">
        <f>SUM(E5812:E5841)</f>
        <v>0</v>
      </c>
      <c r="F5843" s="412">
        <f>SUM(F5812:F5841)</f>
        <v>0</v>
      </c>
      <c r="G5843" s="334"/>
      <c r="H5843" s="334">
        <f>SUM(H5812:H5841)</f>
        <v>0</v>
      </c>
      <c r="I5843" s="399"/>
      <c r="J5843" s="334">
        <f>SUM(J5813:J5841)</f>
        <v>0</v>
      </c>
      <c r="K5843" s="334">
        <f>SUM(K5812:K5841)</f>
        <v>0</v>
      </c>
      <c r="L5843" s="412">
        <f>SUM(L5812:L5841)</f>
        <v>0</v>
      </c>
      <c r="M5843" s="334"/>
      <c r="N5843" s="334">
        <f>SUM(N5812:N5841)</f>
        <v>0</v>
      </c>
      <c r="O5843" s="380"/>
      <c r="P5843" s="380"/>
      <c r="Q5843" s="380"/>
    </row>
    <row r="5844" spans="1:17" ht="15.75" thickTop="1" x14ac:dyDescent="0.2">
      <c r="A5844" s="380"/>
      <c r="B5844" s="380"/>
      <c r="C5844" s="380"/>
      <c r="D5844" s="395">
        <f>D5843-D5813</f>
        <v>0</v>
      </c>
      <c r="E5844" s="395">
        <f>E5843-E5812</f>
        <v>0</v>
      </c>
      <c r="F5844" s="401">
        <f>F5843-F5812</f>
        <v>0</v>
      </c>
      <c r="G5844" s="395"/>
      <c r="H5844" s="395">
        <f>H5843-H5812</f>
        <v>0</v>
      </c>
      <c r="I5844" s="385"/>
      <c r="J5844" s="395">
        <f>J5843-J5813</f>
        <v>0</v>
      </c>
      <c r="K5844" s="395">
        <f>K5843-K5812</f>
        <v>0</v>
      </c>
      <c r="L5844" s="401">
        <f>L5843-L5812</f>
        <v>0</v>
      </c>
      <c r="M5844" s="395"/>
      <c r="N5844" s="395">
        <f>N5843-N5812</f>
        <v>0</v>
      </c>
      <c r="O5844" s="380"/>
      <c r="P5844" s="380"/>
      <c r="Q5844" s="380"/>
    </row>
    <row r="5845" spans="1:17" x14ac:dyDescent="0.2">
      <c r="A5845" s="334" t="s">
        <v>377</v>
      </c>
      <c r="B5845" s="380"/>
      <c r="C5845" s="380"/>
      <c r="D5845" s="334"/>
      <c r="E5845" s="380"/>
      <c r="F5845" s="378"/>
      <c r="G5845" s="384"/>
      <c r="H5845" s="443"/>
      <c r="I5845" s="443"/>
      <c r="J5845" s="334"/>
      <c r="K5845" s="382"/>
      <c r="L5845" s="380"/>
      <c r="M5845" s="384"/>
      <c r="N5845" s="443"/>
      <c r="O5845" s="380"/>
      <c r="P5845" s="380"/>
      <c r="Q5845" s="380"/>
    </row>
    <row r="5846" spans="1:17" x14ac:dyDescent="0.2">
      <c r="A5846" s="334" t="s">
        <v>342</v>
      </c>
      <c r="B5846" s="380"/>
      <c r="C5846" s="334"/>
      <c r="D5846" s="442" t="s">
        <v>295</v>
      </c>
      <c r="E5846" s="384" t="s">
        <v>296</v>
      </c>
      <c r="F5846" s="421" t="s">
        <v>3174</v>
      </c>
      <c r="G5846" s="334"/>
      <c r="H5846" s="382"/>
      <c r="I5846" s="385"/>
      <c r="J5846" s="442" t="s">
        <v>295</v>
      </c>
      <c r="K5846" s="384" t="s">
        <v>296</v>
      </c>
      <c r="L5846" s="421" t="s">
        <v>293</v>
      </c>
      <c r="M5846" s="334"/>
      <c r="N5846" s="382"/>
      <c r="O5846" s="380"/>
      <c r="P5846" s="380"/>
      <c r="Q5846" s="380"/>
    </row>
    <row r="5847" spans="1:17" x14ac:dyDescent="0.2">
      <c r="A5847" s="334" t="s">
        <v>342</v>
      </c>
      <c r="B5847" s="380"/>
      <c r="C5847" s="334" t="s">
        <v>342</v>
      </c>
      <c r="D5847" s="334" t="s">
        <v>796</v>
      </c>
      <c r="E5847" s="334" t="s">
        <v>960</v>
      </c>
      <c r="F5847" s="412" t="s">
        <v>294</v>
      </c>
      <c r="G5847" s="334"/>
      <c r="H5847" s="385"/>
      <c r="I5847" s="385"/>
      <c r="J5847" s="334" t="s">
        <v>796</v>
      </c>
      <c r="K5847" s="334" t="s">
        <v>960</v>
      </c>
      <c r="L5847" s="412" t="s">
        <v>294</v>
      </c>
      <c r="M5847" s="334"/>
      <c r="N5847" s="385"/>
      <c r="O5847" s="380"/>
      <c r="P5847" s="380"/>
      <c r="Q5847" s="380"/>
    </row>
    <row r="5848" spans="1:17" x14ac:dyDescent="0.2">
      <c r="A5848" s="334" t="s">
        <v>1723</v>
      </c>
      <c r="B5848" s="380"/>
      <c r="C5848" s="334" t="s">
        <v>1880</v>
      </c>
      <c r="D5848" s="334" t="s">
        <v>181</v>
      </c>
      <c r="E5848" s="334" t="s">
        <v>181</v>
      </c>
      <c r="F5848" s="412" t="s">
        <v>181</v>
      </c>
      <c r="G5848" s="380"/>
      <c r="H5848" s="382"/>
      <c r="I5848" s="382"/>
      <c r="J5848" s="334" t="s">
        <v>181</v>
      </c>
      <c r="K5848" s="334" t="s">
        <v>181</v>
      </c>
      <c r="L5848" s="412" t="s">
        <v>181</v>
      </c>
      <c r="M5848" s="380"/>
      <c r="N5848" s="382"/>
      <c r="O5848" s="380"/>
      <c r="P5848" s="380"/>
      <c r="Q5848" s="380"/>
    </row>
    <row r="5849" spans="1:17" x14ac:dyDescent="0.2">
      <c r="A5849" s="380"/>
      <c r="B5849" s="380"/>
      <c r="C5849" s="380"/>
      <c r="D5849" s="380"/>
      <c r="E5849" s="377"/>
      <c r="F5849" s="378"/>
      <c r="G5849" s="377"/>
      <c r="H5849" s="399"/>
      <c r="I5849" s="399"/>
      <c r="J5849" s="380"/>
      <c r="K5849" s="377"/>
      <c r="L5849" s="378"/>
      <c r="M5849" s="377"/>
      <c r="N5849" s="399"/>
      <c r="O5849" s="380"/>
      <c r="P5849" s="380"/>
      <c r="Q5849" s="380"/>
    </row>
    <row r="5850" spans="1:17" x14ac:dyDescent="0.2">
      <c r="A5850" s="403" t="s">
        <v>1743</v>
      </c>
      <c r="B5850" s="380"/>
      <c r="C5850" s="334" t="s">
        <v>1886</v>
      </c>
      <c r="D5850" s="377"/>
      <c r="E5850" s="377"/>
      <c r="F5850" s="378">
        <v>4000</v>
      </c>
      <c r="G5850" s="377"/>
      <c r="H5850" s="399"/>
      <c r="I5850" s="399"/>
      <c r="J5850" s="377"/>
      <c r="K5850" s="377">
        <v>500</v>
      </c>
      <c r="L5850" s="378">
        <v>2000</v>
      </c>
      <c r="M5850" s="377"/>
      <c r="N5850" s="399"/>
      <c r="O5850" s="380"/>
      <c r="P5850" s="380"/>
      <c r="Q5850" s="380"/>
    </row>
    <row r="5851" spans="1:17" x14ac:dyDescent="0.2">
      <c r="A5851" s="334" t="s">
        <v>1724</v>
      </c>
      <c r="B5851" s="380"/>
      <c r="C5851" s="334" t="s">
        <v>1881</v>
      </c>
      <c r="D5851" s="440">
        <v>400</v>
      </c>
      <c r="E5851" s="440">
        <v>500</v>
      </c>
      <c r="F5851" s="378">
        <v>2000</v>
      </c>
      <c r="G5851" s="377"/>
      <c r="H5851" s="399"/>
      <c r="I5851" s="399"/>
      <c r="J5851" s="377">
        <v>400</v>
      </c>
      <c r="K5851" s="377"/>
      <c r="L5851" s="378"/>
      <c r="M5851" s="377"/>
      <c r="N5851" s="399"/>
      <c r="O5851" s="380"/>
      <c r="P5851" s="380"/>
      <c r="Q5851" s="380"/>
    </row>
    <row r="5852" spans="1:17" x14ac:dyDescent="0.2">
      <c r="A5852" s="334" t="s">
        <v>1961</v>
      </c>
      <c r="B5852" s="380"/>
      <c r="C5852" s="334" t="s">
        <v>9</v>
      </c>
      <c r="D5852" s="377"/>
      <c r="E5852" s="377"/>
      <c r="F5852" s="378"/>
      <c r="G5852" s="377"/>
      <c r="H5852" s="399"/>
      <c r="I5852" s="399"/>
      <c r="J5852" s="377"/>
      <c r="K5852" s="377"/>
      <c r="L5852" s="378">
        <v>500</v>
      </c>
      <c r="M5852" s="377"/>
      <c r="N5852" s="399"/>
      <c r="O5852" s="380"/>
      <c r="P5852" s="380"/>
      <c r="Q5852" s="380"/>
    </row>
    <row r="5853" spans="1:17" x14ac:dyDescent="0.2">
      <c r="A5853" s="334" t="s">
        <v>1736</v>
      </c>
      <c r="B5853" s="380"/>
      <c r="C5853" s="334" t="s">
        <v>1747</v>
      </c>
      <c r="D5853" s="377"/>
      <c r="E5853" s="377"/>
      <c r="F5853" s="378">
        <v>500</v>
      </c>
      <c r="G5853" s="377"/>
      <c r="H5853" s="399"/>
      <c r="I5853" s="399"/>
      <c r="J5853" s="377"/>
      <c r="K5853" s="377"/>
      <c r="L5853" s="378">
        <v>500</v>
      </c>
      <c r="M5853" s="377"/>
      <c r="N5853" s="399"/>
      <c r="O5853" s="380"/>
      <c r="P5853" s="380"/>
      <c r="Q5853" s="380"/>
    </row>
    <row r="5854" spans="1:17" x14ac:dyDescent="0.2">
      <c r="A5854" s="334" t="s">
        <v>1744</v>
      </c>
      <c r="B5854" s="380"/>
      <c r="C5854" s="334" t="s">
        <v>1254</v>
      </c>
      <c r="D5854" s="377"/>
      <c r="E5854" s="377"/>
      <c r="F5854" s="378">
        <v>800</v>
      </c>
      <c r="G5854" s="377"/>
      <c r="H5854" s="399"/>
      <c r="I5854" s="399"/>
      <c r="J5854" s="377"/>
      <c r="K5854" s="377"/>
      <c r="L5854" s="378">
        <v>1000</v>
      </c>
      <c r="M5854" s="377"/>
      <c r="N5854" s="399"/>
      <c r="O5854" s="380"/>
      <c r="P5854" s="380"/>
      <c r="Q5854" s="380"/>
    </row>
    <row r="5855" spans="1:17" x14ac:dyDescent="0.2">
      <c r="A5855" s="334" t="s">
        <v>1582</v>
      </c>
      <c r="B5855" s="380"/>
      <c r="C5855" s="334" t="s">
        <v>3135</v>
      </c>
      <c r="D5855" s="377"/>
      <c r="E5855" s="377"/>
      <c r="F5855" s="378">
        <v>1000</v>
      </c>
      <c r="G5855" s="377"/>
      <c r="H5855" s="399"/>
      <c r="I5855" s="399"/>
      <c r="J5855" s="377"/>
      <c r="K5855" s="377"/>
      <c r="L5855" s="378"/>
      <c r="M5855" s="377"/>
      <c r="N5855" s="399"/>
      <c r="O5855" s="380"/>
      <c r="P5855" s="380"/>
      <c r="Q5855" s="380"/>
    </row>
    <row r="5856" spans="1:17" x14ac:dyDescent="0.2">
      <c r="A5856" s="334" t="s">
        <v>1745</v>
      </c>
      <c r="B5856" s="380"/>
      <c r="C5856" s="334" t="s">
        <v>1887</v>
      </c>
      <c r="D5856" s="377"/>
      <c r="E5856" s="377"/>
      <c r="F5856" s="378"/>
      <c r="G5856" s="377"/>
      <c r="H5856" s="399"/>
      <c r="I5856" s="399"/>
      <c r="J5856" s="377"/>
      <c r="K5856" s="377"/>
      <c r="L5856" s="378"/>
      <c r="M5856" s="377"/>
      <c r="N5856" s="399"/>
      <c r="O5856" s="380"/>
      <c r="P5856" s="380"/>
      <c r="Q5856" s="380"/>
    </row>
    <row r="5857" spans="1:17" x14ac:dyDescent="0.2">
      <c r="A5857" s="334" t="s">
        <v>1906</v>
      </c>
      <c r="B5857" s="380"/>
      <c r="C5857" s="334" t="s">
        <v>39</v>
      </c>
      <c r="D5857" s="377"/>
      <c r="E5857" s="377"/>
      <c r="F5857" s="378"/>
      <c r="G5857" s="377"/>
      <c r="H5857" s="399"/>
      <c r="I5857" s="399"/>
      <c r="J5857" s="377"/>
      <c r="K5857" s="377"/>
      <c r="L5857" s="378"/>
      <c r="M5857" s="377"/>
      <c r="N5857" s="399"/>
      <c r="O5857" s="380"/>
      <c r="P5857" s="380"/>
      <c r="Q5857" s="380"/>
    </row>
    <row r="5858" spans="1:17" x14ac:dyDescent="0.2">
      <c r="A5858" s="334" t="s">
        <v>1576</v>
      </c>
      <c r="B5858" s="380"/>
      <c r="C5858" s="334" t="s">
        <v>1590</v>
      </c>
      <c r="D5858" s="377"/>
      <c r="E5858" s="377"/>
      <c r="F5858" s="378">
        <v>800</v>
      </c>
      <c r="G5858" s="377"/>
      <c r="H5858" s="399"/>
      <c r="I5858" s="399"/>
      <c r="J5858" s="377"/>
      <c r="K5858" s="377"/>
      <c r="L5858" s="378"/>
      <c r="M5858" s="377"/>
      <c r="N5858" s="399"/>
      <c r="O5858" s="380"/>
      <c r="P5858" s="380"/>
      <c r="Q5858" s="380"/>
    </row>
    <row r="5859" spans="1:17" x14ac:dyDescent="0.2">
      <c r="A5859" s="384" t="s">
        <v>1726</v>
      </c>
      <c r="B5859" s="380"/>
      <c r="C5859" s="334" t="s">
        <v>1117</v>
      </c>
      <c r="D5859" s="377"/>
      <c r="E5859" s="377"/>
      <c r="F5859" s="378"/>
      <c r="G5859" s="377"/>
      <c r="H5859" s="399"/>
      <c r="I5859" s="399"/>
      <c r="J5859" s="377"/>
      <c r="K5859" s="377"/>
      <c r="L5859" s="378">
        <v>750</v>
      </c>
      <c r="M5859" s="377"/>
      <c r="N5859" s="399"/>
      <c r="O5859" s="380"/>
      <c r="P5859" s="380"/>
      <c r="Q5859" s="380"/>
    </row>
    <row r="5860" spans="1:17" x14ac:dyDescent="0.2">
      <c r="A5860" s="384" t="s">
        <v>1828</v>
      </c>
      <c r="B5860" s="380"/>
      <c r="C5860" s="334" t="s">
        <v>2712</v>
      </c>
      <c r="D5860" s="377"/>
      <c r="E5860" s="377"/>
      <c r="F5860" s="378">
        <v>1500</v>
      </c>
      <c r="G5860" s="377"/>
      <c r="H5860" s="399"/>
      <c r="I5860" s="399"/>
      <c r="J5860" s="377"/>
      <c r="K5860" s="377"/>
      <c r="L5860" s="378"/>
      <c r="M5860" s="377"/>
      <c r="N5860" s="399"/>
      <c r="O5860" s="380"/>
      <c r="P5860" s="380"/>
      <c r="Q5860" s="380"/>
    </row>
    <row r="5861" spans="1:17" x14ac:dyDescent="0.2">
      <c r="A5861" s="384" t="s">
        <v>1751</v>
      </c>
      <c r="B5861" s="380"/>
      <c r="C5861" s="334" t="s">
        <v>3138</v>
      </c>
      <c r="D5861" s="377"/>
      <c r="E5861" s="377"/>
      <c r="F5861" s="378">
        <v>800</v>
      </c>
      <c r="G5861" s="377"/>
      <c r="H5861" s="399"/>
      <c r="I5861" s="399"/>
      <c r="J5861" s="377"/>
      <c r="K5861" s="377"/>
      <c r="L5861" s="378"/>
      <c r="M5861" s="377"/>
      <c r="N5861" s="399"/>
      <c r="O5861" s="380"/>
      <c r="P5861" s="380"/>
      <c r="Q5861" s="380"/>
    </row>
    <row r="5862" spans="1:17" x14ac:dyDescent="0.2">
      <c r="A5862" s="334" t="s">
        <v>1752</v>
      </c>
      <c r="B5862" s="380"/>
      <c r="C5862" s="334" t="s">
        <v>367</v>
      </c>
      <c r="D5862" s="377"/>
      <c r="E5862" s="377"/>
      <c r="F5862" s="378"/>
      <c r="G5862" s="377"/>
      <c r="H5862" s="399"/>
      <c r="I5862" s="399"/>
      <c r="J5862" s="377"/>
      <c r="K5862" s="377"/>
      <c r="L5862" s="378">
        <v>2500</v>
      </c>
      <c r="M5862" s="377"/>
      <c r="N5862" s="399"/>
      <c r="O5862" s="380"/>
      <c r="P5862" s="380"/>
      <c r="Q5862" s="380"/>
    </row>
    <row r="5863" spans="1:17" x14ac:dyDescent="0.2">
      <c r="A5863" s="334" t="s">
        <v>1734</v>
      </c>
      <c r="B5863" s="380"/>
      <c r="C5863" s="334" t="s">
        <v>1746</v>
      </c>
      <c r="D5863" s="377"/>
      <c r="E5863" s="377"/>
      <c r="F5863" s="378">
        <v>2500</v>
      </c>
      <c r="G5863" s="377"/>
      <c r="H5863" s="399"/>
      <c r="I5863" s="399"/>
      <c r="J5863" s="377"/>
      <c r="K5863" s="377"/>
      <c r="L5863" s="378"/>
      <c r="M5863" s="377"/>
      <c r="N5863" s="399"/>
      <c r="O5863" s="380"/>
      <c r="P5863" s="380"/>
      <c r="Q5863" s="380"/>
    </row>
    <row r="5864" spans="1:17" x14ac:dyDescent="0.2">
      <c r="A5864" s="334" t="s">
        <v>1578</v>
      </c>
      <c r="B5864" s="380"/>
      <c r="C5864" s="334" t="s">
        <v>22</v>
      </c>
      <c r="D5864" s="377"/>
      <c r="E5864" s="377"/>
      <c r="F5864" s="378"/>
      <c r="G5864" s="377"/>
      <c r="H5864" s="399"/>
      <c r="I5864" s="399"/>
      <c r="J5864" s="377"/>
      <c r="K5864" s="377"/>
      <c r="L5864" s="378">
        <v>500</v>
      </c>
      <c r="M5864" s="377"/>
      <c r="N5864" s="399"/>
      <c r="O5864" s="380"/>
      <c r="P5864" s="380"/>
      <c r="Q5864" s="380"/>
    </row>
    <row r="5865" spans="1:17" x14ac:dyDescent="0.2">
      <c r="A5865" s="334" t="s">
        <v>1738</v>
      </c>
      <c r="B5865" s="380"/>
      <c r="C5865" s="334" t="s">
        <v>1591</v>
      </c>
      <c r="D5865" s="377"/>
      <c r="E5865" s="377"/>
      <c r="F5865" s="378">
        <v>500</v>
      </c>
      <c r="G5865" s="377"/>
      <c r="H5865" s="399"/>
      <c r="I5865" s="399"/>
      <c r="J5865" s="377"/>
      <c r="K5865" s="377"/>
      <c r="L5865" s="378">
        <v>500</v>
      </c>
      <c r="M5865" s="377"/>
      <c r="N5865" s="399"/>
      <c r="O5865" s="380"/>
      <c r="P5865" s="380"/>
      <c r="Q5865" s="380"/>
    </row>
    <row r="5866" spans="1:17" x14ac:dyDescent="0.2">
      <c r="A5866" s="334" t="s">
        <v>1727</v>
      </c>
      <c r="B5866" s="380"/>
      <c r="C5866" s="334" t="s">
        <v>307</v>
      </c>
      <c r="D5866" s="377"/>
      <c r="E5866" s="377"/>
      <c r="F5866" s="378">
        <v>500</v>
      </c>
      <c r="G5866" s="377"/>
      <c r="H5866" s="399"/>
      <c r="I5866" s="399"/>
      <c r="J5866" s="377"/>
      <c r="K5866" s="377"/>
      <c r="L5866" s="378">
        <v>500</v>
      </c>
      <c r="M5866" s="377"/>
      <c r="N5866" s="399"/>
      <c r="O5866" s="380"/>
      <c r="P5866" s="380"/>
      <c r="Q5866" s="380"/>
    </row>
    <row r="5867" spans="1:17" x14ac:dyDescent="0.2">
      <c r="A5867" s="334" t="s">
        <v>1728</v>
      </c>
      <c r="B5867" s="380"/>
      <c r="C5867" s="334" t="s">
        <v>310</v>
      </c>
      <c r="D5867" s="377"/>
      <c r="E5867" s="377"/>
      <c r="F5867" s="378">
        <v>500</v>
      </c>
      <c r="G5867" s="377"/>
      <c r="H5867" s="399"/>
      <c r="I5867" s="399"/>
      <c r="J5867" s="377"/>
      <c r="K5867" s="377"/>
      <c r="L5867" s="378">
        <v>100</v>
      </c>
      <c r="M5867" s="377"/>
      <c r="N5867" s="399"/>
      <c r="O5867" s="380"/>
      <c r="P5867" s="380"/>
      <c r="Q5867" s="380"/>
    </row>
    <row r="5868" spans="1:17" x14ac:dyDescent="0.2">
      <c r="A5868" s="334" t="s">
        <v>1729</v>
      </c>
      <c r="B5868" s="380"/>
      <c r="C5868" s="380" t="s">
        <v>1551</v>
      </c>
      <c r="D5868" s="377">
        <v>-80</v>
      </c>
      <c r="E5868" s="377">
        <v>-14.17</v>
      </c>
      <c r="F5868" s="378">
        <f>-12280-40000</f>
        <v>-52280</v>
      </c>
      <c r="G5868" s="377"/>
      <c r="H5868" s="399"/>
      <c r="I5868" s="399"/>
      <c r="J5868" s="377"/>
      <c r="K5868" s="377"/>
      <c r="L5868" s="378">
        <v>500</v>
      </c>
      <c r="M5868" s="377"/>
      <c r="N5868" s="399"/>
      <c r="O5868" s="380"/>
      <c r="P5868" s="380"/>
      <c r="Q5868" s="380"/>
    </row>
    <row r="5869" spans="1:17" x14ac:dyDescent="0.2">
      <c r="A5869" s="334" t="s">
        <v>1735</v>
      </c>
      <c r="B5869" s="380"/>
      <c r="C5869" s="380" t="s">
        <v>194</v>
      </c>
      <c r="D5869" s="377"/>
      <c r="E5869" s="377"/>
      <c r="F5869" s="378"/>
      <c r="G5869" s="377"/>
      <c r="H5869" s="399"/>
      <c r="I5869" s="399"/>
      <c r="J5869" s="377"/>
      <c r="K5869" s="377"/>
      <c r="L5869" s="378"/>
      <c r="M5869" s="377"/>
      <c r="N5869" s="399"/>
      <c r="O5869" s="380"/>
      <c r="P5869" s="380"/>
      <c r="Q5869" s="380"/>
    </row>
    <row r="5870" spans="1:17" x14ac:dyDescent="0.2">
      <c r="A5870" s="334" t="s">
        <v>1741</v>
      </c>
      <c r="B5870" s="380"/>
      <c r="C5870" s="334" t="s">
        <v>1748</v>
      </c>
      <c r="D5870" s="377"/>
      <c r="E5870" s="377"/>
      <c r="F5870" s="378">
        <v>1000</v>
      </c>
      <c r="G5870" s="377"/>
      <c r="H5870" s="399"/>
      <c r="I5870" s="399"/>
      <c r="J5870" s="377"/>
      <c r="K5870" s="377"/>
      <c r="L5870" s="378"/>
      <c r="M5870" s="377"/>
      <c r="N5870" s="399"/>
      <c r="O5870" s="380"/>
      <c r="P5870" s="380"/>
      <c r="Q5870" s="380"/>
    </row>
    <row r="5871" spans="1:17" x14ac:dyDescent="0.2">
      <c r="A5871" s="334" t="s">
        <v>1742</v>
      </c>
      <c r="B5871" s="380"/>
      <c r="C5871" s="334" t="s">
        <v>1553</v>
      </c>
      <c r="D5871" s="377"/>
      <c r="E5871" s="377"/>
      <c r="F5871" s="378"/>
      <c r="G5871" s="377"/>
      <c r="H5871" s="399"/>
      <c r="I5871" s="399"/>
      <c r="J5871" s="377"/>
      <c r="K5871" s="377"/>
      <c r="L5871" s="378"/>
      <c r="M5871" s="377"/>
      <c r="N5871" s="399"/>
      <c r="O5871" s="380"/>
      <c r="P5871" s="380"/>
      <c r="Q5871" s="380"/>
    </row>
    <row r="5872" spans="1:17" x14ac:dyDescent="0.2">
      <c r="A5872" s="334" t="s">
        <v>1584</v>
      </c>
      <c r="B5872" s="380"/>
      <c r="C5872" s="334" t="s">
        <v>0</v>
      </c>
      <c r="D5872" s="377"/>
      <c r="E5872" s="377"/>
      <c r="F5872" s="378"/>
      <c r="G5872" s="377"/>
      <c r="H5872" s="399"/>
      <c r="I5872" s="399"/>
      <c r="J5872" s="377"/>
      <c r="K5872" s="377"/>
      <c r="L5872" s="378">
        <v>1500</v>
      </c>
      <c r="M5872" s="377"/>
      <c r="N5872" s="399"/>
      <c r="O5872" s="380"/>
      <c r="P5872" s="380"/>
      <c r="Q5872" s="380"/>
    </row>
    <row r="5873" spans="1:17" x14ac:dyDescent="0.2">
      <c r="A5873" s="334" t="s">
        <v>1730</v>
      </c>
      <c r="B5873" s="380"/>
      <c r="C5873" s="334" t="s">
        <v>1985</v>
      </c>
      <c r="D5873" s="377"/>
      <c r="E5873" s="377"/>
      <c r="F5873" s="378">
        <v>2000</v>
      </c>
      <c r="G5873" s="377"/>
      <c r="H5873" s="399"/>
      <c r="I5873" s="399"/>
      <c r="J5873" s="377"/>
      <c r="K5873" s="377"/>
      <c r="L5873" s="378"/>
      <c r="M5873" s="377"/>
      <c r="N5873" s="399"/>
      <c r="O5873" s="380"/>
      <c r="P5873" s="380"/>
      <c r="Q5873" s="380"/>
    </row>
    <row r="5874" spans="1:17" x14ac:dyDescent="0.2">
      <c r="A5874" s="334" t="s">
        <v>1566</v>
      </c>
      <c r="B5874" s="380"/>
      <c r="C5874" s="334" t="s">
        <v>366</v>
      </c>
      <c r="D5874" s="377"/>
      <c r="E5874" s="377"/>
      <c r="F5874" s="378"/>
      <c r="G5874" s="377"/>
      <c r="H5874" s="399"/>
      <c r="I5874" s="399"/>
      <c r="J5874" s="377"/>
      <c r="K5874" s="377"/>
      <c r="L5874" s="378"/>
      <c r="M5874" s="377"/>
      <c r="N5874" s="399"/>
      <c r="O5874" s="380"/>
      <c r="P5874" s="380"/>
      <c r="Q5874" s="380"/>
    </row>
    <row r="5875" spans="1:17" x14ac:dyDescent="0.2">
      <c r="A5875" s="334" t="s">
        <v>1587</v>
      </c>
      <c r="B5875" s="380"/>
      <c r="C5875" s="334" t="s">
        <v>34</v>
      </c>
      <c r="D5875" s="377"/>
      <c r="E5875" s="377"/>
      <c r="F5875" s="378"/>
      <c r="G5875" s="377"/>
      <c r="H5875" s="399"/>
      <c r="I5875" s="399"/>
      <c r="J5875" s="377"/>
      <c r="K5875" s="377"/>
      <c r="L5875" s="378">
        <v>48000</v>
      </c>
      <c r="M5875" s="377"/>
      <c r="N5875" s="399"/>
      <c r="O5875" s="380"/>
      <c r="P5875" s="380"/>
      <c r="Q5875" s="380"/>
    </row>
    <row r="5876" spans="1:17" x14ac:dyDescent="0.2">
      <c r="A5876" s="334" t="s">
        <v>1903</v>
      </c>
      <c r="B5876" s="380"/>
      <c r="C5876" s="334" t="s">
        <v>35</v>
      </c>
      <c r="D5876" s="377"/>
      <c r="E5876" s="377"/>
      <c r="F5876" s="378">
        <v>38000</v>
      </c>
      <c r="G5876" s="377"/>
      <c r="H5876" s="399"/>
      <c r="I5876" s="399"/>
      <c r="J5876" s="377"/>
      <c r="K5876" s="377"/>
      <c r="L5876" s="378">
        <v>2000</v>
      </c>
      <c r="M5876" s="377"/>
      <c r="N5876" s="399"/>
      <c r="O5876" s="380"/>
      <c r="P5876" s="380"/>
      <c r="Q5876" s="380"/>
    </row>
    <row r="5877" spans="1:17" x14ac:dyDescent="0.2">
      <c r="A5877" s="334" t="s">
        <v>1962</v>
      </c>
      <c r="B5877" s="380"/>
      <c r="C5877" s="380" t="s">
        <v>572</v>
      </c>
      <c r="D5877" s="377"/>
      <c r="E5877" s="380"/>
      <c r="F5877" s="378">
        <v>5000</v>
      </c>
      <c r="G5877" s="377"/>
      <c r="H5877" s="399"/>
      <c r="I5877" s="399"/>
      <c r="J5877" s="377"/>
      <c r="K5877" s="382"/>
      <c r="L5877" s="380"/>
      <c r="M5877" s="377"/>
      <c r="N5877" s="399"/>
      <c r="O5877" s="380"/>
      <c r="P5877" s="380"/>
      <c r="Q5877" s="380"/>
    </row>
    <row r="5878" spans="1:17" x14ac:dyDescent="0.2">
      <c r="A5878" s="334" t="s">
        <v>1567</v>
      </c>
      <c r="B5878" s="380"/>
      <c r="C5878" s="334" t="s">
        <v>3142</v>
      </c>
      <c r="D5878" s="377"/>
      <c r="E5878" s="377"/>
      <c r="F5878" s="378"/>
      <c r="G5878" s="399"/>
      <c r="H5878" s="399"/>
      <c r="I5878" s="399"/>
      <c r="J5878" s="377"/>
      <c r="K5878" s="377"/>
      <c r="L5878" s="378"/>
      <c r="M5878" s="399"/>
      <c r="N5878" s="399"/>
      <c r="O5878" s="380"/>
      <c r="P5878" s="380"/>
      <c r="Q5878" s="380"/>
    </row>
    <row r="5879" spans="1:17" x14ac:dyDescent="0.2">
      <c r="A5879" s="380"/>
      <c r="B5879" s="380"/>
      <c r="C5879" s="380"/>
      <c r="D5879" s="394"/>
      <c r="E5879" s="394"/>
      <c r="F5879" s="413"/>
      <c r="G5879" s="334"/>
      <c r="H5879" s="385"/>
      <c r="I5879" s="385"/>
      <c r="J5879" s="394"/>
      <c r="K5879" s="394"/>
      <c r="L5879" s="413"/>
      <c r="M5879" s="334"/>
      <c r="N5879" s="385"/>
      <c r="O5879" s="380"/>
      <c r="P5879" s="380"/>
      <c r="Q5879" s="380"/>
    </row>
    <row r="5880" spans="1:17" x14ac:dyDescent="0.2">
      <c r="A5880" s="380"/>
      <c r="B5880" s="380"/>
      <c r="C5880" s="380"/>
      <c r="D5880" s="334">
        <f>SUM(D5850:D5878)</f>
        <v>320</v>
      </c>
      <c r="E5880" s="334">
        <f>SUM(E5849:E5878)</f>
        <v>485.83</v>
      </c>
      <c r="F5880" s="412">
        <f>SUM(F5849:F5878)</f>
        <v>9120</v>
      </c>
      <c r="G5880" s="399"/>
      <c r="H5880" s="399"/>
      <c r="I5880" s="399"/>
      <c r="J5880" s="334">
        <f>SUM(J5850:J5878)</f>
        <v>400</v>
      </c>
      <c r="K5880" s="334">
        <f>SUM(K5849:K5878)</f>
        <v>500</v>
      </c>
      <c r="L5880" s="412">
        <f>SUM(L5849:L5878)</f>
        <v>60850</v>
      </c>
      <c r="M5880" s="399"/>
      <c r="N5880" s="399"/>
      <c r="O5880" s="380"/>
      <c r="P5880" s="380"/>
      <c r="Q5880" s="380"/>
    </row>
    <row r="5881" spans="1:17" ht="15.75" thickTop="1" x14ac:dyDescent="0.2">
      <c r="A5881" s="380"/>
      <c r="B5881" s="380"/>
      <c r="C5881" s="380"/>
      <c r="D5881" s="395">
        <f>D5880</f>
        <v>320</v>
      </c>
      <c r="E5881" s="395">
        <f>E5880</f>
        <v>485.83</v>
      </c>
      <c r="F5881" s="401">
        <f>F5880</f>
        <v>9120</v>
      </c>
      <c r="G5881" s="399"/>
      <c r="H5881" s="399"/>
      <c r="I5881" s="399"/>
      <c r="J5881" s="395">
        <f>J5880</f>
        <v>400</v>
      </c>
      <c r="K5881" s="395">
        <f>K5880</f>
        <v>500</v>
      </c>
      <c r="L5881" s="401">
        <f>L5880</f>
        <v>60850</v>
      </c>
      <c r="M5881" s="399"/>
      <c r="N5881" s="399"/>
      <c r="O5881" s="380"/>
      <c r="P5881" s="380"/>
      <c r="Q5881" s="380"/>
    </row>
    <row r="5882" spans="1:17" x14ac:dyDescent="0.2">
      <c r="A5882" s="380"/>
      <c r="B5882" s="380"/>
      <c r="C5882" s="380"/>
      <c r="D5882" s="399"/>
      <c r="E5882" s="334"/>
      <c r="F5882" s="412"/>
      <c r="G5882" s="334"/>
      <c r="H5882" s="382"/>
      <c r="I5882" s="385"/>
      <c r="J5882" s="399"/>
      <c r="K5882" s="334"/>
      <c r="L5882" s="412"/>
      <c r="M5882" s="334"/>
      <c r="N5882" s="382"/>
      <c r="O5882" s="380"/>
      <c r="P5882" s="380"/>
      <c r="Q5882" s="380"/>
    </row>
    <row r="5883" spans="1:17" x14ac:dyDescent="0.2">
      <c r="A5883" s="334" t="s">
        <v>2849</v>
      </c>
      <c r="B5883" s="380"/>
      <c r="C5883" s="380"/>
      <c r="D5883" s="334"/>
      <c r="E5883" s="424"/>
      <c r="F5883" s="475"/>
      <c r="G5883" s="424"/>
      <c r="H5883" s="382"/>
      <c r="I5883" s="480"/>
      <c r="J5883" s="334"/>
      <c r="K5883" s="424"/>
      <c r="L5883" s="475"/>
      <c r="M5883" s="424"/>
      <c r="N5883" s="382"/>
      <c r="O5883" s="380"/>
      <c r="P5883" s="380"/>
      <c r="Q5883" s="380"/>
    </row>
    <row r="5884" spans="1:17" x14ac:dyDescent="0.2">
      <c r="A5884" s="334" t="s">
        <v>342</v>
      </c>
      <c r="B5884" s="380"/>
      <c r="C5884" s="334"/>
      <c r="D5884" s="448" t="s">
        <v>2932</v>
      </c>
      <c r="E5884" s="385"/>
      <c r="F5884" s="415"/>
      <c r="G5884" s="385"/>
      <c r="H5884" s="382"/>
      <c r="I5884" s="385"/>
      <c r="J5884" s="448" t="s">
        <v>2932</v>
      </c>
      <c r="K5884" s="385"/>
      <c r="L5884" s="415"/>
      <c r="M5884" s="385"/>
      <c r="N5884" s="382"/>
      <c r="O5884" s="380"/>
      <c r="P5884" s="380"/>
      <c r="Q5884" s="380"/>
    </row>
    <row r="5885" spans="1:17" x14ac:dyDescent="0.2">
      <c r="A5885" s="334" t="s">
        <v>342</v>
      </c>
      <c r="B5885" s="380"/>
      <c r="C5885" s="334" t="s">
        <v>342</v>
      </c>
      <c r="D5885" s="334" t="s">
        <v>2849</v>
      </c>
      <c r="E5885" s="385"/>
      <c r="F5885" s="415"/>
      <c r="G5885" s="385"/>
      <c r="H5885" s="380"/>
      <c r="I5885" s="385"/>
      <c r="J5885" s="334" t="s">
        <v>2849</v>
      </c>
      <c r="K5885" s="385"/>
      <c r="L5885" s="415"/>
      <c r="M5885" s="385"/>
      <c r="N5885" s="380"/>
      <c r="O5885" s="380"/>
      <c r="P5885" s="380"/>
      <c r="Q5885" s="380"/>
    </row>
    <row r="5886" spans="1:17" x14ac:dyDescent="0.2">
      <c r="A5886" s="334" t="s">
        <v>1723</v>
      </c>
      <c r="B5886" s="380"/>
      <c r="C5886" s="334" t="s">
        <v>1880</v>
      </c>
      <c r="D5886" s="334" t="s">
        <v>181</v>
      </c>
      <c r="E5886" s="382"/>
      <c r="F5886" s="416"/>
      <c r="G5886" s="382"/>
      <c r="H5886" s="380"/>
      <c r="I5886" s="382"/>
      <c r="J5886" s="334" t="s">
        <v>181</v>
      </c>
      <c r="K5886" s="382"/>
      <c r="L5886" s="416"/>
      <c r="M5886" s="382"/>
      <c r="N5886" s="380"/>
      <c r="O5886" s="380"/>
      <c r="P5886" s="380"/>
      <c r="Q5886" s="380"/>
    </row>
    <row r="5887" spans="1:17" x14ac:dyDescent="0.2">
      <c r="A5887" s="380"/>
      <c r="B5887" s="380"/>
      <c r="C5887" s="380"/>
      <c r="D5887" s="380"/>
      <c r="E5887" s="399"/>
      <c r="F5887" s="416"/>
      <c r="G5887" s="399"/>
      <c r="H5887" s="380"/>
      <c r="I5887" s="399"/>
      <c r="J5887" s="380"/>
      <c r="K5887" s="399"/>
      <c r="L5887" s="416"/>
      <c r="M5887" s="399"/>
      <c r="N5887" s="380"/>
      <c r="O5887" s="380"/>
      <c r="P5887" s="380"/>
      <c r="Q5887" s="380"/>
    </row>
    <row r="5888" spans="1:17" x14ac:dyDescent="0.2">
      <c r="A5888" s="334" t="s">
        <v>1568</v>
      </c>
      <c r="B5888" s="380"/>
      <c r="C5888" s="380" t="s">
        <v>1817</v>
      </c>
      <c r="D5888" s="377"/>
      <c r="E5888" s="399"/>
      <c r="F5888" s="416"/>
      <c r="G5888" s="399"/>
      <c r="H5888" s="380"/>
      <c r="I5888" s="399"/>
      <c r="J5888" s="377"/>
      <c r="K5888" s="399"/>
      <c r="L5888" s="416"/>
      <c r="M5888" s="399"/>
      <c r="N5888" s="380"/>
      <c r="O5888" s="380"/>
      <c r="P5888" s="380"/>
      <c r="Q5888" s="380"/>
    </row>
    <row r="5889" spans="1:17" x14ac:dyDescent="0.2">
      <c r="A5889" s="334" t="s">
        <v>1724</v>
      </c>
      <c r="B5889" s="380"/>
      <c r="C5889" s="334" t="s">
        <v>1881</v>
      </c>
      <c r="D5889" s="377">
        <v>3200</v>
      </c>
      <c r="E5889" s="399"/>
      <c r="F5889" s="416"/>
      <c r="G5889" s="399"/>
      <c r="H5889" s="380"/>
      <c r="I5889" s="399"/>
      <c r="J5889" s="377">
        <v>1500</v>
      </c>
      <c r="K5889" s="399"/>
      <c r="L5889" s="416"/>
      <c r="M5889" s="399"/>
      <c r="N5889" s="380"/>
      <c r="O5889" s="380"/>
      <c r="P5889" s="380"/>
      <c r="Q5889" s="380"/>
    </row>
    <row r="5890" spans="1:17" x14ac:dyDescent="0.2">
      <c r="A5890" s="334" t="s">
        <v>1961</v>
      </c>
      <c r="B5890" s="380"/>
      <c r="C5890" s="334" t="s">
        <v>9</v>
      </c>
      <c r="D5890" s="377"/>
      <c r="E5890" s="399"/>
      <c r="F5890" s="416"/>
      <c r="G5890" s="399"/>
      <c r="H5890" s="380"/>
      <c r="I5890" s="399"/>
      <c r="J5890" s="377"/>
      <c r="K5890" s="399"/>
      <c r="L5890" s="416"/>
      <c r="M5890" s="399"/>
      <c r="N5890" s="380"/>
      <c r="O5890" s="380"/>
      <c r="P5890" s="380"/>
      <c r="Q5890" s="380"/>
    </row>
    <row r="5891" spans="1:17" x14ac:dyDescent="0.2">
      <c r="A5891" s="334" t="s">
        <v>1736</v>
      </c>
      <c r="B5891" s="380"/>
      <c r="C5891" s="334" t="s">
        <v>1747</v>
      </c>
      <c r="D5891" s="377">
        <v>300</v>
      </c>
      <c r="E5891" s="399"/>
      <c r="F5891" s="416"/>
      <c r="G5891" s="399"/>
      <c r="H5891" s="380"/>
      <c r="I5891" s="399"/>
      <c r="J5891" s="377">
        <v>300</v>
      </c>
      <c r="K5891" s="399"/>
      <c r="L5891" s="416"/>
      <c r="M5891" s="399"/>
      <c r="N5891" s="380"/>
      <c r="O5891" s="380"/>
      <c r="P5891" s="380"/>
      <c r="Q5891" s="380"/>
    </row>
    <row r="5892" spans="1:17" x14ac:dyDescent="0.2">
      <c r="A5892" s="334" t="s">
        <v>1744</v>
      </c>
      <c r="B5892" s="380"/>
      <c r="C5892" s="334" t="s">
        <v>1254</v>
      </c>
      <c r="D5892" s="377">
        <v>1950</v>
      </c>
      <c r="E5892" s="399"/>
      <c r="F5892" s="416"/>
      <c r="G5892" s="399"/>
      <c r="H5892" s="380"/>
      <c r="I5892" s="399"/>
      <c r="J5892" s="377">
        <v>2933</v>
      </c>
      <c r="K5892" s="399"/>
      <c r="L5892" s="416"/>
      <c r="M5892" s="399"/>
      <c r="N5892" s="380"/>
      <c r="O5892" s="380"/>
      <c r="P5892" s="380"/>
      <c r="Q5892" s="380"/>
    </row>
    <row r="5893" spans="1:17" x14ac:dyDescent="0.2">
      <c r="A5893" s="334" t="s">
        <v>1582</v>
      </c>
      <c r="B5893" s="380"/>
      <c r="C5893" s="334" t="s">
        <v>3135</v>
      </c>
      <c r="D5893" s="377">
        <v>1400</v>
      </c>
      <c r="E5893" s="399"/>
      <c r="F5893" s="416"/>
      <c r="G5893" s="399"/>
      <c r="H5893" s="380"/>
      <c r="I5893" s="399"/>
      <c r="J5893" s="377">
        <v>6430</v>
      </c>
      <c r="K5893" s="399"/>
      <c r="L5893" s="416"/>
      <c r="M5893" s="399"/>
      <c r="N5893" s="380"/>
      <c r="O5893" s="380"/>
      <c r="P5893" s="380"/>
      <c r="Q5893" s="380"/>
    </row>
    <row r="5894" spans="1:17" x14ac:dyDescent="0.2">
      <c r="A5894" s="384" t="s">
        <v>1575</v>
      </c>
      <c r="B5894" s="380"/>
      <c r="C5894" s="334" t="s">
        <v>1889</v>
      </c>
      <c r="D5894" s="377">
        <v>1600</v>
      </c>
      <c r="E5894" s="399"/>
      <c r="F5894" s="416"/>
      <c r="G5894" s="399"/>
      <c r="H5894" s="380"/>
      <c r="I5894" s="399"/>
      <c r="J5894" s="377"/>
      <c r="K5894" s="399"/>
      <c r="L5894" s="416"/>
      <c r="M5894" s="399"/>
      <c r="N5894" s="380"/>
      <c r="O5894" s="380"/>
      <c r="P5894" s="380"/>
      <c r="Q5894" s="380"/>
    </row>
    <row r="5895" spans="1:17" x14ac:dyDescent="0.2">
      <c r="A5895" s="384" t="s">
        <v>1725</v>
      </c>
      <c r="B5895" s="380"/>
      <c r="C5895" s="334" t="s">
        <v>1890</v>
      </c>
      <c r="D5895" s="377">
        <v>38500</v>
      </c>
      <c r="E5895" s="399"/>
      <c r="F5895" s="416"/>
      <c r="G5895" s="399"/>
      <c r="H5895" s="380"/>
      <c r="I5895" s="399"/>
      <c r="J5895" s="377">
        <v>30600</v>
      </c>
      <c r="K5895" s="399"/>
      <c r="L5895" s="416"/>
      <c r="M5895" s="399"/>
      <c r="N5895" s="380"/>
      <c r="O5895" s="380"/>
      <c r="P5895" s="380"/>
      <c r="Q5895" s="380"/>
    </row>
    <row r="5896" spans="1:17" x14ac:dyDescent="0.2">
      <c r="A5896" s="334" t="s">
        <v>1906</v>
      </c>
      <c r="B5896" s="380"/>
      <c r="C5896" s="334" t="s">
        <v>39</v>
      </c>
      <c r="D5896" s="377"/>
      <c r="E5896" s="399"/>
      <c r="F5896" s="416"/>
      <c r="G5896" s="399"/>
      <c r="H5896" s="380"/>
      <c r="I5896" s="399"/>
      <c r="J5896" s="377"/>
      <c r="K5896" s="399"/>
      <c r="L5896" s="416"/>
      <c r="M5896" s="399"/>
      <c r="N5896" s="380"/>
      <c r="O5896" s="380"/>
      <c r="P5896" s="380"/>
      <c r="Q5896" s="380"/>
    </row>
    <row r="5897" spans="1:17" x14ac:dyDescent="0.2">
      <c r="A5897" s="334" t="s">
        <v>1576</v>
      </c>
      <c r="B5897" s="380"/>
      <c r="C5897" s="334" t="s">
        <v>1590</v>
      </c>
      <c r="D5897" s="377">
        <v>75</v>
      </c>
      <c r="E5897" s="399"/>
      <c r="F5897" s="416"/>
      <c r="G5897" s="399"/>
      <c r="H5897" s="380"/>
      <c r="I5897" s="399"/>
      <c r="J5897" s="377">
        <v>75</v>
      </c>
      <c r="K5897" s="399"/>
      <c r="L5897" s="416"/>
      <c r="M5897" s="399"/>
      <c r="N5897" s="380"/>
      <c r="O5897" s="380"/>
      <c r="P5897" s="380"/>
      <c r="Q5897" s="380"/>
    </row>
    <row r="5898" spans="1:17" x14ac:dyDescent="0.2">
      <c r="A5898" s="334" t="s">
        <v>1737</v>
      </c>
      <c r="B5898" s="380"/>
      <c r="C5898" s="334" t="s">
        <v>1984</v>
      </c>
      <c r="D5898" s="377">
        <v>1000</v>
      </c>
      <c r="E5898" s="399"/>
      <c r="F5898" s="416"/>
      <c r="G5898" s="399"/>
      <c r="H5898" s="380"/>
      <c r="I5898" s="399"/>
      <c r="J5898" s="377">
        <v>1500</v>
      </c>
      <c r="K5898" s="399"/>
      <c r="L5898" s="416"/>
      <c r="M5898" s="399"/>
      <c r="N5898" s="380"/>
      <c r="O5898" s="380"/>
      <c r="P5898" s="380"/>
      <c r="Q5898" s="380"/>
    </row>
    <row r="5899" spans="1:17" x14ac:dyDescent="0.2">
      <c r="A5899" s="384" t="s">
        <v>2940</v>
      </c>
      <c r="B5899" s="380"/>
      <c r="C5899" s="334" t="s">
        <v>693</v>
      </c>
      <c r="D5899" s="377">
        <v>450</v>
      </c>
      <c r="E5899" s="399"/>
      <c r="F5899" s="416"/>
      <c r="G5899" s="399"/>
      <c r="H5899" s="380"/>
      <c r="I5899" s="399"/>
      <c r="J5899" s="377"/>
      <c r="K5899" s="399"/>
      <c r="L5899" s="416"/>
      <c r="M5899" s="399"/>
      <c r="N5899" s="380"/>
      <c r="O5899" s="380"/>
      <c r="P5899" s="380"/>
      <c r="Q5899" s="380"/>
    </row>
    <row r="5900" spans="1:17" x14ac:dyDescent="0.2">
      <c r="A5900" s="384" t="s">
        <v>1766</v>
      </c>
      <c r="B5900" s="380"/>
      <c r="C5900" s="334" t="s">
        <v>1883</v>
      </c>
      <c r="D5900" s="377">
        <v>500</v>
      </c>
      <c r="E5900" s="399"/>
      <c r="F5900" s="416"/>
      <c r="G5900" s="399"/>
      <c r="H5900" s="380"/>
      <c r="I5900" s="399"/>
      <c r="J5900" s="377">
        <v>575</v>
      </c>
      <c r="K5900" s="399"/>
      <c r="L5900" s="416"/>
      <c r="M5900" s="399"/>
      <c r="N5900" s="380"/>
      <c r="O5900" s="380"/>
      <c r="P5900" s="380"/>
      <c r="Q5900" s="380"/>
    </row>
    <row r="5901" spans="1:17" x14ac:dyDescent="0.2">
      <c r="A5901" s="334" t="s">
        <v>1661</v>
      </c>
      <c r="B5901" s="380"/>
      <c r="C5901" s="334" t="s">
        <v>3136</v>
      </c>
      <c r="D5901" s="377">
        <v>500</v>
      </c>
      <c r="E5901" s="399"/>
      <c r="F5901" s="416"/>
      <c r="G5901" s="399"/>
      <c r="H5901" s="380"/>
      <c r="I5901" s="399"/>
      <c r="J5901" s="377">
        <v>800</v>
      </c>
      <c r="K5901" s="399"/>
      <c r="L5901" s="416"/>
      <c r="M5901" s="399"/>
      <c r="N5901" s="380"/>
      <c r="O5901" s="380"/>
      <c r="P5901" s="380"/>
      <c r="Q5901" s="380"/>
    </row>
    <row r="5902" spans="1:17" x14ac:dyDescent="0.2">
      <c r="A5902" s="384" t="s">
        <v>1751</v>
      </c>
      <c r="B5902" s="380"/>
      <c r="C5902" s="334" t="s">
        <v>3138</v>
      </c>
      <c r="D5902" s="377"/>
      <c r="E5902" s="399"/>
      <c r="F5902" s="416"/>
      <c r="G5902" s="399"/>
      <c r="H5902" s="380"/>
      <c r="I5902" s="399"/>
      <c r="J5902" s="377"/>
      <c r="K5902" s="399"/>
      <c r="L5902" s="416"/>
      <c r="M5902" s="399"/>
      <c r="N5902" s="380"/>
      <c r="O5902" s="380"/>
      <c r="P5902" s="380"/>
      <c r="Q5902" s="380"/>
    </row>
    <row r="5903" spans="1:17" x14ac:dyDescent="0.2">
      <c r="A5903" s="334" t="s">
        <v>1752</v>
      </c>
      <c r="B5903" s="380"/>
      <c r="C5903" s="334" t="s">
        <v>367</v>
      </c>
      <c r="D5903" s="377"/>
      <c r="E5903" s="399"/>
      <c r="F5903" s="416"/>
      <c r="G5903" s="399"/>
      <c r="H5903" s="380"/>
      <c r="I5903" s="399"/>
      <c r="J5903" s="377"/>
      <c r="K5903" s="399"/>
      <c r="L5903" s="416"/>
      <c r="M5903" s="399"/>
      <c r="N5903" s="380"/>
      <c r="O5903" s="380"/>
      <c r="P5903" s="380"/>
      <c r="Q5903" s="380"/>
    </row>
    <row r="5904" spans="1:17" x14ac:dyDescent="0.2">
      <c r="A5904" s="334" t="s">
        <v>1734</v>
      </c>
      <c r="B5904" s="380"/>
      <c r="C5904" s="334" t="s">
        <v>1746</v>
      </c>
      <c r="D5904" s="377">
        <v>500</v>
      </c>
      <c r="E5904" s="399"/>
      <c r="F5904" s="416"/>
      <c r="G5904" s="399"/>
      <c r="H5904" s="380"/>
      <c r="I5904" s="399"/>
      <c r="J5904" s="377">
        <v>200</v>
      </c>
      <c r="K5904" s="399"/>
      <c r="L5904" s="416"/>
      <c r="M5904" s="399"/>
      <c r="N5904" s="380"/>
      <c r="O5904" s="380"/>
      <c r="P5904" s="380"/>
      <c r="Q5904" s="380"/>
    </row>
    <row r="5905" spans="1:17" x14ac:dyDescent="0.2">
      <c r="A5905" s="334" t="s">
        <v>1578</v>
      </c>
      <c r="B5905" s="380"/>
      <c r="C5905" s="334" t="s">
        <v>22</v>
      </c>
      <c r="D5905" s="377"/>
      <c r="E5905" s="399"/>
      <c r="F5905" s="416"/>
      <c r="G5905" s="399"/>
      <c r="H5905" s="380"/>
      <c r="I5905" s="399"/>
      <c r="J5905" s="377"/>
      <c r="K5905" s="399"/>
      <c r="L5905" s="416"/>
      <c r="M5905" s="399"/>
      <c r="N5905" s="380"/>
      <c r="O5905" s="380"/>
      <c r="P5905" s="380"/>
      <c r="Q5905" s="380"/>
    </row>
    <row r="5906" spans="1:17" x14ac:dyDescent="0.2">
      <c r="A5906" s="334" t="s">
        <v>1738</v>
      </c>
      <c r="B5906" s="380"/>
      <c r="C5906" s="334" t="s">
        <v>1591</v>
      </c>
      <c r="D5906" s="377">
        <v>50</v>
      </c>
      <c r="E5906" s="399"/>
      <c r="F5906" s="416"/>
      <c r="G5906" s="399"/>
      <c r="H5906" s="380"/>
      <c r="I5906" s="399"/>
      <c r="J5906" s="377">
        <v>500</v>
      </c>
      <c r="K5906" s="399"/>
      <c r="L5906" s="416"/>
      <c r="M5906" s="399"/>
      <c r="N5906" s="380"/>
      <c r="O5906" s="380"/>
      <c r="P5906" s="380"/>
      <c r="Q5906" s="380"/>
    </row>
    <row r="5907" spans="1:17" x14ac:dyDescent="0.2">
      <c r="A5907" s="334" t="s">
        <v>1727</v>
      </c>
      <c r="B5907" s="380"/>
      <c r="C5907" s="334" t="s">
        <v>307</v>
      </c>
      <c r="D5907" s="377">
        <v>1800</v>
      </c>
      <c r="E5907" s="399"/>
      <c r="F5907" s="416"/>
      <c r="G5907" s="399"/>
      <c r="H5907" s="380"/>
      <c r="I5907" s="399"/>
      <c r="J5907" s="377">
        <v>500</v>
      </c>
      <c r="K5907" s="399"/>
      <c r="L5907" s="416"/>
      <c r="M5907" s="399"/>
      <c r="N5907" s="380"/>
      <c r="O5907" s="380"/>
      <c r="P5907" s="380"/>
      <c r="Q5907" s="380"/>
    </row>
    <row r="5908" spans="1:17" x14ac:dyDescent="0.2">
      <c r="A5908" s="334" t="s">
        <v>1728</v>
      </c>
      <c r="B5908" s="380"/>
      <c r="C5908" s="334" t="s">
        <v>310</v>
      </c>
      <c r="D5908" s="377">
        <v>2500</v>
      </c>
      <c r="E5908" s="399"/>
      <c r="F5908" s="416"/>
      <c r="G5908" s="399"/>
      <c r="H5908" s="380"/>
      <c r="I5908" s="399"/>
      <c r="J5908" s="377">
        <v>1500</v>
      </c>
      <c r="K5908" s="399"/>
      <c r="L5908" s="416"/>
      <c r="M5908" s="399"/>
      <c r="N5908" s="380"/>
      <c r="O5908" s="380"/>
      <c r="P5908" s="380"/>
      <c r="Q5908" s="380"/>
    </row>
    <row r="5909" spans="1:17" x14ac:dyDescent="0.2">
      <c r="A5909" s="334" t="s">
        <v>1729</v>
      </c>
      <c r="B5909" s="380"/>
      <c r="C5909" s="380" t="s">
        <v>1551</v>
      </c>
      <c r="D5909" s="377">
        <f>-11002.8-50000</f>
        <v>-61002.8</v>
      </c>
      <c r="E5909" s="399"/>
      <c r="F5909" s="416"/>
      <c r="G5909" s="399"/>
      <c r="H5909" s="380"/>
      <c r="I5909" s="399"/>
      <c r="J5909" s="377">
        <v>150</v>
      </c>
      <c r="K5909" s="399"/>
      <c r="L5909" s="416"/>
      <c r="M5909" s="399"/>
      <c r="N5909" s="380"/>
      <c r="O5909" s="380"/>
      <c r="P5909" s="380"/>
      <c r="Q5909" s="380"/>
    </row>
    <row r="5910" spans="1:17" x14ac:dyDescent="0.2">
      <c r="A5910" s="334" t="s">
        <v>1735</v>
      </c>
      <c r="B5910" s="380"/>
      <c r="C5910" s="380" t="s">
        <v>194</v>
      </c>
      <c r="D5910" s="377"/>
      <c r="E5910" s="399"/>
      <c r="F5910" s="416"/>
      <c r="G5910" s="399"/>
      <c r="H5910" s="380"/>
      <c r="I5910" s="399"/>
      <c r="J5910" s="377">
        <v>100</v>
      </c>
      <c r="K5910" s="399"/>
      <c r="L5910" s="416"/>
      <c r="M5910" s="399"/>
      <c r="N5910" s="380"/>
      <c r="O5910" s="380"/>
      <c r="P5910" s="380"/>
      <c r="Q5910" s="380"/>
    </row>
    <row r="5911" spans="1:17" x14ac:dyDescent="0.2">
      <c r="A5911" s="334" t="s">
        <v>1741</v>
      </c>
      <c r="B5911" s="380"/>
      <c r="C5911" s="334" t="s">
        <v>1748</v>
      </c>
      <c r="D5911" s="377">
        <v>1800</v>
      </c>
      <c r="E5911" s="399"/>
      <c r="F5911" s="416"/>
      <c r="G5911" s="399"/>
      <c r="H5911" s="380"/>
      <c r="I5911" s="399"/>
      <c r="J5911" s="377">
        <v>1500</v>
      </c>
      <c r="K5911" s="399"/>
      <c r="L5911" s="416"/>
      <c r="M5911" s="399"/>
      <c r="N5911" s="380"/>
      <c r="O5911" s="380"/>
      <c r="P5911" s="380"/>
      <c r="Q5911" s="380"/>
    </row>
    <row r="5912" spans="1:17" x14ac:dyDescent="0.2">
      <c r="A5912" s="334" t="s">
        <v>1742</v>
      </c>
      <c r="B5912" s="380"/>
      <c r="C5912" s="334" t="s">
        <v>1553</v>
      </c>
      <c r="D5912" s="377"/>
      <c r="E5912" s="399"/>
      <c r="F5912" s="416"/>
      <c r="G5912" s="399"/>
      <c r="H5912" s="380"/>
      <c r="I5912" s="399"/>
      <c r="J5912" s="377"/>
      <c r="K5912" s="399"/>
      <c r="L5912" s="416"/>
      <c r="M5912" s="399"/>
      <c r="N5912" s="380"/>
      <c r="O5912" s="380"/>
      <c r="P5912" s="380"/>
      <c r="Q5912" s="380"/>
    </row>
    <row r="5913" spans="1:17" x14ac:dyDescent="0.2">
      <c r="A5913" s="384" t="s">
        <v>1754</v>
      </c>
      <c r="B5913" s="380"/>
      <c r="C5913" s="334" t="s">
        <v>1929</v>
      </c>
      <c r="D5913" s="377">
        <v>500</v>
      </c>
      <c r="E5913" s="399"/>
      <c r="F5913" s="416"/>
      <c r="G5913" s="399"/>
      <c r="H5913" s="380"/>
      <c r="I5913" s="399"/>
      <c r="J5913" s="377">
        <v>200</v>
      </c>
      <c r="K5913" s="399"/>
      <c r="L5913" s="416"/>
      <c r="M5913" s="399"/>
      <c r="N5913" s="380"/>
      <c r="O5913" s="380"/>
      <c r="P5913" s="380"/>
      <c r="Q5913" s="380"/>
    </row>
    <row r="5914" spans="1:17" x14ac:dyDescent="0.2">
      <c r="A5914" s="334" t="s">
        <v>1584</v>
      </c>
      <c r="B5914" s="380"/>
      <c r="C5914" s="334" t="s">
        <v>0</v>
      </c>
      <c r="D5914" s="377"/>
      <c r="E5914" s="399"/>
      <c r="F5914" s="416"/>
      <c r="G5914" s="399"/>
      <c r="H5914" s="380"/>
      <c r="I5914" s="399"/>
      <c r="J5914" s="377">
        <v>15</v>
      </c>
      <c r="K5914" s="399"/>
      <c r="L5914" s="416"/>
      <c r="M5914" s="399"/>
      <c r="N5914" s="380"/>
      <c r="O5914" s="380"/>
      <c r="P5914" s="380"/>
      <c r="Q5914" s="380"/>
    </row>
    <row r="5915" spans="1:17" x14ac:dyDescent="0.2">
      <c r="A5915" s="391" t="s">
        <v>1572</v>
      </c>
      <c r="B5915" s="380"/>
      <c r="C5915" s="334" t="s">
        <v>3134</v>
      </c>
      <c r="D5915" s="377"/>
      <c r="E5915" s="399"/>
      <c r="F5915" s="416"/>
      <c r="G5915" s="399"/>
      <c r="H5915" s="380"/>
      <c r="I5915" s="399"/>
      <c r="J5915" s="377"/>
      <c r="K5915" s="399"/>
      <c r="L5915" s="416"/>
      <c r="M5915" s="399"/>
      <c r="N5915" s="380"/>
      <c r="O5915" s="380"/>
      <c r="P5915" s="380"/>
      <c r="Q5915" s="380"/>
    </row>
    <row r="5916" spans="1:17" x14ac:dyDescent="0.2">
      <c r="A5916" s="334" t="s">
        <v>1730</v>
      </c>
      <c r="B5916" s="380"/>
      <c r="C5916" s="334" t="s">
        <v>1985</v>
      </c>
      <c r="D5916" s="377">
        <v>8208</v>
      </c>
      <c r="E5916" s="399"/>
      <c r="F5916" s="416"/>
      <c r="G5916" s="399"/>
      <c r="H5916" s="380"/>
      <c r="I5916" s="399"/>
      <c r="J5916" s="377">
        <v>7008</v>
      </c>
      <c r="K5916" s="399"/>
      <c r="L5916" s="416"/>
      <c r="M5916" s="399"/>
      <c r="N5916" s="380"/>
      <c r="O5916" s="380"/>
      <c r="P5916" s="380"/>
      <c r="Q5916" s="380"/>
    </row>
    <row r="5917" spans="1:17" x14ac:dyDescent="0.2">
      <c r="A5917" s="334" t="s">
        <v>1566</v>
      </c>
      <c r="B5917" s="380"/>
      <c r="C5917" s="334" t="s">
        <v>366</v>
      </c>
      <c r="D5917" s="377">
        <v>34820</v>
      </c>
      <c r="E5917" s="399"/>
      <c r="F5917" s="416"/>
      <c r="G5917" s="399"/>
      <c r="H5917" s="380"/>
      <c r="I5917" s="399"/>
      <c r="J5917" s="377">
        <v>20000</v>
      </c>
      <c r="K5917" s="399"/>
      <c r="L5917" s="416"/>
      <c r="M5917" s="399"/>
      <c r="N5917" s="380"/>
      <c r="O5917" s="380"/>
      <c r="P5917" s="380"/>
      <c r="Q5917" s="380"/>
    </row>
    <row r="5918" spans="1:17" x14ac:dyDescent="0.2">
      <c r="A5918" s="334" t="s">
        <v>1587</v>
      </c>
      <c r="B5918" s="380"/>
      <c r="C5918" s="334" t="s">
        <v>34</v>
      </c>
      <c r="D5918" s="377">
        <v>400</v>
      </c>
      <c r="E5918" s="399"/>
      <c r="F5918" s="416"/>
      <c r="G5918" s="399"/>
      <c r="H5918" s="380"/>
      <c r="I5918" s="399"/>
      <c r="J5918" s="377">
        <v>150</v>
      </c>
      <c r="K5918" s="399"/>
      <c r="L5918" s="416"/>
      <c r="M5918" s="399"/>
      <c r="N5918" s="380"/>
      <c r="O5918" s="380"/>
      <c r="P5918" s="380"/>
      <c r="Q5918" s="380"/>
    </row>
    <row r="5919" spans="1:17" x14ac:dyDescent="0.2">
      <c r="A5919" s="334" t="s">
        <v>1903</v>
      </c>
      <c r="B5919" s="380"/>
      <c r="C5919" s="334" t="s">
        <v>35</v>
      </c>
      <c r="D5919" s="377"/>
      <c r="E5919" s="399"/>
      <c r="F5919" s="416"/>
      <c r="G5919" s="399"/>
      <c r="H5919" s="380"/>
      <c r="I5919" s="399"/>
      <c r="J5919" s="377">
        <v>-40000</v>
      </c>
      <c r="K5919" s="399"/>
      <c r="L5919" s="416"/>
      <c r="M5919" s="399"/>
      <c r="N5919" s="380"/>
      <c r="O5919" s="380"/>
      <c r="P5919" s="380"/>
      <c r="Q5919" s="380"/>
    </row>
    <row r="5920" spans="1:17" x14ac:dyDescent="0.2">
      <c r="A5920" s="334" t="s">
        <v>1962</v>
      </c>
      <c r="B5920" s="380"/>
      <c r="C5920" s="380" t="s">
        <v>572</v>
      </c>
      <c r="D5920" s="377">
        <v>9975</v>
      </c>
      <c r="E5920" s="399"/>
      <c r="F5920" s="416"/>
      <c r="G5920" s="399"/>
      <c r="H5920" s="380"/>
      <c r="I5920" s="399"/>
      <c r="J5920" s="377">
        <v>12000</v>
      </c>
      <c r="K5920" s="399"/>
      <c r="L5920" s="416"/>
      <c r="M5920" s="399"/>
      <c r="N5920" s="380"/>
      <c r="O5920" s="380"/>
      <c r="P5920" s="380"/>
      <c r="Q5920" s="380"/>
    </row>
    <row r="5921" spans="1:17" x14ac:dyDescent="0.2">
      <c r="A5921" s="334" t="s">
        <v>1567</v>
      </c>
      <c r="B5921" s="380"/>
      <c r="C5921" s="334" t="s">
        <v>3142</v>
      </c>
      <c r="D5921" s="377"/>
      <c r="E5921" s="399"/>
      <c r="F5921" s="416"/>
      <c r="G5921" s="399"/>
      <c r="H5921" s="380"/>
      <c r="I5921" s="399"/>
      <c r="J5921" s="377"/>
      <c r="K5921" s="399"/>
      <c r="L5921" s="416"/>
      <c r="M5921" s="399"/>
      <c r="N5921" s="380"/>
      <c r="O5921" s="380"/>
      <c r="P5921" s="380"/>
      <c r="Q5921" s="380"/>
    </row>
    <row r="5922" spans="1:17" x14ac:dyDescent="0.2">
      <c r="A5922" s="380"/>
      <c r="B5922" s="380"/>
      <c r="C5922" s="380"/>
      <c r="D5922" s="394"/>
      <c r="E5922" s="385"/>
      <c r="F5922" s="415"/>
      <c r="G5922" s="385"/>
      <c r="H5922" s="380"/>
      <c r="I5922" s="385"/>
      <c r="J5922" s="394"/>
      <c r="K5922" s="385"/>
      <c r="L5922" s="415"/>
      <c r="M5922" s="385"/>
      <c r="N5922" s="380"/>
      <c r="O5922" s="380"/>
      <c r="P5922" s="380"/>
      <c r="Q5922" s="380"/>
    </row>
    <row r="5923" spans="1:17" x14ac:dyDescent="0.2">
      <c r="A5923" s="380"/>
      <c r="B5923" s="380"/>
      <c r="C5923" s="380"/>
      <c r="D5923" s="334">
        <f>SUM(D5888:D5921)</f>
        <v>49025.2</v>
      </c>
      <c r="E5923" s="399"/>
      <c r="F5923" s="416"/>
      <c r="G5923" s="399"/>
      <c r="H5923" s="380"/>
      <c r="I5923" s="399"/>
      <c r="J5923" s="334">
        <f>SUM(J5888:J5921)</f>
        <v>48536</v>
      </c>
      <c r="K5923" s="399"/>
      <c r="L5923" s="416"/>
      <c r="M5923" s="399"/>
      <c r="N5923" s="380"/>
      <c r="O5923" s="380"/>
      <c r="P5923" s="380"/>
      <c r="Q5923" s="380"/>
    </row>
    <row r="5924" spans="1:17" ht="15.75" thickTop="1" x14ac:dyDescent="0.2">
      <c r="A5924" s="380"/>
      <c r="B5924" s="380"/>
      <c r="C5924" s="380"/>
      <c r="D5924" s="395">
        <f>D5923-D5888</f>
        <v>49025.2</v>
      </c>
      <c r="E5924" s="382"/>
      <c r="F5924" s="416"/>
      <c r="G5924" s="382"/>
      <c r="H5924" s="380"/>
      <c r="I5924" s="382"/>
      <c r="J5924" s="395">
        <f>J5923-J5888</f>
        <v>48536</v>
      </c>
      <c r="K5924" s="382"/>
      <c r="L5924" s="416"/>
      <c r="M5924" s="382"/>
      <c r="N5924" s="380"/>
      <c r="O5924" s="380"/>
      <c r="P5924" s="380"/>
      <c r="Q5924" s="380"/>
    </row>
    <row r="5925" spans="1:17" x14ac:dyDescent="0.2">
      <c r="A5925" s="380"/>
      <c r="B5925" s="380"/>
      <c r="C5925" s="380"/>
      <c r="D5925" s="380"/>
      <c r="E5925" s="382"/>
      <c r="F5925" s="416"/>
      <c r="G5925" s="382"/>
      <c r="H5925" s="380"/>
      <c r="I5925" s="385"/>
      <c r="J5925" s="380"/>
      <c r="K5925" s="382"/>
      <c r="L5925" s="416"/>
      <c r="M5925" s="382"/>
      <c r="N5925" s="380"/>
      <c r="O5925" s="380"/>
      <c r="P5925" s="380"/>
      <c r="Q5925" s="380"/>
    </row>
    <row r="5926" spans="1:17" x14ac:dyDescent="0.2">
      <c r="A5926" s="334" t="s">
        <v>557</v>
      </c>
      <c r="B5926" s="380"/>
      <c r="C5926" s="380"/>
      <c r="D5926" s="334"/>
      <c r="E5926" s="382"/>
      <c r="F5926" s="416"/>
      <c r="G5926" s="382"/>
      <c r="H5926" s="380"/>
      <c r="I5926" s="443"/>
      <c r="J5926" s="334"/>
      <c r="K5926" s="382"/>
      <c r="L5926" s="416"/>
      <c r="M5926" s="382"/>
      <c r="N5926" s="380"/>
      <c r="O5926" s="380"/>
      <c r="P5926" s="380"/>
      <c r="Q5926" s="380"/>
    </row>
    <row r="5927" spans="1:17" x14ac:dyDescent="0.2">
      <c r="A5927" s="334" t="s">
        <v>342</v>
      </c>
      <c r="B5927" s="380"/>
      <c r="C5927" s="334"/>
      <c r="D5927" s="442" t="s">
        <v>706</v>
      </c>
      <c r="E5927" s="382"/>
      <c r="F5927" s="416"/>
      <c r="G5927" s="382"/>
      <c r="H5927" s="380"/>
      <c r="I5927" s="385"/>
      <c r="J5927" s="442" t="s">
        <v>706</v>
      </c>
      <c r="K5927" s="382"/>
      <c r="L5927" s="416"/>
      <c r="M5927" s="382"/>
      <c r="N5927" s="380"/>
      <c r="O5927" s="380"/>
      <c r="P5927" s="380"/>
      <c r="Q5927" s="380"/>
    </row>
    <row r="5928" spans="1:17" x14ac:dyDescent="0.2">
      <c r="A5928" s="334" t="s">
        <v>342</v>
      </c>
      <c r="B5928" s="380"/>
      <c r="C5928" s="334" t="s">
        <v>342</v>
      </c>
      <c r="D5928" s="334"/>
      <c r="E5928" s="382"/>
      <c r="F5928" s="416"/>
      <c r="G5928" s="382"/>
      <c r="H5928" s="380"/>
      <c r="I5928" s="385"/>
      <c r="J5928" s="334"/>
      <c r="K5928" s="382"/>
      <c r="L5928" s="416"/>
      <c r="M5928" s="382"/>
      <c r="N5928" s="380"/>
      <c r="O5928" s="380"/>
      <c r="P5928" s="380"/>
      <c r="Q5928" s="380"/>
    </row>
    <row r="5929" spans="1:17" x14ac:dyDescent="0.2">
      <c r="A5929" s="334" t="s">
        <v>1723</v>
      </c>
      <c r="B5929" s="380"/>
      <c r="C5929" s="334" t="s">
        <v>1880</v>
      </c>
      <c r="D5929" s="334" t="s">
        <v>181</v>
      </c>
      <c r="E5929" s="382"/>
      <c r="F5929" s="416"/>
      <c r="G5929" s="382"/>
      <c r="H5929" s="380"/>
      <c r="I5929" s="382"/>
      <c r="J5929" s="334" t="s">
        <v>181</v>
      </c>
      <c r="K5929" s="382"/>
      <c r="L5929" s="416"/>
      <c r="M5929" s="382"/>
      <c r="N5929" s="380"/>
      <c r="O5929" s="380"/>
      <c r="P5929" s="380"/>
      <c r="Q5929" s="380"/>
    </row>
    <row r="5930" spans="1:17" x14ac:dyDescent="0.2">
      <c r="A5930" s="380"/>
      <c r="B5930" s="380"/>
      <c r="C5930" s="380"/>
      <c r="D5930" s="380"/>
      <c r="E5930" s="382"/>
      <c r="F5930" s="416"/>
      <c r="G5930" s="382"/>
      <c r="H5930" s="380"/>
      <c r="I5930" s="399"/>
      <c r="J5930" s="380"/>
      <c r="K5930" s="382"/>
      <c r="L5930" s="416"/>
      <c r="M5930" s="382"/>
      <c r="N5930" s="380"/>
      <c r="O5930" s="380"/>
      <c r="P5930" s="380"/>
      <c r="Q5930" s="380"/>
    </row>
    <row r="5931" spans="1:17" x14ac:dyDescent="0.2">
      <c r="A5931" s="334" t="s">
        <v>1568</v>
      </c>
      <c r="B5931" s="380"/>
      <c r="C5931" s="380" t="s">
        <v>1817</v>
      </c>
      <c r="D5931" s="377"/>
      <c r="E5931" s="382"/>
      <c r="F5931" s="416"/>
      <c r="G5931" s="382"/>
      <c r="H5931" s="380"/>
      <c r="I5931" s="399"/>
      <c r="J5931" s="377"/>
      <c r="K5931" s="382"/>
      <c r="L5931" s="416"/>
      <c r="M5931" s="382"/>
      <c r="N5931" s="380"/>
      <c r="O5931" s="380"/>
      <c r="P5931" s="380"/>
      <c r="Q5931" s="380"/>
    </row>
    <row r="5932" spans="1:17" x14ac:dyDescent="0.2">
      <c r="A5932" s="334" t="s">
        <v>1724</v>
      </c>
      <c r="B5932" s="380"/>
      <c r="C5932" s="334" t="s">
        <v>1881</v>
      </c>
      <c r="D5932" s="377">
        <v>6000</v>
      </c>
      <c r="E5932" s="382"/>
      <c r="F5932" s="416"/>
      <c r="G5932" s="382"/>
      <c r="H5932" s="380"/>
      <c r="I5932" s="399"/>
      <c r="J5932" s="377">
        <v>2000</v>
      </c>
      <c r="K5932" s="382"/>
      <c r="L5932" s="416"/>
      <c r="M5932" s="382"/>
      <c r="N5932" s="380"/>
      <c r="O5932" s="380"/>
      <c r="P5932" s="380"/>
      <c r="Q5932" s="380"/>
    </row>
    <row r="5933" spans="1:17" x14ac:dyDescent="0.2">
      <c r="A5933" s="334" t="s">
        <v>1961</v>
      </c>
      <c r="B5933" s="380"/>
      <c r="C5933" s="334" t="s">
        <v>9</v>
      </c>
      <c r="D5933" s="377"/>
      <c r="E5933" s="380"/>
      <c r="F5933" s="378"/>
      <c r="G5933" s="380"/>
      <c r="H5933" s="380"/>
      <c r="I5933" s="399"/>
      <c r="J5933" s="377"/>
      <c r="K5933" s="380"/>
      <c r="L5933" s="378"/>
      <c r="M5933" s="380"/>
      <c r="N5933" s="380"/>
      <c r="O5933" s="380"/>
      <c r="P5933" s="380"/>
      <c r="Q5933" s="380"/>
    </row>
    <row r="5934" spans="1:17" x14ac:dyDescent="0.2">
      <c r="A5934" s="334" t="s">
        <v>1736</v>
      </c>
      <c r="B5934" s="380"/>
      <c r="C5934" s="334" t="s">
        <v>1747</v>
      </c>
      <c r="D5934" s="377"/>
      <c r="E5934" s="380"/>
      <c r="F5934" s="378"/>
      <c r="G5934" s="380"/>
      <c r="H5934" s="380"/>
      <c r="I5934" s="399"/>
      <c r="J5934" s="377"/>
      <c r="K5934" s="380"/>
      <c r="L5934" s="378"/>
      <c r="M5934" s="380"/>
      <c r="N5934" s="380"/>
      <c r="O5934" s="380"/>
      <c r="P5934" s="380"/>
      <c r="Q5934" s="380"/>
    </row>
    <row r="5935" spans="1:17" x14ac:dyDescent="0.2">
      <c r="A5935" s="334" t="s">
        <v>1744</v>
      </c>
      <c r="B5935" s="380"/>
      <c r="C5935" s="334" t="s">
        <v>1254</v>
      </c>
      <c r="D5935" s="377"/>
      <c r="E5935" s="380"/>
      <c r="F5935" s="378"/>
      <c r="G5935" s="380"/>
      <c r="H5935" s="380"/>
      <c r="I5935" s="399"/>
      <c r="J5935" s="377"/>
      <c r="K5935" s="380"/>
      <c r="L5935" s="378"/>
      <c r="M5935" s="380"/>
      <c r="N5935" s="380"/>
      <c r="O5935" s="380"/>
      <c r="P5935" s="380"/>
      <c r="Q5935" s="380"/>
    </row>
    <row r="5936" spans="1:17" x14ac:dyDescent="0.2">
      <c r="A5936" s="334" t="s">
        <v>1582</v>
      </c>
      <c r="B5936" s="380"/>
      <c r="C5936" s="334" t="s">
        <v>3135</v>
      </c>
      <c r="D5936" s="377"/>
      <c r="E5936" s="380"/>
      <c r="F5936" s="378"/>
      <c r="G5936" s="380"/>
      <c r="H5936" s="380"/>
      <c r="I5936" s="399"/>
      <c r="J5936" s="377">
        <v>1000</v>
      </c>
      <c r="K5936" s="380"/>
      <c r="L5936" s="378"/>
      <c r="M5936" s="380"/>
      <c r="N5936" s="380"/>
      <c r="O5936" s="380"/>
      <c r="P5936" s="380"/>
      <c r="Q5936" s="380"/>
    </row>
    <row r="5937" spans="1:17" x14ac:dyDescent="0.2">
      <c r="A5937" s="384" t="s">
        <v>1725</v>
      </c>
      <c r="B5937" s="380"/>
      <c r="C5937" s="334" t="s">
        <v>1890</v>
      </c>
      <c r="D5937" s="377"/>
      <c r="E5937" s="380"/>
      <c r="F5937" s="378"/>
      <c r="G5937" s="380"/>
      <c r="H5937" s="380"/>
      <c r="I5937" s="399"/>
      <c r="J5937" s="377"/>
      <c r="K5937" s="380"/>
      <c r="L5937" s="378"/>
      <c r="M5937" s="380"/>
      <c r="N5937" s="380"/>
      <c r="O5937" s="380"/>
      <c r="P5937" s="380"/>
      <c r="Q5937" s="380"/>
    </row>
    <row r="5938" spans="1:17" x14ac:dyDescent="0.2">
      <c r="A5938" s="334" t="s">
        <v>1745</v>
      </c>
      <c r="B5938" s="380"/>
      <c r="C5938" s="334" t="s">
        <v>1887</v>
      </c>
      <c r="D5938" s="377"/>
      <c r="E5938" s="380"/>
      <c r="F5938" s="378"/>
      <c r="G5938" s="380"/>
      <c r="H5938" s="380"/>
      <c r="I5938" s="399"/>
      <c r="J5938" s="377"/>
      <c r="K5938" s="380"/>
      <c r="L5938" s="378"/>
      <c r="M5938" s="380"/>
      <c r="N5938" s="380"/>
      <c r="O5938" s="380"/>
      <c r="P5938" s="380"/>
      <c r="Q5938" s="380"/>
    </row>
    <row r="5939" spans="1:17" x14ac:dyDescent="0.2">
      <c r="A5939" s="334" t="s">
        <v>1906</v>
      </c>
      <c r="B5939" s="380"/>
      <c r="C5939" s="334" t="s">
        <v>39</v>
      </c>
      <c r="D5939" s="377"/>
      <c r="E5939" s="380"/>
      <c r="F5939" s="378"/>
      <c r="G5939" s="380"/>
      <c r="H5939" s="380"/>
      <c r="I5939" s="399"/>
      <c r="J5939" s="377"/>
      <c r="K5939" s="380"/>
      <c r="L5939" s="378"/>
      <c r="M5939" s="380"/>
      <c r="N5939" s="380"/>
      <c r="O5939" s="380"/>
      <c r="P5939" s="380"/>
      <c r="Q5939" s="380"/>
    </row>
    <row r="5940" spans="1:17" x14ac:dyDescent="0.2">
      <c r="A5940" s="334" t="s">
        <v>1576</v>
      </c>
      <c r="B5940" s="380"/>
      <c r="C5940" s="334" t="s">
        <v>1590</v>
      </c>
      <c r="D5940" s="377"/>
      <c r="E5940" s="380"/>
      <c r="F5940" s="378"/>
      <c r="G5940" s="380"/>
      <c r="H5940" s="380"/>
      <c r="I5940" s="399"/>
      <c r="J5940" s="377"/>
      <c r="K5940" s="380"/>
      <c r="L5940" s="378"/>
      <c r="M5940" s="380"/>
      <c r="N5940" s="380"/>
      <c r="O5940" s="380"/>
      <c r="P5940" s="380"/>
      <c r="Q5940" s="380"/>
    </row>
    <row r="5941" spans="1:17" x14ac:dyDescent="0.2">
      <c r="A5941" s="334" t="s">
        <v>1737</v>
      </c>
      <c r="B5941" s="380"/>
      <c r="C5941" s="334" t="s">
        <v>1984</v>
      </c>
      <c r="D5941" s="377">
        <v>2000</v>
      </c>
      <c r="E5941" s="380"/>
      <c r="F5941" s="378"/>
      <c r="G5941" s="380"/>
      <c r="H5941" s="380"/>
      <c r="I5941" s="399"/>
      <c r="J5941" s="377">
        <v>1400</v>
      </c>
      <c r="K5941" s="380"/>
      <c r="L5941" s="378"/>
      <c r="M5941" s="380"/>
      <c r="N5941" s="380"/>
      <c r="O5941" s="380"/>
      <c r="P5941" s="380"/>
      <c r="Q5941" s="380"/>
    </row>
    <row r="5942" spans="1:17" x14ac:dyDescent="0.2">
      <c r="A5942" s="384" t="s">
        <v>1726</v>
      </c>
      <c r="B5942" s="380"/>
      <c r="C5942" s="334" t="s">
        <v>1117</v>
      </c>
      <c r="D5942" s="377"/>
      <c r="E5942" s="380"/>
      <c r="F5942" s="378"/>
      <c r="G5942" s="380"/>
      <c r="H5942" s="380"/>
      <c r="I5942" s="399"/>
      <c r="J5942" s="377"/>
      <c r="K5942" s="380"/>
      <c r="L5942" s="378"/>
      <c r="M5942" s="380"/>
      <c r="N5942" s="380"/>
      <c r="O5942" s="380"/>
      <c r="P5942" s="380"/>
      <c r="Q5942" s="380"/>
    </row>
    <row r="5943" spans="1:17" x14ac:dyDescent="0.2">
      <c r="A5943" s="403" t="s">
        <v>1661</v>
      </c>
      <c r="B5943" s="380"/>
      <c r="C5943" s="334" t="s">
        <v>3136</v>
      </c>
      <c r="D5943" s="377">
        <v>500</v>
      </c>
      <c r="E5943" s="380"/>
      <c r="F5943" s="378"/>
      <c r="G5943" s="380"/>
      <c r="H5943" s="380"/>
      <c r="I5943" s="399"/>
      <c r="J5943" s="377">
        <v>500</v>
      </c>
      <c r="K5943" s="380"/>
      <c r="L5943" s="378"/>
      <c r="M5943" s="380"/>
      <c r="N5943" s="380"/>
      <c r="O5943" s="380"/>
      <c r="P5943" s="380"/>
      <c r="Q5943" s="380"/>
    </row>
    <row r="5944" spans="1:17" x14ac:dyDescent="0.2">
      <c r="A5944" s="384" t="s">
        <v>1751</v>
      </c>
      <c r="B5944" s="380"/>
      <c r="C5944" s="334" t="s">
        <v>3138</v>
      </c>
      <c r="D5944" s="377"/>
      <c r="E5944" s="380"/>
      <c r="F5944" s="378"/>
      <c r="G5944" s="380"/>
      <c r="H5944" s="380"/>
      <c r="I5944" s="399"/>
      <c r="J5944" s="377"/>
      <c r="K5944" s="380"/>
      <c r="L5944" s="378"/>
      <c r="M5944" s="380"/>
      <c r="N5944" s="380"/>
      <c r="O5944" s="380"/>
      <c r="P5944" s="380"/>
      <c r="Q5944" s="380"/>
    </row>
    <row r="5945" spans="1:17" x14ac:dyDescent="0.2">
      <c r="A5945" s="334" t="s">
        <v>1752</v>
      </c>
      <c r="B5945" s="380"/>
      <c r="C5945" s="334" t="s">
        <v>367</v>
      </c>
      <c r="D5945" s="377"/>
      <c r="E5945" s="380"/>
      <c r="F5945" s="378"/>
      <c r="G5945" s="380"/>
      <c r="H5945" s="380"/>
      <c r="I5945" s="399"/>
      <c r="J5945" s="377"/>
      <c r="K5945" s="380"/>
      <c r="L5945" s="378"/>
      <c r="M5945" s="380"/>
      <c r="N5945" s="380"/>
      <c r="O5945" s="380"/>
      <c r="P5945" s="380"/>
      <c r="Q5945" s="380"/>
    </row>
    <row r="5946" spans="1:17" x14ac:dyDescent="0.2">
      <c r="A5946" s="334" t="s">
        <v>1734</v>
      </c>
      <c r="B5946" s="380"/>
      <c r="C5946" s="334" t="s">
        <v>1746</v>
      </c>
      <c r="D5946" s="377">
        <v>1000</v>
      </c>
      <c r="E5946" s="380"/>
      <c r="F5946" s="378"/>
      <c r="G5946" s="380"/>
      <c r="H5946" s="380"/>
      <c r="I5946" s="399"/>
      <c r="J5946" s="377">
        <v>500</v>
      </c>
      <c r="K5946" s="380"/>
      <c r="L5946" s="378"/>
      <c r="M5946" s="380"/>
      <c r="N5946" s="380"/>
      <c r="O5946" s="380"/>
      <c r="P5946" s="380"/>
      <c r="Q5946" s="380"/>
    </row>
    <row r="5947" spans="1:17" x14ac:dyDescent="0.2">
      <c r="A5947" s="334" t="s">
        <v>1578</v>
      </c>
      <c r="B5947" s="380"/>
      <c r="C5947" s="334" t="s">
        <v>22</v>
      </c>
      <c r="D5947" s="377"/>
      <c r="E5947" s="380"/>
      <c r="F5947" s="378"/>
      <c r="G5947" s="380"/>
      <c r="H5947" s="380"/>
      <c r="I5947" s="399"/>
      <c r="J5947" s="377"/>
      <c r="K5947" s="380"/>
      <c r="L5947" s="378"/>
      <c r="M5947" s="380"/>
      <c r="N5947" s="380"/>
      <c r="O5947" s="380"/>
      <c r="P5947" s="380"/>
      <c r="Q5947" s="380"/>
    </row>
    <row r="5948" spans="1:17" x14ac:dyDescent="0.2">
      <c r="A5948" s="334" t="s">
        <v>1738</v>
      </c>
      <c r="B5948" s="380"/>
      <c r="C5948" s="334" t="s">
        <v>1591</v>
      </c>
      <c r="D5948" s="377">
        <v>300</v>
      </c>
      <c r="E5948" s="380"/>
      <c r="F5948" s="378"/>
      <c r="G5948" s="380"/>
      <c r="H5948" s="380"/>
      <c r="I5948" s="399"/>
      <c r="J5948" s="377">
        <v>300</v>
      </c>
      <c r="K5948" s="380"/>
      <c r="L5948" s="378"/>
      <c r="M5948" s="380"/>
      <c r="N5948" s="380"/>
      <c r="O5948" s="380"/>
      <c r="P5948" s="380"/>
      <c r="Q5948" s="380"/>
    </row>
    <row r="5949" spans="1:17" x14ac:dyDescent="0.2">
      <c r="A5949" s="334" t="s">
        <v>1727</v>
      </c>
      <c r="B5949" s="380"/>
      <c r="C5949" s="334" t="s">
        <v>307</v>
      </c>
      <c r="D5949" s="377">
        <v>200</v>
      </c>
      <c r="E5949" s="380"/>
      <c r="F5949" s="378"/>
      <c r="G5949" s="380"/>
      <c r="H5949" s="380"/>
      <c r="I5949" s="399"/>
      <c r="J5949" s="377">
        <v>500</v>
      </c>
      <c r="K5949" s="380"/>
      <c r="L5949" s="378"/>
      <c r="M5949" s="380"/>
      <c r="N5949" s="380"/>
      <c r="O5949" s="380"/>
      <c r="P5949" s="380"/>
      <c r="Q5949" s="380"/>
    </row>
    <row r="5950" spans="1:17" x14ac:dyDescent="0.2">
      <c r="A5950" s="334" t="s">
        <v>1728</v>
      </c>
      <c r="B5950" s="380"/>
      <c r="C5950" s="334" t="s">
        <v>310</v>
      </c>
      <c r="D5950" s="377">
        <v>200</v>
      </c>
      <c r="E5950" s="380"/>
      <c r="F5950" s="378"/>
      <c r="G5950" s="380"/>
      <c r="H5950" s="380"/>
      <c r="I5950" s="399"/>
      <c r="J5950" s="377">
        <v>500</v>
      </c>
      <c r="K5950" s="380"/>
      <c r="L5950" s="378"/>
      <c r="M5950" s="380"/>
      <c r="N5950" s="380"/>
      <c r="O5950" s="380"/>
      <c r="P5950" s="380"/>
      <c r="Q5950" s="380"/>
    </row>
    <row r="5951" spans="1:17" x14ac:dyDescent="0.2">
      <c r="A5951" s="334" t="s">
        <v>1729</v>
      </c>
      <c r="B5951" s="380"/>
      <c r="C5951" s="380" t="s">
        <v>1551</v>
      </c>
      <c r="D5951" s="377">
        <v>-1410</v>
      </c>
      <c r="E5951" s="380"/>
      <c r="F5951" s="378"/>
      <c r="G5951" s="380"/>
      <c r="H5951" s="380"/>
      <c r="I5951" s="399"/>
      <c r="J5951" s="377">
        <v>100</v>
      </c>
      <c r="K5951" s="380"/>
      <c r="L5951" s="378"/>
      <c r="M5951" s="380"/>
      <c r="N5951" s="380"/>
      <c r="O5951" s="380"/>
      <c r="P5951" s="380"/>
      <c r="Q5951" s="380"/>
    </row>
    <row r="5952" spans="1:17" x14ac:dyDescent="0.2">
      <c r="A5952" s="334" t="s">
        <v>1735</v>
      </c>
      <c r="B5952" s="380"/>
      <c r="C5952" s="380" t="s">
        <v>194</v>
      </c>
      <c r="D5952" s="377"/>
      <c r="E5952" s="380"/>
      <c r="F5952" s="378"/>
      <c r="G5952" s="380"/>
      <c r="H5952" s="380"/>
      <c r="I5952" s="399"/>
      <c r="J5952" s="377">
        <v>100</v>
      </c>
      <c r="K5952" s="380"/>
      <c r="L5952" s="378"/>
      <c r="M5952" s="380"/>
      <c r="N5952" s="380"/>
      <c r="O5952" s="380"/>
      <c r="P5952" s="380"/>
      <c r="Q5952" s="380"/>
    </row>
    <row r="5953" spans="1:17" x14ac:dyDescent="0.2">
      <c r="A5953" s="334" t="s">
        <v>1741</v>
      </c>
      <c r="B5953" s="380"/>
      <c r="C5953" s="334" t="s">
        <v>1748</v>
      </c>
      <c r="D5953" s="377">
        <v>100</v>
      </c>
      <c r="E5953" s="380"/>
      <c r="F5953" s="378"/>
      <c r="G5953" s="380"/>
      <c r="H5953" s="380"/>
      <c r="I5953" s="399"/>
      <c r="J5953" s="377">
        <v>100</v>
      </c>
      <c r="K5953" s="380"/>
      <c r="L5953" s="378"/>
      <c r="M5953" s="380"/>
      <c r="N5953" s="380"/>
      <c r="O5953" s="380"/>
      <c r="P5953" s="380"/>
      <c r="Q5953" s="380"/>
    </row>
    <row r="5954" spans="1:17" x14ac:dyDescent="0.2">
      <c r="A5954" s="334" t="s">
        <v>1742</v>
      </c>
      <c r="B5954" s="380"/>
      <c r="C5954" s="334" t="s">
        <v>1553</v>
      </c>
      <c r="D5954" s="377"/>
      <c r="E5954" s="380"/>
      <c r="F5954" s="378"/>
      <c r="G5954" s="380"/>
      <c r="H5954" s="380"/>
      <c r="I5954" s="399"/>
      <c r="J5954" s="377"/>
      <c r="K5954" s="380"/>
      <c r="L5954" s="378"/>
      <c r="M5954" s="380"/>
      <c r="N5954" s="380"/>
      <c r="O5954" s="380"/>
      <c r="P5954" s="380"/>
      <c r="Q5954" s="380"/>
    </row>
    <row r="5955" spans="1:17" x14ac:dyDescent="0.2">
      <c r="A5955" s="384" t="s">
        <v>1754</v>
      </c>
      <c r="B5955" s="380"/>
      <c r="C5955" s="334" t="s">
        <v>1929</v>
      </c>
      <c r="D5955" s="377">
        <v>300</v>
      </c>
      <c r="E5955" s="380"/>
      <c r="F5955" s="378"/>
      <c r="G5955" s="380"/>
      <c r="H5955" s="380"/>
      <c r="I5955" s="399"/>
      <c r="J5955" s="377">
        <v>400</v>
      </c>
      <c r="K5955" s="380"/>
      <c r="L5955" s="378"/>
      <c r="M5955" s="380"/>
      <c r="N5955" s="380"/>
      <c r="O5955" s="380"/>
      <c r="P5955" s="380"/>
      <c r="Q5955" s="380"/>
    </row>
    <row r="5956" spans="1:17" x14ac:dyDescent="0.2">
      <c r="A5956" s="334" t="s">
        <v>1584</v>
      </c>
      <c r="B5956" s="380"/>
      <c r="C5956" s="334" t="s">
        <v>0</v>
      </c>
      <c r="D5956" s="377"/>
      <c r="E5956" s="380"/>
      <c r="F5956" s="378"/>
      <c r="G5956" s="380"/>
      <c r="H5956" s="380"/>
      <c r="I5956" s="399"/>
      <c r="J5956" s="377"/>
      <c r="K5956" s="380"/>
      <c r="L5956" s="378"/>
      <c r="M5956" s="380"/>
      <c r="N5956" s="380"/>
      <c r="O5956" s="380"/>
      <c r="P5956" s="380"/>
      <c r="Q5956" s="380"/>
    </row>
    <row r="5957" spans="1:17" x14ac:dyDescent="0.2">
      <c r="A5957" s="334" t="s">
        <v>1730</v>
      </c>
      <c r="B5957" s="380"/>
      <c r="C5957" s="334" t="s">
        <v>1985</v>
      </c>
      <c r="D5957" s="377">
        <v>2000</v>
      </c>
      <c r="E5957" s="380"/>
      <c r="F5957" s="378"/>
      <c r="G5957" s="380"/>
      <c r="H5957" s="380"/>
      <c r="I5957" s="399"/>
      <c r="J5957" s="377">
        <v>1500</v>
      </c>
      <c r="K5957" s="380"/>
      <c r="L5957" s="378"/>
      <c r="M5957" s="380"/>
      <c r="N5957" s="380"/>
      <c r="O5957" s="380"/>
      <c r="P5957" s="380"/>
      <c r="Q5957" s="380"/>
    </row>
    <row r="5958" spans="1:17" x14ac:dyDescent="0.2">
      <c r="A5958" s="334" t="s">
        <v>1566</v>
      </c>
      <c r="B5958" s="380"/>
      <c r="C5958" s="334" t="s">
        <v>366</v>
      </c>
      <c r="D5958" s="377">
        <v>1500</v>
      </c>
      <c r="E5958" s="380"/>
      <c r="F5958" s="378"/>
      <c r="G5958" s="380"/>
      <c r="H5958" s="380"/>
      <c r="I5958" s="399"/>
      <c r="J5958" s="377">
        <v>1500</v>
      </c>
      <c r="K5958" s="380"/>
      <c r="L5958" s="378"/>
      <c r="M5958" s="380"/>
      <c r="N5958" s="380"/>
      <c r="O5958" s="380"/>
      <c r="P5958" s="380"/>
      <c r="Q5958" s="380"/>
    </row>
    <row r="5959" spans="1:17" x14ac:dyDescent="0.2">
      <c r="A5959" s="391" t="s">
        <v>1755</v>
      </c>
      <c r="B5959" s="380"/>
      <c r="C5959" s="380" t="s">
        <v>1986</v>
      </c>
      <c r="D5959" s="377"/>
      <c r="E5959" s="380"/>
      <c r="F5959" s="378"/>
      <c r="G5959" s="380"/>
      <c r="H5959" s="380"/>
      <c r="I5959" s="399"/>
      <c r="J5959" s="377"/>
      <c r="K5959" s="380"/>
      <c r="L5959" s="378"/>
      <c r="M5959" s="380"/>
      <c r="N5959" s="380"/>
      <c r="O5959" s="380"/>
      <c r="P5959" s="380"/>
      <c r="Q5959" s="380"/>
    </row>
    <row r="5960" spans="1:17" x14ac:dyDescent="0.2">
      <c r="A5960" s="334" t="s">
        <v>1587</v>
      </c>
      <c r="B5960" s="380"/>
      <c r="C5960" s="334" t="s">
        <v>34</v>
      </c>
      <c r="D5960" s="377"/>
      <c r="E5960" s="380"/>
      <c r="F5960" s="378"/>
      <c r="G5960" s="380"/>
      <c r="H5960" s="380"/>
      <c r="I5960" s="399"/>
      <c r="J5960" s="377">
        <v>50</v>
      </c>
      <c r="K5960" s="380"/>
      <c r="L5960" s="378"/>
      <c r="M5960" s="380"/>
      <c r="N5960" s="380"/>
      <c r="O5960" s="380"/>
      <c r="P5960" s="380"/>
      <c r="Q5960" s="380"/>
    </row>
    <row r="5961" spans="1:17" x14ac:dyDescent="0.2">
      <c r="A5961" s="334" t="s">
        <v>1903</v>
      </c>
      <c r="B5961" s="380"/>
      <c r="C5961" s="334" t="s">
        <v>35</v>
      </c>
      <c r="D5961" s="377"/>
      <c r="E5961" s="380"/>
      <c r="F5961" s="378"/>
      <c r="G5961" s="380"/>
      <c r="H5961" s="380"/>
      <c r="I5961" s="399"/>
      <c r="J5961" s="377"/>
      <c r="K5961" s="380"/>
      <c r="L5961" s="378"/>
      <c r="M5961" s="380"/>
      <c r="N5961" s="380"/>
      <c r="O5961" s="380"/>
      <c r="P5961" s="380"/>
      <c r="Q5961" s="380"/>
    </row>
    <row r="5962" spans="1:17" x14ac:dyDescent="0.2">
      <c r="A5962" s="334" t="s">
        <v>1962</v>
      </c>
      <c r="B5962" s="380"/>
      <c r="C5962" s="380" t="s">
        <v>572</v>
      </c>
      <c r="D5962" s="377"/>
      <c r="E5962" s="380"/>
      <c r="F5962" s="378"/>
      <c r="G5962" s="380"/>
      <c r="H5962" s="380"/>
      <c r="I5962" s="399"/>
      <c r="J5962" s="377"/>
      <c r="K5962" s="380"/>
      <c r="L5962" s="378"/>
      <c r="M5962" s="380"/>
      <c r="N5962" s="380"/>
      <c r="O5962" s="380"/>
      <c r="P5962" s="380"/>
      <c r="Q5962" s="380"/>
    </row>
    <row r="5963" spans="1:17" x14ac:dyDescent="0.2">
      <c r="A5963" s="334" t="s">
        <v>1567</v>
      </c>
      <c r="B5963" s="380"/>
      <c r="C5963" s="334" t="s">
        <v>3142</v>
      </c>
      <c r="D5963" s="377"/>
      <c r="E5963" s="380"/>
      <c r="F5963" s="378"/>
      <c r="G5963" s="380"/>
      <c r="H5963" s="380"/>
      <c r="I5963" s="399"/>
      <c r="J5963" s="377"/>
      <c r="K5963" s="380"/>
      <c r="L5963" s="378"/>
      <c r="M5963" s="380"/>
      <c r="N5963" s="380"/>
      <c r="O5963" s="380"/>
      <c r="P5963" s="380"/>
      <c r="Q5963" s="380"/>
    </row>
    <row r="5964" spans="1:17" x14ac:dyDescent="0.2">
      <c r="A5964" s="380"/>
      <c r="B5964" s="380"/>
      <c r="C5964" s="380"/>
      <c r="D5964" s="394"/>
      <c r="E5964" s="380"/>
      <c r="F5964" s="378"/>
      <c r="G5964" s="380"/>
      <c r="H5964" s="380"/>
      <c r="I5964" s="385"/>
      <c r="J5964" s="394"/>
      <c r="K5964" s="380"/>
      <c r="L5964" s="378"/>
      <c r="M5964" s="380"/>
      <c r="N5964" s="380"/>
      <c r="O5964" s="380"/>
      <c r="P5964" s="380"/>
      <c r="Q5964" s="380"/>
    </row>
    <row r="5965" spans="1:17" x14ac:dyDescent="0.2">
      <c r="A5965" s="380"/>
      <c r="B5965" s="380"/>
      <c r="C5965" s="380"/>
      <c r="D5965" s="334">
        <f>SUM(D5931:D5963)</f>
        <v>12690</v>
      </c>
      <c r="E5965" s="380"/>
      <c r="F5965" s="378"/>
      <c r="G5965" s="380"/>
      <c r="H5965" s="380"/>
      <c r="I5965" s="399"/>
      <c r="J5965" s="334">
        <f>SUM(J5931:J5963)</f>
        <v>10450</v>
      </c>
      <c r="K5965" s="380"/>
      <c r="L5965" s="378"/>
      <c r="M5965" s="380"/>
      <c r="N5965" s="380"/>
      <c r="O5965" s="380"/>
      <c r="P5965" s="380"/>
      <c r="Q5965" s="380"/>
    </row>
    <row r="5966" spans="1:17" ht="15.75" thickTop="1" x14ac:dyDescent="0.2">
      <c r="A5966" s="380"/>
      <c r="B5966" s="380"/>
      <c r="C5966" s="380"/>
      <c r="D5966" s="395">
        <f>D5965-D5931</f>
        <v>12690</v>
      </c>
      <c r="E5966" s="380"/>
      <c r="F5966" s="378"/>
      <c r="G5966" s="380"/>
      <c r="H5966" s="380"/>
      <c r="I5966" s="382"/>
      <c r="J5966" s="395">
        <f>J5965-J5931</f>
        <v>10450</v>
      </c>
      <c r="K5966" s="380"/>
      <c r="L5966" s="378"/>
      <c r="M5966" s="380"/>
      <c r="N5966" s="380"/>
      <c r="O5966" s="380"/>
      <c r="P5966" s="380"/>
      <c r="Q5966" s="380"/>
    </row>
    <row r="5967" spans="1:17" x14ac:dyDescent="0.2">
      <c r="A5967" s="380"/>
      <c r="B5967" s="380"/>
      <c r="C5967" s="380"/>
      <c r="D5967" s="380"/>
      <c r="E5967" s="380"/>
      <c r="F5967" s="378"/>
      <c r="G5967" s="380"/>
      <c r="H5967" s="380"/>
      <c r="I5967" s="385"/>
      <c r="J5967" s="380"/>
      <c r="K5967" s="380"/>
      <c r="L5967" s="378"/>
      <c r="M5967" s="380"/>
      <c r="N5967" s="380"/>
      <c r="O5967" s="380"/>
      <c r="P5967" s="380"/>
      <c r="Q5967" s="380"/>
    </row>
    <row r="5968" spans="1:17" x14ac:dyDescent="0.2">
      <c r="A5968" s="334" t="s">
        <v>708</v>
      </c>
      <c r="B5968" s="380"/>
      <c r="C5968" s="380"/>
      <c r="D5968" s="334"/>
      <c r="E5968" s="380"/>
      <c r="F5968" s="378"/>
      <c r="G5968" s="380"/>
      <c r="H5968" s="380"/>
      <c r="I5968" s="443"/>
      <c r="J5968" s="334"/>
      <c r="K5968" s="380"/>
      <c r="L5968" s="378"/>
      <c r="M5968" s="380"/>
      <c r="N5968" s="380"/>
      <c r="O5968" s="380"/>
      <c r="P5968" s="380"/>
      <c r="Q5968" s="380"/>
    </row>
    <row r="5969" spans="1:17" x14ac:dyDescent="0.2">
      <c r="A5969" s="334" t="s">
        <v>342</v>
      </c>
      <c r="B5969" s="380"/>
      <c r="C5969" s="334"/>
      <c r="D5969" s="442" t="s">
        <v>709</v>
      </c>
      <c r="E5969" s="380"/>
      <c r="F5969" s="378"/>
      <c r="G5969" s="380"/>
      <c r="H5969" s="380"/>
      <c r="I5969" s="385"/>
      <c r="J5969" s="442" t="s">
        <v>709</v>
      </c>
      <c r="K5969" s="380"/>
      <c r="L5969" s="378"/>
      <c r="M5969" s="380"/>
      <c r="N5969" s="380"/>
      <c r="O5969" s="380"/>
      <c r="P5969" s="380"/>
      <c r="Q5969" s="380"/>
    </row>
    <row r="5970" spans="1:17" x14ac:dyDescent="0.2">
      <c r="A5970" s="334" t="s">
        <v>342</v>
      </c>
      <c r="B5970" s="380"/>
      <c r="C5970" s="334" t="s">
        <v>342</v>
      </c>
      <c r="D5970" s="334"/>
      <c r="E5970" s="380"/>
      <c r="F5970" s="378"/>
      <c r="G5970" s="380"/>
      <c r="H5970" s="380"/>
      <c r="I5970" s="385"/>
      <c r="J5970" s="334"/>
      <c r="K5970" s="380"/>
      <c r="L5970" s="378"/>
      <c r="M5970" s="380"/>
      <c r="N5970" s="380"/>
      <c r="O5970" s="380"/>
      <c r="P5970" s="380"/>
      <c r="Q5970" s="380"/>
    </row>
    <row r="5971" spans="1:17" x14ac:dyDescent="0.2">
      <c r="A5971" s="334" t="s">
        <v>1723</v>
      </c>
      <c r="B5971" s="380"/>
      <c r="C5971" s="334" t="s">
        <v>1880</v>
      </c>
      <c r="D5971" s="334" t="s">
        <v>181</v>
      </c>
      <c r="E5971" s="380"/>
      <c r="F5971" s="378"/>
      <c r="G5971" s="380"/>
      <c r="H5971" s="380"/>
      <c r="I5971" s="382"/>
      <c r="J5971" s="334" t="s">
        <v>181</v>
      </c>
      <c r="K5971" s="380"/>
      <c r="L5971" s="378"/>
      <c r="M5971" s="380"/>
      <c r="N5971" s="380"/>
      <c r="O5971" s="380"/>
      <c r="P5971" s="380"/>
      <c r="Q5971" s="380"/>
    </row>
    <row r="5972" spans="1:17" x14ac:dyDescent="0.2">
      <c r="A5972" s="380"/>
      <c r="B5972" s="380"/>
      <c r="C5972" s="380"/>
      <c r="D5972" s="380"/>
      <c r="E5972" s="380"/>
      <c r="F5972" s="378"/>
      <c r="G5972" s="380"/>
      <c r="H5972" s="380"/>
      <c r="I5972" s="399"/>
      <c r="J5972" s="380"/>
      <c r="K5972" s="380"/>
      <c r="L5972" s="378"/>
      <c r="M5972" s="380"/>
      <c r="N5972" s="380"/>
      <c r="O5972" s="380"/>
      <c r="P5972" s="380"/>
      <c r="Q5972" s="380"/>
    </row>
    <row r="5973" spans="1:17" x14ac:dyDescent="0.2">
      <c r="A5973" s="334" t="s">
        <v>1568</v>
      </c>
      <c r="B5973" s="380"/>
      <c r="C5973" s="380" t="s">
        <v>1817</v>
      </c>
      <c r="D5973" s="377"/>
      <c r="E5973" s="380"/>
      <c r="F5973" s="378"/>
      <c r="G5973" s="380"/>
      <c r="H5973" s="380"/>
      <c r="I5973" s="399"/>
      <c r="J5973" s="377"/>
      <c r="K5973" s="380"/>
      <c r="L5973" s="378"/>
      <c r="M5973" s="380"/>
      <c r="N5973" s="380"/>
      <c r="O5973" s="380"/>
      <c r="P5973" s="380"/>
      <c r="Q5973" s="380"/>
    </row>
    <row r="5974" spans="1:17" x14ac:dyDescent="0.2">
      <c r="A5974" s="334" t="s">
        <v>1724</v>
      </c>
      <c r="B5974" s="380"/>
      <c r="C5974" s="334" t="s">
        <v>1881</v>
      </c>
      <c r="D5974" s="377">
        <v>2500</v>
      </c>
      <c r="E5974" s="380"/>
      <c r="F5974" s="378"/>
      <c r="G5974" s="380"/>
      <c r="H5974" s="380"/>
      <c r="I5974" s="399"/>
      <c r="J5974" s="377">
        <v>2500</v>
      </c>
      <c r="K5974" s="380"/>
      <c r="L5974" s="378"/>
      <c r="M5974" s="380"/>
      <c r="N5974" s="380"/>
      <c r="O5974" s="380"/>
      <c r="P5974" s="380"/>
      <c r="Q5974" s="380"/>
    </row>
    <row r="5975" spans="1:17" x14ac:dyDescent="0.2">
      <c r="A5975" s="334" t="s">
        <v>1961</v>
      </c>
      <c r="B5975" s="380"/>
      <c r="C5975" s="334" t="s">
        <v>9</v>
      </c>
      <c r="D5975" s="377"/>
      <c r="E5975" s="380"/>
      <c r="F5975" s="378"/>
      <c r="G5975" s="380"/>
      <c r="H5975" s="380"/>
      <c r="I5975" s="399"/>
      <c r="J5975" s="377"/>
      <c r="K5975" s="380"/>
      <c r="L5975" s="378"/>
      <c r="M5975" s="380"/>
      <c r="N5975" s="380"/>
      <c r="O5975" s="380"/>
      <c r="P5975" s="380"/>
      <c r="Q5975" s="380"/>
    </row>
    <row r="5976" spans="1:17" x14ac:dyDescent="0.2">
      <c r="A5976" s="334" t="s">
        <v>1736</v>
      </c>
      <c r="B5976" s="380"/>
      <c r="C5976" s="334" t="s">
        <v>1747</v>
      </c>
      <c r="D5976" s="377"/>
      <c r="E5976" s="380"/>
      <c r="F5976" s="378"/>
      <c r="G5976" s="380"/>
      <c r="H5976" s="380"/>
      <c r="I5976" s="399"/>
      <c r="J5976" s="377"/>
      <c r="K5976" s="380"/>
      <c r="L5976" s="378"/>
      <c r="M5976" s="380"/>
      <c r="N5976" s="380"/>
      <c r="O5976" s="380"/>
      <c r="P5976" s="380"/>
      <c r="Q5976" s="380"/>
    </row>
    <row r="5977" spans="1:17" x14ac:dyDescent="0.2">
      <c r="A5977" s="334" t="s">
        <v>1744</v>
      </c>
      <c r="B5977" s="380"/>
      <c r="C5977" s="334" t="s">
        <v>1254</v>
      </c>
      <c r="D5977" s="377"/>
      <c r="E5977" s="380"/>
      <c r="F5977" s="378"/>
      <c r="G5977" s="380"/>
      <c r="H5977" s="380"/>
      <c r="I5977" s="399"/>
      <c r="J5977" s="377"/>
      <c r="K5977" s="380"/>
      <c r="L5977" s="378"/>
      <c r="M5977" s="380"/>
      <c r="N5977" s="380"/>
      <c r="O5977" s="380"/>
      <c r="P5977" s="380"/>
      <c r="Q5977" s="380"/>
    </row>
    <row r="5978" spans="1:17" x14ac:dyDescent="0.2">
      <c r="A5978" s="334" t="s">
        <v>1582</v>
      </c>
      <c r="B5978" s="380"/>
      <c r="C5978" s="334" t="s">
        <v>3135</v>
      </c>
      <c r="D5978" s="377">
        <v>500</v>
      </c>
      <c r="E5978" s="380"/>
      <c r="F5978" s="378"/>
      <c r="G5978" s="380"/>
      <c r="H5978" s="380"/>
      <c r="I5978" s="399"/>
      <c r="J5978" s="377"/>
      <c r="K5978" s="380"/>
      <c r="L5978" s="378"/>
      <c r="M5978" s="380"/>
      <c r="N5978" s="380"/>
      <c r="O5978" s="380"/>
      <c r="P5978" s="380"/>
      <c r="Q5978" s="380"/>
    </row>
    <row r="5979" spans="1:17" x14ac:dyDescent="0.2">
      <c r="A5979" s="384" t="s">
        <v>1725</v>
      </c>
      <c r="B5979" s="380"/>
      <c r="C5979" s="334" t="s">
        <v>1890</v>
      </c>
      <c r="D5979" s="377"/>
      <c r="E5979" s="380"/>
      <c r="F5979" s="378"/>
      <c r="G5979" s="380"/>
      <c r="H5979" s="380"/>
      <c r="I5979" s="399"/>
      <c r="J5979" s="377"/>
      <c r="K5979" s="380"/>
      <c r="L5979" s="378"/>
      <c r="M5979" s="380"/>
      <c r="N5979" s="380"/>
      <c r="O5979" s="380"/>
      <c r="P5979" s="380"/>
      <c r="Q5979" s="380"/>
    </row>
    <row r="5980" spans="1:17" x14ac:dyDescent="0.2">
      <c r="A5980" s="334" t="s">
        <v>1745</v>
      </c>
      <c r="B5980" s="380"/>
      <c r="C5980" s="334" t="s">
        <v>1887</v>
      </c>
      <c r="D5980" s="377"/>
      <c r="E5980" s="380"/>
      <c r="F5980" s="378"/>
      <c r="G5980" s="380"/>
      <c r="H5980" s="380"/>
      <c r="I5980" s="399"/>
      <c r="J5980" s="377">
        <v>100</v>
      </c>
      <c r="K5980" s="380"/>
      <c r="L5980" s="378"/>
      <c r="M5980" s="380"/>
      <c r="N5980" s="380"/>
      <c r="O5980" s="380"/>
      <c r="P5980" s="380"/>
      <c r="Q5980" s="380"/>
    </row>
    <row r="5981" spans="1:17" x14ac:dyDescent="0.2">
      <c r="A5981" s="334" t="s">
        <v>1906</v>
      </c>
      <c r="B5981" s="380"/>
      <c r="C5981" s="334" t="s">
        <v>39</v>
      </c>
      <c r="D5981" s="377"/>
      <c r="E5981" s="380"/>
      <c r="F5981" s="378"/>
      <c r="G5981" s="380"/>
      <c r="H5981" s="380"/>
      <c r="I5981" s="399"/>
      <c r="J5981" s="377"/>
      <c r="K5981" s="380"/>
      <c r="L5981" s="378"/>
      <c r="M5981" s="380"/>
      <c r="N5981" s="380"/>
      <c r="O5981" s="380"/>
      <c r="P5981" s="380"/>
      <c r="Q5981" s="380"/>
    </row>
    <row r="5982" spans="1:17" x14ac:dyDescent="0.2">
      <c r="A5982" s="334" t="s">
        <v>1576</v>
      </c>
      <c r="B5982" s="380"/>
      <c r="C5982" s="334" t="s">
        <v>1590</v>
      </c>
      <c r="D5982" s="377"/>
      <c r="E5982" s="380"/>
      <c r="F5982" s="378"/>
      <c r="G5982" s="380"/>
      <c r="H5982" s="380"/>
      <c r="I5982" s="399"/>
      <c r="J5982" s="377"/>
      <c r="K5982" s="380"/>
      <c r="L5982" s="378"/>
      <c r="M5982" s="380"/>
      <c r="N5982" s="380"/>
      <c r="O5982" s="380"/>
      <c r="P5982" s="380"/>
      <c r="Q5982" s="380"/>
    </row>
    <row r="5983" spans="1:17" x14ac:dyDescent="0.2">
      <c r="A5983" s="403" t="s">
        <v>1565</v>
      </c>
      <c r="B5983" s="380"/>
      <c r="C5983" s="334" t="s">
        <v>1927</v>
      </c>
      <c r="D5983" s="377">
        <v>300</v>
      </c>
      <c r="E5983" s="380"/>
      <c r="F5983" s="378"/>
      <c r="G5983" s="380"/>
      <c r="H5983" s="380"/>
      <c r="I5983" s="399"/>
      <c r="J5983" s="377">
        <v>250</v>
      </c>
      <c r="K5983" s="380"/>
      <c r="L5983" s="378"/>
      <c r="M5983" s="380"/>
      <c r="N5983" s="380"/>
      <c r="O5983" s="380"/>
      <c r="P5983" s="380"/>
      <c r="Q5983" s="380"/>
    </row>
    <row r="5984" spans="1:17" x14ac:dyDescent="0.2">
      <c r="A5984" s="334" t="s">
        <v>1737</v>
      </c>
      <c r="B5984" s="380"/>
      <c r="C5984" s="334" t="s">
        <v>1984</v>
      </c>
      <c r="D5984" s="377">
        <v>200</v>
      </c>
      <c r="E5984" s="380"/>
      <c r="F5984" s="378"/>
      <c r="G5984" s="380"/>
      <c r="H5984" s="380"/>
      <c r="I5984" s="399"/>
      <c r="J5984" s="377">
        <v>100</v>
      </c>
      <c r="K5984" s="380"/>
      <c r="L5984" s="378"/>
      <c r="M5984" s="380"/>
      <c r="N5984" s="380"/>
      <c r="O5984" s="380"/>
      <c r="P5984" s="380"/>
      <c r="Q5984" s="380"/>
    </row>
    <row r="5985" spans="1:17" x14ac:dyDescent="0.2">
      <c r="A5985" s="384" t="s">
        <v>1726</v>
      </c>
      <c r="B5985" s="380"/>
      <c r="C5985" s="334" t="s">
        <v>1117</v>
      </c>
      <c r="D5985" s="377"/>
      <c r="E5985" s="380"/>
      <c r="F5985" s="378"/>
      <c r="G5985" s="380"/>
      <c r="H5985" s="380"/>
      <c r="I5985" s="399"/>
      <c r="J5985" s="377"/>
      <c r="K5985" s="380"/>
      <c r="L5985" s="378"/>
      <c r="M5985" s="380"/>
      <c r="N5985" s="380"/>
      <c r="O5985" s="380"/>
      <c r="P5985" s="380"/>
      <c r="Q5985" s="380"/>
    </row>
    <row r="5986" spans="1:17" x14ac:dyDescent="0.2">
      <c r="A5986" s="384" t="s">
        <v>1751</v>
      </c>
      <c r="B5986" s="380"/>
      <c r="C5986" s="334" t="s">
        <v>3138</v>
      </c>
      <c r="D5986" s="377"/>
      <c r="E5986" s="380"/>
      <c r="F5986" s="378"/>
      <c r="G5986" s="380"/>
      <c r="H5986" s="380"/>
      <c r="I5986" s="399"/>
      <c r="J5986" s="377"/>
      <c r="K5986" s="380"/>
      <c r="L5986" s="378"/>
      <c r="M5986" s="380"/>
      <c r="N5986" s="380"/>
      <c r="O5986" s="380"/>
      <c r="P5986" s="380"/>
      <c r="Q5986" s="380"/>
    </row>
    <row r="5987" spans="1:17" x14ac:dyDescent="0.2">
      <c r="A5987" s="334" t="s">
        <v>1752</v>
      </c>
      <c r="B5987" s="380"/>
      <c r="C5987" s="334" t="s">
        <v>367</v>
      </c>
      <c r="D5987" s="377"/>
      <c r="E5987" s="380"/>
      <c r="F5987" s="378"/>
      <c r="G5987" s="380"/>
      <c r="H5987" s="380"/>
      <c r="I5987" s="399"/>
      <c r="J5987" s="377"/>
      <c r="K5987" s="380"/>
      <c r="L5987" s="378"/>
      <c r="M5987" s="380"/>
      <c r="N5987" s="380"/>
      <c r="O5987" s="380"/>
      <c r="P5987" s="380"/>
      <c r="Q5987" s="380"/>
    </row>
    <row r="5988" spans="1:17" x14ac:dyDescent="0.2">
      <c r="A5988" s="334" t="s">
        <v>1734</v>
      </c>
      <c r="B5988" s="380"/>
      <c r="C5988" s="334" t="s">
        <v>1746</v>
      </c>
      <c r="D5988" s="377"/>
      <c r="E5988" s="380"/>
      <c r="F5988" s="378"/>
      <c r="G5988" s="380"/>
      <c r="H5988" s="380"/>
      <c r="I5988" s="399"/>
      <c r="J5988" s="377"/>
      <c r="K5988" s="380"/>
      <c r="L5988" s="378"/>
      <c r="M5988" s="380"/>
      <c r="N5988" s="380"/>
      <c r="O5988" s="380"/>
      <c r="P5988" s="380"/>
      <c r="Q5988" s="380"/>
    </row>
    <row r="5989" spans="1:17" x14ac:dyDescent="0.2">
      <c r="A5989" s="334" t="s">
        <v>1578</v>
      </c>
      <c r="B5989" s="380"/>
      <c r="C5989" s="334" t="s">
        <v>22</v>
      </c>
      <c r="D5989" s="377"/>
      <c r="E5989" s="380"/>
      <c r="F5989" s="378"/>
      <c r="G5989" s="380"/>
      <c r="H5989" s="380"/>
      <c r="I5989" s="399"/>
      <c r="J5989" s="377"/>
      <c r="K5989" s="380"/>
      <c r="L5989" s="378"/>
      <c r="M5989" s="380"/>
      <c r="N5989" s="380"/>
      <c r="O5989" s="380"/>
      <c r="P5989" s="380"/>
      <c r="Q5989" s="380"/>
    </row>
    <row r="5990" spans="1:17" x14ac:dyDescent="0.2">
      <c r="A5990" s="334" t="s">
        <v>1738</v>
      </c>
      <c r="B5990" s="380"/>
      <c r="C5990" s="334" t="s">
        <v>1591</v>
      </c>
      <c r="D5990" s="377">
        <v>150</v>
      </c>
      <c r="E5990" s="380"/>
      <c r="F5990" s="378"/>
      <c r="G5990" s="380"/>
      <c r="H5990" s="380"/>
      <c r="I5990" s="399"/>
      <c r="J5990" s="377">
        <v>150</v>
      </c>
      <c r="K5990" s="380"/>
      <c r="L5990" s="378"/>
      <c r="M5990" s="380"/>
      <c r="N5990" s="380"/>
      <c r="O5990" s="380"/>
      <c r="P5990" s="380"/>
      <c r="Q5990" s="380"/>
    </row>
    <row r="5991" spans="1:17" x14ac:dyDescent="0.2">
      <c r="A5991" s="334" t="s">
        <v>1727</v>
      </c>
      <c r="B5991" s="380"/>
      <c r="C5991" s="334" t="s">
        <v>307</v>
      </c>
      <c r="D5991" s="377">
        <v>150</v>
      </c>
      <c r="E5991" s="380"/>
      <c r="F5991" s="378"/>
      <c r="G5991" s="380"/>
      <c r="H5991" s="380"/>
      <c r="I5991" s="399"/>
      <c r="J5991" s="377">
        <v>150</v>
      </c>
      <c r="K5991" s="380"/>
      <c r="L5991" s="378"/>
      <c r="M5991" s="380"/>
      <c r="N5991" s="380"/>
      <c r="O5991" s="380"/>
      <c r="P5991" s="380"/>
      <c r="Q5991" s="380"/>
    </row>
    <row r="5992" spans="1:17" x14ac:dyDescent="0.2">
      <c r="A5992" s="334" t="s">
        <v>1728</v>
      </c>
      <c r="B5992" s="380"/>
      <c r="C5992" s="334" t="s">
        <v>310</v>
      </c>
      <c r="D5992" s="377">
        <v>200</v>
      </c>
      <c r="E5992" s="380"/>
      <c r="F5992" s="378"/>
      <c r="G5992" s="380"/>
      <c r="H5992" s="380"/>
      <c r="I5992" s="399"/>
      <c r="J5992" s="377"/>
      <c r="K5992" s="380"/>
      <c r="L5992" s="378"/>
      <c r="M5992" s="380"/>
      <c r="N5992" s="380"/>
      <c r="O5992" s="380"/>
      <c r="P5992" s="380"/>
      <c r="Q5992" s="380"/>
    </row>
    <row r="5993" spans="1:17" x14ac:dyDescent="0.2">
      <c r="A5993" s="334" t="s">
        <v>1729</v>
      </c>
      <c r="B5993" s="380"/>
      <c r="C5993" s="380" t="s">
        <v>1551</v>
      </c>
      <c r="D5993" s="377">
        <v>-7176.6</v>
      </c>
      <c r="E5993" s="380"/>
      <c r="F5993" s="378"/>
      <c r="G5993" s="380"/>
      <c r="H5993" s="380"/>
      <c r="I5993" s="399"/>
      <c r="J5993" s="377"/>
      <c r="K5993" s="380"/>
      <c r="L5993" s="378"/>
      <c r="M5993" s="380"/>
      <c r="N5993" s="380"/>
      <c r="O5993" s="380"/>
      <c r="P5993" s="380"/>
      <c r="Q5993" s="380"/>
    </row>
    <row r="5994" spans="1:17" x14ac:dyDescent="0.2">
      <c r="A5994" s="334" t="s">
        <v>1735</v>
      </c>
      <c r="B5994" s="380"/>
      <c r="C5994" s="380" t="s">
        <v>194</v>
      </c>
      <c r="D5994" s="377"/>
      <c r="E5994" s="380"/>
      <c r="F5994" s="378"/>
      <c r="G5994" s="380"/>
      <c r="H5994" s="380"/>
      <c r="I5994" s="399"/>
      <c r="J5994" s="377"/>
      <c r="K5994" s="380"/>
      <c r="L5994" s="378"/>
      <c r="M5994" s="380"/>
      <c r="N5994" s="380"/>
      <c r="O5994" s="380"/>
      <c r="P5994" s="380"/>
      <c r="Q5994" s="380"/>
    </row>
    <row r="5995" spans="1:17" x14ac:dyDescent="0.2">
      <c r="A5995" s="334" t="s">
        <v>1741</v>
      </c>
      <c r="B5995" s="380"/>
      <c r="C5995" s="334" t="s">
        <v>1748</v>
      </c>
      <c r="D5995" s="377"/>
      <c r="E5995" s="380"/>
      <c r="F5995" s="378"/>
      <c r="G5995" s="380"/>
      <c r="H5995" s="380"/>
      <c r="I5995" s="399"/>
      <c r="J5995" s="377"/>
      <c r="K5995" s="380"/>
      <c r="L5995" s="378"/>
      <c r="M5995" s="380"/>
      <c r="N5995" s="380"/>
      <c r="O5995" s="380"/>
      <c r="P5995" s="380"/>
      <c r="Q5995" s="380"/>
    </row>
    <row r="5996" spans="1:17" x14ac:dyDescent="0.2">
      <c r="A5996" s="334" t="s">
        <v>1742</v>
      </c>
      <c r="B5996" s="380"/>
      <c r="C5996" s="334" t="s">
        <v>1553</v>
      </c>
      <c r="D5996" s="377"/>
      <c r="E5996" s="380"/>
      <c r="F5996" s="378"/>
      <c r="G5996" s="380"/>
      <c r="H5996" s="380"/>
      <c r="I5996" s="399"/>
      <c r="J5996" s="377"/>
      <c r="K5996" s="380"/>
      <c r="L5996" s="378"/>
      <c r="M5996" s="380"/>
      <c r="N5996" s="380"/>
      <c r="O5996" s="380"/>
      <c r="P5996" s="380"/>
      <c r="Q5996" s="380"/>
    </row>
    <row r="5997" spans="1:17" x14ac:dyDescent="0.2">
      <c r="A5997" s="384" t="s">
        <v>1754</v>
      </c>
      <c r="B5997" s="380"/>
      <c r="C5997" s="334" t="s">
        <v>1929</v>
      </c>
      <c r="D5997" s="377"/>
      <c r="E5997" s="380"/>
      <c r="F5997" s="378"/>
      <c r="G5997" s="380"/>
      <c r="H5997" s="380"/>
      <c r="I5997" s="399"/>
      <c r="J5997" s="377"/>
      <c r="K5997" s="380"/>
      <c r="L5997" s="378"/>
      <c r="M5997" s="380"/>
      <c r="N5997" s="380"/>
      <c r="O5997" s="380"/>
      <c r="P5997" s="380"/>
      <c r="Q5997" s="380"/>
    </row>
    <row r="5998" spans="1:17" x14ac:dyDescent="0.2">
      <c r="A5998" s="334" t="s">
        <v>1584</v>
      </c>
      <c r="B5998" s="380"/>
      <c r="C5998" s="334" t="s">
        <v>0</v>
      </c>
      <c r="D5998" s="377"/>
      <c r="E5998" s="380"/>
      <c r="F5998" s="378"/>
      <c r="G5998" s="380"/>
      <c r="H5998" s="380"/>
      <c r="I5998" s="399"/>
      <c r="J5998" s="377"/>
      <c r="K5998" s="380"/>
      <c r="L5998" s="378"/>
      <c r="M5998" s="380"/>
      <c r="N5998" s="380"/>
      <c r="O5998" s="380"/>
      <c r="P5998" s="380"/>
      <c r="Q5998" s="380"/>
    </row>
    <row r="5999" spans="1:17" x14ac:dyDescent="0.2">
      <c r="A5999" s="334" t="s">
        <v>1730</v>
      </c>
      <c r="B5999" s="380"/>
      <c r="C5999" s="334" t="s">
        <v>1985</v>
      </c>
      <c r="D5999" s="377">
        <v>500</v>
      </c>
      <c r="E5999" s="380"/>
      <c r="F5999" s="378"/>
      <c r="G5999" s="380"/>
      <c r="H5999" s="380"/>
      <c r="I5999" s="399"/>
      <c r="J5999" s="377">
        <v>400</v>
      </c>
      <c r="K5999" s="380"/>
      <c r="L5999" s="378"/>
      <c r="M5999" s="380"/>
      <c r="N5999" s="380"/>
      <c r="O5999" s="380"/>
      <c r="P5999" s="380"/>
      <c r="Q5999" s="380"/>
    </row>
    <row r="6000" spans="1:17" x14ac:dyDescent="0.2">
      <c r="A6000" s="334" t="s">
        <v>1566</v>
      </c>
      <c r="B6000" s="380"/>
      <c r="C6000" s="334" t="s">
        <v>366</v>
      </c>
      <c r="D6000" s="377">
        <v>400</v>
      </c>
      <c r="E6000" s="380"/>
      <c r="F6000" s="378"/>
      <c r="G6000" s="380"/>
      <c r="H6000" s="380"/>
      <c r="I6000" s="399"/>
      <c r="J6000" s="377">
        <v>300</v>
      </c>
      <c r="K6000" s="380"/>
      <c r="L6000" s="378"/>
      <c r="M6000" s="380"/>
      <c r="N6000" s="380"/>
      <c r="O6000" s="380"/>
      <c r="P6000" s="380"/>
      <c r="Q6000" s="380"/>
    </row>
    <row r="6001" spans="1:17" x14ac:dyDescent="0.2">
      <c r="A6001" s="334" t="s">
        <v>1755</v>
      </c>
      <c r="B6001" s="380"/>
      <c r="C6001" s="380" t="s">
        <v>1986</v>
      </c>
      <c r="D6001" s="377">
        <v>200</v>
      </c>
      <c r="E6001" s="380"/>
      <c r="F6001" s="378"/>
      <c r="G6001" s="380"/>
      <c r="H6001" s="380"/>
      <c r="I6001" s="399"/>
      <c r="J6001" s="377">
        <v>300</v>
      </c>
      <c r="K6001" s="380"/>
      <c r="L6001" s="378"/>
      <c r="M6001" s="380"/>
      <c r="N6001" s="380"/>
      <c r="O6001" s="380"/>
      <c r="P6001" s="380"/>
      <c r="Q6001" s="380"/>
    </row>
    <row r="6002" spans="1:17" x14ac:dyDescent="0.2">
      <c r="A6002" s="334" t="s">
        <v>1587</v>
      </c>
      <c r="B6002" s="380"/>
      <c r="C6002" s="334" t="s">
        <v>34</v>
      </c>
      <c r="D6002" s="377"/>
      <c r="E6002" s="380"/>
      <c r="F6002" s="378"/>
      <c r="G6002" s="380"/>
      <c r="H6002" s="380"/>
      <c r="I6002" s="399"/>
      <c r="J6002" s="377"/>
      <c r="K6002" s="380"/>
      <c r="L6002" s="378"/>
      <c r="M6002" s="380"/>
      <c r="N6002" s="380"/>
      <c r="O6002" s="380"/>
      <c r="P6002" s="380"/>
      <c r="Q6002" s="380"/>
    </row>
    <row r="6003" spans="1:17" x14ac:dyDescent="0.2">
      <c r="A6003" s="334" t="s">
        <v>1903</v>
      </c>
      <c r="B6003" s="380"/>
      <c r="C6003" s="334" t="s">
        <v>35</v>
      </c>
      <c r="D6003" s="377"/>
      <c r="E6003" s="380"/>
      <c r="F6003" s="378"/>
      <c r="G6003" s="380"/>
      <c r="H6003" s="380"/>
      <c r="I6003" s="399"/>
      <c r="J6003" s="377"/>
      <c r="K6003" s="380"/>
      <c r="L6003" s="378"/>
      <c r="M6003" s="380"/>
      <c r="N6003" s="380"/>
      <c r="O6003" s="380"/>
      <c r="P6003" s="380"/>
      <c r="Q6003" s="380"/>
    </row>
    <row r="6004" spans="1:17" x14ac:dyDescent="0.2">
      <c r="A6004" s="334" t="s">
        <v>1962</v>
      </c>
      <c r="B6004" s="380"/>
      <c r="C6004" s="380" t="s">
        <v>572</v>
      </c>
      <c r="D6004" s="377"/>
      <c r="E6004" s="380"/>
      <c r="F6004" s="378"/>
      <c r="G6004" s="380"/>
      <c r="H6004" s="380"/>
      <c r="I6004" s="399"/>
      <c r="J6004" s="377"/>
      <c r="K6004" s="380"/>
      <c r="L6004" s="378"/>
      <c r="M6004" s="380"/>
      <c r="N6004" s="380"/>
      <c r="O6004" s="380"/>
      <c r="P6004" s="380"/>
      <c r="Q6004" s="380"/>
    </row>
    <row r="6005" spans="1:17" x14ac:dyDescent="0.2">
      <c r="A6005" s="334" t="s">
        <v>1567</v>
      </c>
      <c r="B6005" s="380"/>
      <c r="C6005" s="334" t="s">
        <v>3142</v>
      </c>
      <c r="D6005" s="377"/>
      <c r="E6005" s="380"/>
      <c r="F6005" s="378"/>
      <c r="G6005" s="380"/>
      <c r="H6005" s="380"/>
      <c r="I6005" s="399"/>
      <c r="J6005" s="377"/>
      <c r="K6005" s="380"/>
      <c r="L6005" s="378"/>
      <c r="M6005" s="380"/>
      <c r="N6005" s="380"/>
      <c r="O6005" s="380"/>
      <c r="P6005" s="380"/>
      <c r="Q6005" s="380"/>
    </row>
    <row r="6006" spans="1:17" x14ac:dyDescent="0.2">
      <c r="A6006" s="380"/>
      <c r="B6006" s="380"/>
      <c r="C6006" s="380"/>
      <c r="D6006" s="394"/>
      <c r="E6006" s="380"/>
      <c r="F6006" s="378"/>
      <c r="G6006" s="380"/>
      <c r="H6006" s="380"/>
      <c r="I6006" s="385"/>
      <c r="J6006" s="394"/>
      <c r="K6006" s="380"/>
      <c r="L6006" s="378"/>
      <c r="M6006" s="380"/>
      <c r="N6006" s="380"/>
      <c r="O6006" s="380"/>
      <c r="P6006" s="380"/>
      <c r="Q6006" s="380"/>
    </row>
    <row r="6007" spans="1:17" x14ac:dyDescent="0.2">
      <c r="A6007" s="380"/>
      <c r="B6007" s="380"/>
      <c r="C6007" s="380"/>
      <c r="D6007" s="334">
        <f>SUM(D5973:D6005)</f>
        <v>-2076.6</v>
      </c>
      <c r="E6007" s="380"/>
      <c r="F6007" s="378"/>
      <c r="G6007" s="380"/>
      <c r="H6007" s="380"/>
      <c r="I6007" s="399"/>
      <c r="J6007" s="334">
        <f>SUM(J5973:J6005)</f>
        <v>4250</v>
      </c>
      <c r="K6007" s="380"/>
      <c r="L6007" s="378"/>
      <c r="M6007" s="380"/>
      <c r="N6007" s="380"/>
      <c r="O6007" s="380"/>
      <c r="P6007" s="380"/>
      <c r="Q6007" s="380"/>
    </row>
    <row r="6008" spans="1:17" ht="15.75" thickTop="1" x14ac:dyDescent="0.2">
      <c r="A6008" s="380"/>
      <c r="B6008" s="380"/>
      <c r="C6008" s="380"/>
      <c r="D6008" s="395">
        <f>D6007-D5973</f>
        <v>-2076.6</v>
      </c>
      <c r="E6008" s="380"/>
      <c r="F6008" s="378"/>
      <c r="G6008" s="380"/>
      <c r="H6008" s="380"/>
      <c r="I6008" s="382"/>
      <c r="J6008" s="395">
        <f>J6007-J5973</f>
        <v>4250</v>
      </c>
      <c r="K6008" s="380"/>
      <c r="L6008" s="378"/>
      <c r="M6008" s="380"/>
      <c r="N6008" s="380"/>
      <c r="O6008" s="380"/>
      <c r="P6008" s="380"/>
      <c r="Q6008" s="380"/>
    </row>
    <row r="6009" spans="1:17" x14ac:dyDescent="0.2">
      <c r="A6009" s="380"/>
      <c r="B6009" s="380"/>
      <c r="C6009" s="380"/>
      <c r="D6009" s="380"/>
      <c r="E6009" s="380"/>
      <c r="F6009" s="378"/>
      <c r="G6009" s="380"/>
      <c r="H6009" s="380"/>
      <c r="I6009" s="382"/>
      <c r="J6009" s="380"/>
      <c r="K6009" s="380"/>
      <c r="L6009" s="378"/>
      <c r="M6009" s="380"/>
      <c r="N6009" s="380"/>
      <c r="O6009" s="380"/>
      <c r="P6009" s="380"/>
      <c r="Q6009" s="380"/>
    </row>
    <row r="6010" spans="1:17" x14ac:dyDescent="0.2">
      <c r="A6010" s="380"/>
      <c r="B6010" s="380"/>
      <c r="C6010" s="380"/>
      <c r="D6010" s="380"/>
      <c r="E6010" s="380"/>
      <c r="F6010" s="378"/>
      <c r="G6010" s="380"/>
      <c r="H6010" s="380"/>
      <c r="I6010" s="385"/>
      <c r="J6010" s="380"/>
      <c r="K6010" s="380"/>
      <c r="L6010" s="378"/>
      <c r="M6010" s="380"/>
      <c r="N6010" s="380"/>
      <c r="O6010" s="380"/>
      <c r="P6010" s="380"/>
      <c r="Q6010" s="380"/>
    </row>
    <row r="6011" spans="1:17" x14ac:dyDescent="0.2">
      <c r="A6011" s="334" t="s">
        <v>1845</v>
      </c>
      <c r="B6011" s="380"/>
      <c r="C6011" s="380"/>
      <c r="D6011" s="334"/>
      <c r="E6011" s="380"/>
      <c r="F6011" s="378"/>
      <c r="G6011" s="380"/>
      <c r="H6011" s="380"/>
      <c r="I6011" s="443"/>
      <c r="J6011" s="334"/>
      <c r="K6011" s="380"/>
      <c r="L6011" s="378"/>
      <c r="M6011" s="380"/>
      <c r="N6011" s="380"/>
      <c r="O6011" s="380"/>
      <c r="P6011" s="380"/>
      <c r="Q6011" s="380"/>
    </row>
    <row r="6012" spans="1:17" x14ac:dyDescent="0.2">
      <c r="A6012" s="334" t="s">
        <v>342</v>
      </c>
      <c r="B6012" s="380"/>
      <c r="C6012" s="334"/>
      <c r="D6012" s="442" t="s">
        <v>1846</v>
      </c>
      <c r="E6012" s="380"/>
      <c r="F6012" s="378"/>
      <c r="G6012" s="380"/>
      <c r="H6012" s="380"/>
      <c r="I6012" s="385"/>
      <c r="J6012" s="442" t="s">
        <v>1846</v>
      </c>
      <c r="K6012" s="380"/>
      <c r="L6012" s="378"/>
      <c r="M6012" s="380"/>
      <c r="N6012" s="380"/>
      <c r="O6012" s="380"/>
      <c r="P6012" s="380"/>
      <c r="Q6012" s="380"/>
    </row>
    <row r="6013" spans="1:17" x14ac:dyDescent="0.2">
      <c r="A6013" s="334" t="s">
        <v>342</v>
      </c>
      <c r="B6013" s="380"/>
      <c r="C6013" s="334" t="s">
        <v>342</v>
      </c>
      <c r="D6013" s="334"/>
      <c r="E6013" s="380"/>
      <c r="F6013" s="378"/>
      <c r="G6013" s="380"/>
      <c r="H6013" s="380"/>
      <c r="I6013" s="385"/>
      <c r="J6013" s="334"/>
      <c r="K6013" s="380"/>
      <c r="L6013" s="378"/>
      <c r="M6013" s="380"/>
      <c r="N6013" s="380"/>
      <c r="O6013" s="380"/>
      <c r="P6013" s="380"/>
      <c r="Q6013" s="380"/>
    </row>
    <row r="6014" spans="1:17" x14ac:dyDescent="0.2">
      <c r="A6014" s="334" t="s">
        <v>1723</v>
      </c>
      <c r="B6014" s="380"/>
      <c r="C6014" s="334" t="s">
        <v>1880</v>
      </c>
      <c r="D6014" s="334" t="s">
        <v>181</v>
      </c>
      <c r="E6014" s="380"/>
      <c r="F6014" s="378"/>
      <c r="G6014" s="380"/>
      <c r="H6014" s="380"/>
      <c r="I6014" s="382"/>
      <c r="J6014" s="334" t="s">
        <v>181</v>
      </c>
      <c r="K6014" s="380"/>
      <c r="L6014" s="378"/>
      <c r="M6014" s="380"/>
      <c r="N6014" s="380"/>
      <c r="O6014" s="380"/>
      <c r="P6014" s="380"/>
      <c r="Q6014" s="380"/>
    </row>
    <row r="6015" spans="1:17" x14ac:dyDescent="0.2">
      <c r="A6015" s="380"/>
      <c r="B6015" s="380"/>
      <c r="C6015" s="380"/>
      <c r="D6015" s="380"/>
      <c r="E6015" s="380"/>
      <c r="F6015" s="378"/>
      <c r="G6015" s="380"/>
      <c r="H6015" s="380"/>
      <c r="I6015" s="399"/>
      <c r="J6015" s="380"/>
      <c r="K6015" s="380"/>
      <c r="L6015" s="378"/>
      <c r="M6015" s="380"/>
      <c r="N6015" s="380"/>
      <c r="O6015" s="380"/>
      <c r="P6015" s="380"/>
      <c r="Q6015" s="380"/>
    </row>
    <row r="6016" spans="1:17" x14ac:dyDescent="0.2">
      <c r="A6016" s="334" t="s">
        <v>1568</v>
      </c>
      <c r="B6016" s="380"/>
      <c r="C6016" s="380" t="s">
        <v>1817</v>
      </c>
      <c r="D6016" s="377"/>
      <c r="E6016" s="380"/>
      <c r="F6016" s="378"/>
      <c r="G6016" s="380"/>
      <c r="H6016" s="380"/>
      <c r="I6016" s="399"/>
      <c r="J6016" s="377"/>
      <c r="K6016" s="380"/>
      <c r="L6016" s="378"/>
      <c r="M6016" s="380"/>
      <c r="N6016" s="380"/>
      <c r="O6016" s="380"/>
      <c r="P6016" s="380"/>
      <c r="Q6016" s="380"/>
    </row>
    <row r="6017" spans="1:17" x14ac:dyDescent="0.2">
      <c r="A6017" s="334" t="s">
        <v>1724</v>
      </c>
      <c r="B6017" s="380"/>
      <c r="C6017" s="334" t="s">
        <v>1881</v>
      </c>
      <c r="D6017" s="377">
        <v>400</v>
      </c>
      <c r="E6017" s="380"/>
      <c r="F6017" s="378"/>
      <c r="G6017" s="380"/>
      <c r="H6017" s="380"/>
      <c r="I6017" s="399"/>
      <c r="J6017" s="377">
        <v>400</v>
      </c>
      <c r="K6017" s="380"/>
      <c r="L6017" s="378"/>
      <c r="M6017" s="380"/>
      <c r="N6017" s="380"/>
      <c r="O6017" s="380"/>
      <c r="P6017" s="380"/>
      <c r="Q6017" s="380"/>
    </row>
    <row r="6018" spans="1:17" x14ac:dyDescent="0.2">
      <c r="A6018" s="334" t="s">
        <v>1961</v>
      </c>
      <c r="B6018" s="380"/>
      <c r="C6018" s="334" t="s">
        <v>9</v>
      </c>
      <c r="D6018" s="377"/>
      <c r="E6018" s="380"/>
      <c r="F6018" s="378"/>
      <c r="G6018" s="380"/>
      <c r="H6018" s="380"/>
      <c r="I6018" s="399"/>
      <c r="J6018" s="377"/>
      <c r="K6018" s="380"/>
      <c r="L6018" s="378"/>
      <c r="M6018" s="380"/>
      <c r="N6018" s="380"/>
      <c r="O6018" s="380"/>
      <c r="P6018" s="380"/>
      <c r="Q6018" s="380"/>
    </row>
    <row r="6019" spans="1:17" x14ac:dyDescent="0.2">
      <c r="A6019" s="334" t="s">
        <v>1736</v>
      </c>
      <c r="B6019" s="380"/>
      <c r="C6019" s="334" t="s">
        <v>1747</v>
      </c>
      <c r="D6019" s="377"/>
      <c r="E6019" s="380"/>
      <c r="F6019" s="378"/>
      <c r="G6019" s="380"/>
      <c r="H6019" s="380"/>
      <c r="I6019" s="399"/>
      <c r="J6019" s="377"/>
      <c r="K6019" s="380"/>
      <c r="L6019" s="378"/>
      <c r="M6019" s="380"/>
      <c r="N6019" s="380"/>
      <c r="O6019" s="380"/>
      <c r="P6019" s="380"/>
      <c r="Q6019" s="380"/>
    </row>
    <row r="6020" spans="1:17" x14ac:dyDescent="0.2">
      <c r="A6020" s="334" t="s">
        <v>1744</v>
      </c>
      <c r="B6020" s="380"/>
      <c r="C6020" s="334" t="s">
        <v>1254</v>
      </c>
      <c r="D6020" s="377"/>
      <c r="E6020" s="380"/>
      <c r="F6020" s="378"/>
      <c r="G6020" s="380"/>
      <c r="H6020" s="380"/>
      <c r="I6020" s="399"/>
      <c r="J6020" s="377"/>
      <c r="K6020" s="380"/>
      <c r="L6020" s="378"/>
      <c r="M6020" s="380"/>
      <c r="N6020" s="380"/>
      <c r="O6020" s="380"/>
      <c r="P6020" s="380"/>
      <c r="Q6020" s="380"/>
    </row>
    <row r="6021" spans="1:17" x14ac:dyDescent="0.2">
      <c r="A6021" s="334" t="s">
        <v>1582</v>
      </c>
      <c r="B6021" s="380"/>
      <c r="C6021" s="334" t="s">
        <v>3135</v>
      </c>
      <c r="D6021" s="377"/>
      <c r="E6021" s="380"/>
      <c r="F6021" s="378"/>
      <c r="G6021" s="380"/>
      <c r="H6021" s="380"/>
      <c r="I6021" s="399"/>
      <c r="J6021" s="377"/>
      <c r="K6021" s="380"/>
      <c r="L6021" s="378"/>
      <c r="M6021" s="380"/>
      <c r="N6021" s="380"/>
      <c r="O6021" s="380"/>
      <c r="P6021" s="380"/>
      <c r="Q6021" s="380"/>
    </row>
    <row r="6022" spans="1:17" x14ac:dyDescent="0.2">
      <c r="A6022" s="384" t="s">
        <v>1725</v>
      </c>
      <c r="B6022" s="380"/>
      <c r="C6022" s="334" t="s">
        <v>1890</v>
      </c>
      <c r="D6022" s="377">
        <v>50</v>
      </c>
      <c r="E6022" s="380"/>
      <c r="F6022" s="378"/>
      <c r="G6022" s="380"/>
      <c r="H6022" s="380"/>
      <c r="I6022" s="399"/>
      <c r="J6022" s="377">
        <v>50</v>
      </c>
      <c r="K6022" s="380"/>
      <c r="L6022" s="378"/>
      <c r="M6022" s="380"/>
      <c r="N6022" s="380"/>
      <c r="O6022" s="380"/>
      <c r="P6022" s="380"/>
      <c r="Q6022" s="380"/>
    </row>
    <row r="6023" spans="1:17" x14ac:dyDescent="0.2">
      <c r="A6023" s="334" t="s">
        <v>1745</v>
      </c>
      <c r="B6023" s="380"/>
      <c r="C6023" s="334" t="s">
        <v>1887</v>
      </c>
      <c r="D6023" s="377"/>
      <c r="E6023" s="380"/>
      <c r="F6023" s="378"/>
      <c r="G6023" s="380"/>
      <c r="H6023" s="380"/>
      <c r="I6023" s="399"/>
      <c r="J6023" s="377"/>
      <c r="K6023" s="380"/>
      <c r="L6023" s="378"/>
      <c r="M6023" s="380"/>
      <c r="N6023" s="380"/>
      <c r="O6023" s="380"/>
      <c r="P6023" s="380"/>
      <c r="Q6023" s="380"/>
    </row>
    <row r="6024" spans="1:17" x14ac:dyDescent="0.2">
      <c r="A6024" s="334" t="s">
        <v>1906</v>
      </c>
      <c r="B6024" s="380"/>
      <c r="C6024" s="334" t="s">
        <v>39</v>
      </c>
      <c r="D6024" s="377"/>
      <c r="E6024" s="380"/>
      <c r="F6024" s="378"/>
      <c r="G6024" s="380"/>
      <c r="H6024" s="380"/>
      <c r="I6024" s="399"/>
      <c r="J6024" s="377"/>
      <c r="K6024" s="380"/>
      <c r="L6024" s="378"/>
      <c r="M6024" s="380"/>
      <c r="N6024" s="380"/>
      <c r="O6024" s="380"/>
      <c r="P6024" s="380"/>
      <c r="Q6024" s="380"/>
    </row>
    <row r="6025" spans="1:17" x14ac:dyDescent="0.2">
      <c r="A6025" s="334" t="s">
        <v>1576</v>
      </c>
      <c r="B6025" s="380"/>
      <c r="C6025" s="334" t="s">
        <v>1590</v>
      </c>
      <c r="D6025" s="377"/>
      <c r="E6025" s="380"/>
      <c r="F6025" s="378"/>
      <c r="G6025" s="380"/>
      <c r="H6025" s="380"/>
      <c r="I6025" s="399"/>
      <c r="J6025" s="377"/>
      <c r="K6025" s="380"/>
      <c r="L6025" s="378"/>
      <c r="M6025" s="380"/>
      <c r="N6025" s="380"/>
      <c r="O6025" s="380"/>
      <c r="P6025" s="380"/>
      <c r="Q6025" s="380"/>
    </row>
    <row r="6026" spans="1:17" x14ac:dyDescent="0.2">
      <c r="A6026" s="334" t="s">
        <v>1737</v>
      </c>
      <c r="B6026" s="380"/>
      <c r="C6026" s="334" t="s">
        <v>1984</v>
      </c>
      <c r="D6026" s="377">
        <v>300</v>
      </c>
      <c r="E6026" s="380"/>
      <c r="F6026" s="378"/>
      <c r="G6026" s="380"/>
      <c r="H6026" s="380"/>
      <c r="I6026" s="399"/>
      <c r="J6026" s="377">
        <v>300</v>
      </c>
      <c r="K6026" s="380"/>
      <c r="L6026" s="378"/>
      <c r="M6026" s="380"/>
      <c r="N6026" s="380"/>
      <c r="O6026" s="380"/>
      <c r="P6026" s="380"/>
      <c r="Q6026" s="380"/>
    </row>
    <row r="6027" spans="1:17" x14ac:dyDescent="0.2">
      <c r="A6027" s="384" t="s">
        <v>1726</v>
      </c>
      <c r="B6027" s="380"/>
      <c r="C6027" s="334" t="s">
        <v>1117</v>
      </c>
      <c r="D6027" s="377"/>
      <c r="E6027" s="380"/>
      <c r="F6027" s="378"/>
      <c r="G6027" s="380"/>
      <c r="H6027" s="380"/>
      <c r="I6027" s="399"/>
      <c r="J6027" s="377"/>
      <c r="K6027" s="380"/>
      <c r="L6027" s="378"/>
      <c r="M6027" s="380"/>
      <c r="N6027" s="380"/>
      <c r="O6027" s="380"/>
      <c r="P6027" s="380"/>
      <c r="Q6027" s="380"/>
    </row>
    <row r="6028" spans="1:17" x14ac:dyDescent="0.2">
      <c r="A6028" s="384" t="s">
        <v>1751</v>
      </c>
      <c r="B6028" s="380"/>
      <c r="C6028" s="334" t="s">
        <v>3138</v>
      </c>
      <c r="D6028" s="377"/>
      <c r="E6028" s="380"/>
      <c r="F6028" s="378"/>
      <c r="G6028" s="380"/>
      <c r="H6028" s="380"/>
      <c r="I6028" s="399"/>
      <c r="J6028" s="377"/>
      <c r="K6028" s="380"/>
      <c r="L6028" s="378"/>
      <c r="M6028" s="380"/>
      <c r="N6028" s="380"/>
      <c r="O6028" s="380"/>
      <c r="P6028" s="380"/>
      <c r="Q6028" s="380"/>
    </row>
    <row r="6029" spans="1:17" x14ac:dyDescent="0.2">
      <c r="A6029" s="334" t="s">
        <v>1752</v>
      </c>
      <c r="B6029" s="380"/>
      <c r="C6029" s="334" t="s">
        <v>367</v>
      </c>
      <c r="D6029" s="377"/>
      <c r="E6029" s="380"/>
      <c r="F6029" s="378"/>
      <c r="G6029" s="380"/>
      <c r="H6029" s="380"/>
      <c r="I6029" s="399"/>
      <c r="J6029" s="377"/>
      <c r="K6029" s="380"/>
      <c r="L6029" s="378"/>
      <c r="M6029" s="380"/>
      <c r="N6029" s="380"/>
      <c r="O6029" s="380"/>
      <c r="P6029" s="380"/>
      <c r="Q6029" s="380"/>
    </row>
    <row r="6030" spans="1:17" x14ac:dyDescent="0.2">
      <c r="A6030" s="384" t="s">
        <v>1957</v>
      </c>
      <c r="B6030" s="380"/>
      <c r="C6030" s="334" t="s">
        <v>49</v>
      </c>
      <c r="D6030" s="377">
        <v>2400</v>
      </c>
      <c r="E6030" s="380"/>
      <c r="F6030" s="378"/>
      <c r="G6030" s="380"/>
      <c r="H6030" s="380"/>
      <c r="I6030" s="399"/>
      <c r="J6030" s="377">
        <v>2400</v>
      </c>
      <c r="K6030" s="380"/>
      <c r="L6030" s="378"/>
      <c r="M6030" s="380"/>
      <c r="N6030" s="380"/>
      <c r="O6030" s="380"/>
      <c r="P6030" s="380"/>
      <c r="Q6030" s="380"/>
    </row>
    <row r="6031" spans="1:17" x14ac:dyDescent="0.2">
      <c r="A6031" s="334" t="s">
        <v>1578</v>
      </c>
      <c r="B6031" s="380"/>
      <c r="C6031" s="334" t="s">
        <v>22</v>
      </c>
      <c r="D6031" s="377"/>
      <c r="E6031" s="380"/>
      <c r="F6031" s="378"/>
      <c r="G6031" s="380"/>
      <c r="H6031" s="380"/>
      <c r="I6031" s="399"/>
      <c r="J6031" s="377"/>
      <c r="K6031" s="380"/>
      <c r="L6031" s="378"/>
      <c r="M6031" s="380"/>
      <c r="N6031" s="380"/>
      <c r="O6031" s="380"/>
      <c r="P6031" s="380"/>
      <c r="Q6031" s="380"/>
    </row>
    <row r="6032" spans="1:17" x14ac:dyDescent="0.2">
      <c r="A6032" s="334" t="s">
        <v>1738</v>
      </c>
      <c r="B6032" s="380"/>
      <c r="C6032" s="334" t="s">
        <v>1591</v>
      </c>
      <c r="D6032" s="377">
        <v>100</v>
      </c>
      <c r="E6032" s="380"/>
      <c r="F6032" s="378"/>
      <c r="G6032" s="380"/>
      <c r="H6032" s="380"/>
      <c r="I6032" s="399"/>
      <c r="J6032" s="377">
        <v>100</v>
      </c>
      <c r="K6032" s="380"/>
      <c r="L6032" s="378"/>
      <c r="M6032" s="380"/>
      <c r="N6032" s="380"/>
      <c r="O6032" s="380"/>
      <c r="P6032" s="380"/>
      <c r="Q6032" s="380"/>
    </row>
    <row r="6033" spans="1:17" x14ac:dyDescent="0.2">
      <c r="A6033" s="334" t="s">
        <v>1727</v>
      </c>
      <c r="B6033" s="380"/>
      <c r="C6033" s="334" t="s">
        <v>307</v>
      </c>
      <c r="D6033" s="377">
        <v>200</v>
      </c>
      <c r="E6033" s="380"/>
      <c r="F6033" s="378"/>
      <c r="G6033" s="380"/>
      <c r="H6033" s="380"/>
      <c r="I6033" s="399"/>
      <c r="J6033" s="377">
        <v>200</v>
      </c>
      <c r="K6033" s="380"/>
      <c r="L6033" s="378"/>
      <c r="M6033" s="380"/>
      <c r="N6033" s="380"/>
      <c r="O6033" s="380"/>
      <c r="P6033" s="380"/>
      <c r="Q6033" s="380"/>
    </row>
    <row r="6034" spans="1:17" x14ac:dyDescent="0.2">
      <c r="A6034" s="334" t="s">
        <v>1728</v>
      </c>
      <c r="B6034" s="380"/>
      <c r="C6034" s="334" t="s">
        <v>310</v>
      </c>
      <c r="D6034" s="377">
        <v>200</v>
      </c>
      <c r="E6034" s="380"/>
      <c r="F6034" s="378"/>
      <c r="G6034" s="380"/>
      <c r="H6034" s="380"/>
      <c r="I6034" s="399"/>
      <c r="J6034" s="377">
        <v>200</v>
      </c>
      <c r="K6034" s="380"/>
      <c r="L6034" s="378"/>
      <c r="M6034" s="380"/>
      <c r="N6034" s="380"/>
      <c r="O6034" s="380"/>
      <c r="P6034" s="380"/>
      <c r="Q6034" s="380"/>
    </row>
    <row r="6035" spans="1:17" x14ac:dyDescent="0.2">
      <c r="A6035" s="334" t="s">
        <v>1729</v>
      </c>
      <c r="B6035" s="380"/>
      <c r="C6035" s="380" t="s">
        <v>1551</v>
      </c>
      <c r="D6035" s="377">
        <v>-810</v>
      </c>
      <c r="E6035" s="380"/>
      <c r="F6035" s="378"/>
      <c r="G6035" s="380"/>
      <c r="H6035" s="380"/>
      <c r="I6035" s="399"/>
      <c r="J6035" s="377">
        <v>25</v>
      </c>
      <c r="K6035" s="380"/>
      <c r="L6035" s="378"/>
      <c r="M6035" s="380"/>
      <c r="N6035" s="380"/>
      <c r="O6035" s="380"/>
      <c r="P6035" s="380"/>
      <c r="Q6035" s="380"/>
    </row>
    <row r="6036" spans="1:17" x14ac:dyDescent="0.2">
      <c r="A6036" s="334" t="s">
        <v>1735</v>
      </c>
      <c r="B6036" s="380"/>
      <c r="C6036" s="380" t="s">
        <v>194</v>
      </c>
      <c r="D6036" s="377"/>
      <c r="E6036" s="380"/>
      <c r="F6036" s="378"/>
      <c r="G6036" s="380"/>
      <c r="H6036" s="380"/>
      <c r="I6036" s="399"/>
      <c r="J6036" s="377">
        <v>25</v>
      </c>
      <c r="K6036" s="380"/>
      <c r="L6036" s="378"/>
      <c r="M6036" s="380"/>
      <c r="N6036" s="380"/>
      <c r="O6036" s="380"/>
      <c r="P6036" s="380"/>
      <c r="Q6036" s="380"/>
    </row>
    <row r="6037" spans="1:17" x14ac:dyDescent="0.2">
      <c r="A6037" s="334" t="s">
        <v>1741</v>
      </c>
      <c r="B6037" s="380"/>
      <c r="C6037" s="334" t="s">
        <v>1748</v>
      </c>
      <c r="D6037" s="377"/>
      <c r="E6037" s="380"/>
      <c r="F6037" s="378"/>
      <c r="G6037" s="380"/>
      <c r="H6037" s="380"/>
      <c r="I6037" s="399"/>
      <c r="J6037" s="377"/>
      <c r="K6037" s="380"/>
      <c r="L6037" s="378"/>
      <c r="M6037" s="380"/>
      <c r="N6037" s="380"/>
      <c r="O6037" s="380"/>
      <c r="P6037" s="380"/>
      <c r="Q6037" s="380"/>
    </row>
    <row r="6038" spans="1:17" x14ac:dyDescent="0.2">
      <c r="A6038" s="334" t="s">
        <v>1742</v>
      </c>
      <c r="B6038" s="380"/>
      <c r="C6038" s="334" t="s">
        <v>1553</v>
      </c>
      <c r="D6038" s="377"/>
      <c r="E6038" s="380"/>
      <c r="F6038" s="378"/>
      <c r="G6038" s="380"/>
      <c r="H6038" s="380"/>
      <c r="I6038" s="399"/>
      <c r="J6038" s="377"/>
      <c r="K6038" s="380"/>
      <c r="L6038" s="378"/>
      <c r="M6038" s="380"/>
      <c r="N6038" s="380"/>
      <c r="O6038" s="380"/>
      <c r="P6038" s="380"/>
      <c r="Q6038" s="380"/>
    </row>
    <row r="6039" spans="1:17" x14ac:dyDescent="0.2">
      <c r="A6039" s="384" t="s">
        <v>1754</v>
      </c>
      <c r="B6039" s="380"/>
      <c r="C6039" s="334" t="s">
        <v>1929</v>
      </c>
      <c r="D6039" s="377"/>
      <c r="E6039" s="380"/>
      <c r="F6039" s="378"/>
      <c r="G6039" s="380"/>
      <c r="H6039" s="380"/>
      <c r="I6039" s="399"/>
      <c r="J6039" s="377"/>
      <c r="K6039" s="380"/>
      <c r="L6039" s="378"/>
      <c r="M6039" s="380"/>
      <c r="N6039" s="380"/>
      <c r="O6039" s="380"/>
      <c r="P6039" s="380"/>
      <c r="Q6039" s="380"/>
    </row>
    <row r="6040" spans="1:17" x14ac:dyDescent="0.2">
      <c r="A6040" s="334" t="s">
        <v>1584</v>
      </c>
      <c r="B6040" s="380"/>
      <c r="C6040" s="334" t="s">
        <v>0</v>
      </c>
      <c r="D6040" s="377"/>
      <c r="E6040" s="380"/>
      <c r="F6040" s="378"/>
      <c r="G6040" s="380"/>
      <c r="H6040" s="380"/>
      <c r="I6040" s="399"/>
      <c r="J6040" s="377"/>
      <c r="K6040" s="380"/>
      <c r="L6040" s="378"/>
      <c r="M6040" s="380"/>
      <c r="N6040" s="380"/>
      <c r="O6040" s="380"/>
      <c r="P6040" s="380"/>
      <c r="Q6040" s="380"/>
    </row>
    <row r="6041" spans="1:17" x14ac:dyDescent="0.2">
      <c r="A6041" s="334" t="s">
        <v>1730</v>
      </c>
      <c r="B6041" s="380"/>
      <c r="C6041" s="334" t="s">
        <v>1985</v>
      </c>
      <c r="D6041" s="377"/>
      <c r="E6041" s="380"/>
      <c r="F6041" s="378"/>
      <c r="G6041" s="380"/>
      <c r="H6041" s="380"/>
      <c r="I6041" s="399"/>
      <c r="J6041" s="377"/>
      <c r="K6041" s="380"/>
      <c r="L6041" s="378"/>
      <c r="M6041" s="380"/>
      <c r="N6041" s="380"/>
      <c r="O6041" s="380"/>
      <c r="P6041" s="380"/>
      <c r="Q6041" s="380"/>
    </row>
    <row r="6042" spans="1:17" x14ac:dyDescent="0.2">
      <c r="A6042" s="334" t="s">
        <v>1566</v>
      </c>
      <c r="B6042" s="380"/>
      <c r="C6042" s="334" t="s">
        <v>366</v>
      </c>
      <c r="D6042" s="377">
        <v>400</v>
      </c>
      <c r="E6042" s="380"/>
      <c r="F6042" s="378"/>
      <c r="G6042" s="380"/>
      <c r="H6042" s="380"/>
      <c r="I6042" s="399"/>
      <c r="J6042" s="377">
        <v>400</v>
      </c>
      <c r="K6042" s="380"/>
      <c r="L6042" s="378"/>
      <c r="M6042" s="380"/>
      <c r="N6042" s="380"/>
      <c r="O6042" s="380"/>
      <c r="P6042" s="380"/>
      <c r="Q6042" s="380"/>
    </row>
    <row r="6043" spans="1:17" x14ac:dyDescent="0.2">
      <c r="A6043" s="334" t="s">
        <v>1587</v>
      </c>
      <c r="B6043" s="380"/>
      <c r="C6043" s="334" t="s">
        <v>34</v>
      </c>
      <c r="D6043" s="377"/>
      <c r="E6043" s="380"/>
      <c r="F6043" s="378"/>
      <c r="G6043" s="380"/>
      <c r="H6043" s="380"/>
      <c r="I6043" s="399"/>
      <c r="J6043" s="377"/>
      <c r="K6043" s="380"/>
      <c r="L6043" s="378"/>
      <c r="M6043" s="380"/>
      <c r="N6043" s="380"/>
      <c r="O6043" s="380"/>
      <c r="P6043" s="380"/>
      <c r="Q6043" s="380"/>
    </row>
    <row r="6044" spans="1:17" x14ac:dyDescent="0.2">
      <c r="A6044" s="334" t="s">
        <v>1903</v>
      </c>
      <c r="B6044" s="380"/>
      <c r="C6044" s="334" t="s">
        <v>35</v>
      </c>
      <c r="D6044" s="377"/>
      <c r="E6044" s="380"/>
      <c r="F6044" s="378"/>
      <c r="G6044" s="380"/>
      <c r="H6044" s="380"/>
      <c r="I6044" s="399"/>
      <c r="J6044" s="377"/>
      <c r="K6044" s="380"/>
      <c r="L6044" s="378"/>
      <c r="M6044" s="380"/>
      <c r="N6044" s="380"/>
      <c r="O6044" s="380"/>
      <c r="P6044" s="380"/>
      <c r="Q6044" s="380"/>
    </row>
    <row r="6045" spans="1:17" x14ac:dyDescent="0.2">
      <c r="A6045" s="334" t="s">
        <v>1962</v>
      </c>
      <c r="B6045" s="380"/>
      <c r="C6045" s="380" t="s">
        <v>572</v>
      </c>
      <c r="D6045" s="377"/>
      <c r="E6045" s="380"/>
      <c r="F6045" s="378"/>
      <c r="G6045" s="380"/>
      <c r="H6045" s="380"/>
      <c r="I6045" s="399"/>
      <c r="J6045" s="377"/>
      <c r="K6045" s="380"/>
      <c r="L6045" s="378"/>
      <c r="M6045" s="380"/>
      <c r="N6045" s="380"/>
      <c r="O6045" s="380"/>
      <c r="P6045" s="380"/>
      <c r="Q6045" s="380"/>
    </row>
    <row r="6046" spans="1:17" x14ac:dyDescent="0.2">
      <c r="A6046" s="334" t="s">
        <v>1567</v>
      </c>
      <c r="B6046" s="380"/>
      <c r="C6046" s="334" t="s">
        <v>3142</v>
      </c>
      <c r="D6046" s="377"/>
      <c r="E6046" s="380"/>
      <c r="F6046" s="378"/>
      <c r="G6046" s="380"/>
      <c r="H6046" s="380"/>
      <c r="I6046" s="399"/>
      <c r="J6046" s="377"/>
      <c r="K6046" s="380"/>
      <c r="L6046" s="378"/>
      <c r="M6046" s="380"/>
      <c r="N6046" s="380"/>
      <c r="O6046" s="380"/>
      <c r="P6046" s="380"/>
      <c r="Q6046" s="380"/>
    </row>
    <row r="6047" spans="1:17" x14ac:dyDescent="0.2">
      <c r="A6047" s="380"/>
      <c r="B6047" s="380"/>
      <c r="C6047" s="380"/>
      <c r="D6047" s="394"/>
      <c r="E6047" s="380"/>
      <c r="F6047" s="378"/>
      <c r="G6047" s="380"/>
      <c r="H6047" s="380"/>
      <c r="I6047" s="385"/>
      <c r="J6047" s="394"/>
      <c r="K6047" s="380"/>
      <c r="L6047" s="378"/>
      <c r="M6047" s="380"/>
      <c r="N6047" s="380"/>
      <c r="O6047" s="380"/>
      <c r="P6047" s="380"/>
      <c r="Q6047" s="380"/>
    </row>
    <row r="6048" spans="1:17" x14ac:dyDescent="0.2">
      <c r="A6048" s="380"/>
      <c r="B6048" s="380"/>
      <c r="C6048" s="380"/>
      <c r="D6048" s="334">
        <f>SUM(D6016:D6046)</f>
        <v>3240</v>
      </c>
      <c r="E6048" s="380"/>
      <c r="F6048" s="378"/>
      <c r="G6048" s="380"/>
      <c r="H6048" s="380"/>
      <c r="I6048" s="399"/>
      <c r="J6048" s="334">
        <f>SUM(J6016:J6046)</f>
        <v>4100</v>
      </c>
      <c r="K6048" s="380"/>
      <c r="L6048" s="378"/>
      <c r="M6048" s="380"/>
      <c r="N6048" s="380"/>
      <c r="O6048" s="380"/>
      <c r="P6048" s="380"/>
      <c r="Q6048" s="380"/>
    </row>
    <row r="6049" spans="1:17" ht="15.75" thickTop="1" x14ac:dyDescent="0.2">
      <c r="A6049" s="380"/>
      <c r="B6049" s="380"/>
      <c r="C6049" s="380"/>
      <c r="D6049" s="395">
        <f>D6048-D6016</f>
        <v>3240</v>
      </c>
      <c r="E6049" s="380"/>
      <c r="F6049" s="378"/>
      <c r="G6049" s="380"/>
      <c r="H6049" s="380"/>
      <c r="I6049" s="382"/>
      <c r="J6049" s="395">
        <f>J6048-J6016</f>
        <v>4100</v>
      </c>
      <c r="K6049" s="380"/>
      <c r="L6049" s="378"/>
      <c r="M6049" s="380"/>
      <c r="N6049" s="380"/>
      <c r="O6049" s="380"/>
      <c r="P6049" s="380"/>
      <c r="Q6049" s="380"/>
    </row>
    <row r="6050" spans="1:17" x14ac:dyDescent="0.2">
      <c r="A6050" s="380"/>
      <c r="B6050" s="380"/>
      <c r="C6050" s="380"/>
      <c r="D6050" s="380"/>
      <c r="E6050" s="380"/>
      <c r="F6050" s="378"/>
      <c r="G6050" s="380"/>
      <c r="H6050" s="380"/>
      <c r="I6050" s="385"/>
      <c r="J6050" s="380"/>
      <c r="K6050" s="380"/>
      <c r="L6050" s="378"/>
      <c r="M6050" s="380"/>
      <c r="N6050" s="380"/>
      <c r="O6050" s="380"/>
      <c r="P6050" s="380"/>
      <c r="Q6050" s="380"/>
    </row>
    <row r="6051" spans="1:17" x14ac:dyDescent="0.2">
      <c r="A6051" s="334" t="s">
        <v>1849</v>
      </c>
      <c r="B6051" s="380"/>
      <c r="C6051" s="380"/>
      <c r="D6051" s="334"/>
      <c r="E6051" s="380"/>
      <c r="F6051" s="378"/>
      <c r="G6051" s="380"/>
      <c r="H6051" s="380"/>
      <c r="I6051" s="443"/>
      <c r="J6051" s="334"/>
      <c r="K6051" s="380"/>
      <c r="L6051" s="378"/>
      <c r="M6051" s="380"/>
      <c r="N6051" s="380"/>
      <c r="O6051" s="380"/>
      <c r="P6051" s="380"/>
      <c r="Q6051" s="380"/>
    </row>
    <row r="6052" spans="1:17" x14ac:dyDescent="0.2">
      <c r="A6052" s="334" t="s">
        <v>342</v>
      </c>
      <c r="B6052" s="380"/>
      <c r="C6052" s="334"/>
      <c r="D6052" s="442" t="s">
        <v>1850</v>
      </c>
      <c r="E6052" s="380"/>
      <c r="F6052" s="378"/>
      <c r="G6052" s="380"/>
      <c r="H6052" s="380"/>
      <c r="I6052" s="385"/>
      <c r="J6052" s="442" t="s">
        <v>1850</v>
      </c>
      <c r="K6052" s="380"/>
      <c r="L6052" s="378"/>
      <c r="M6052" s="380"/>
      <c r="N6052" s="380"/>
      <c r="O6052" s="380"/>
      <c r="P6052" s="380"/>
      <c r="Q6052" s="380"/>
    </row>
    <row r="6053" spans="1:17" x14ac:dyDescent="0.2">
      <c r="A6053" s="334" t="s">
        <v>342</v>
      </c>
      <c r="B6053" s="380"/>
      <c r="C6053" s="334" t="s">
        <v>342</v>
      </c>
      <c r="D6053" s="334"/>
      <c r="E6053" s="380"/>
      <c r="F6053" s="378"/>
      <c r="G6053" s="380"/>
      <c r="H6053" s="380"/>
      <c r="I6053" s="385"/>
      <c r="J6053" s="334"/>
      <c r="K6053" s="380"/>
      <c r="L6053" s="378"/>
      <c r="M6053" s="380"/>
      <c r="N6053" s="380"/>
      <c r="O6053" s="380"/>
      <c r="P6053" s="380"/>
      <c r="Q6053" s="380"/>
    </row>
    <row r="6054" spans="1:17" x14ac:dyDescent="0.2">
      <c r="A6054" s="334" t="s">
        <v>1723</v>
      </c>
      <c r="B6054" s="380"/>
      <c r="C6054" s="334" t="s">
        <v>1880</v>
      </c>
      <c r="D6054" s="334" t="s">
        <v>181</v>
      </c>
      <c r="E6054" s="380"/>
      <c r="F6054" s="378"/>
      <c r="G6054" s="380"/>
      <c r="H6054" s="380"/>
      <c r="I6054" s="382"/>
      <c r="J6054" s="334" t="s">
        <v>181</v>
      </c>
      <c r="K6054" s="380"/>
      <c r="L6054" s="378"/>
      <c r="M6054" s="380"/>
      <c r="N6054" s="380"/>
      <c r="O6054" s="380"/>
      <c r="P6054" s="380"/>
      <c r="Q6054" s="380"/>
    </row>
    <row r="6055" spans="1:17" x14ac:dyDescent="0.2">
      <c r="A6055" s="380"/>
      <c r="B6055" s="380"/>
      <c r="C6055" s="380"/>
      <c r="D6055" s="380"/>
      <c r="E6055" s="380"/>
      <c r="F6055" s="378"/>
      <c r="G6055" s="380"/>
      <c r="H6055" s="380"/>
      <c r="I6055" s="399"/>
      <c r="J6055" s="380"/>
      <c r="K6055" s="380"/>
      <c r="L6055" s="378"/>
      <c r="M6055" s="380"/>
      <c r="N6055" s="380"/>
      <c r="O6055" s="380"/>
      <c r="P6055" s="380"/>
      <c r="Q6055" s="380"/>
    </row>
    <row r="6056" spans="1:17" x14ac:dyDescent="0.2">
      <c r="A6056" s="384" t="s">
        <v>1953</v>
      </c>
      <c r="B6056" s="380"/>
      <c r="C6056" s="334" t="s">
        <v>193</v>
      </c>
      <c r="D6056" s="377">
        <v>10000</v>
      </c>
      <c r="E6056" s="380"/>
      <c r="F6056" s="378"/>
      <c r="G6056" s="380"/>
      <c r="H6056" s="380"/>
      <c r="I6056" s="399"/>
      <c r="J6056" s="377">
        <v>10000</v>
      </c>
      <c r="K6056" s="380"/>
      <c r="L6056" s="378"/>
      <c r="M6056" s="380"/>
      <c r="N6056" s="380"/>
      <c r="O6056" s="380"/>
      <c r="P6056" s="380"/>
      <c r="Q6056" s="380"/>
    </row>
    <row r="6057" spans="1:17" x14ac:dyDescent="0.2">
      <c r="A6057" s="334" t="s">
        <v>1724</v>
      </c>
      <c r="B6057" s="380"/>
      <c r="C6057" s="334" t="s">
        <v>1881</v>
      </c>
      <c r="D6057" s="377">
        <v>750</v>
      </c>
      <c r="E6057" s="380"/>
      <c r="F6057" s="378"/>
      <c r="G6057" s="380"/>
      <c r="H6057" s="380"/>
      <c r="I6057" s="399"/>
      <c r="J6057" s="377">
        <v>750</v>
      </c>
      <c r="K6057" s="380"/>
      <c r="L6057" s="378"/>
      <c r="M6057" s="380"/>
      <c r="N6057" s="380"/>
      <c r="O6057" s="380"/>
      <c r="P6057" s="380"/>
      <c r="Q6057" s="380"/>
    </row>
    <row r="6058" spans="1:17" x14ac:dyDescent="0.2">
      <c r="A6058" s="334" t="s">
        <v>1961</v>
      </c>
      <c r="B6058" s="380"/>
      <c r="C6058" s="334" t="s">
        <v>9</v>
      </c>
      <c r="D6058" s="377"/>
      <c r="E6058" s="380"/>
      <c r="F6058" s="378"/>
      <c r="G6058" s="380"/>
      <c r="H6058" s="380"/>
      <c r="I6058" s="399"/>
      <c r="J6058" s="377"/>
      <c r="K6058" s="380"/>
      <c r="L6058" s="378"/>
      <c r="M6058" s="380"/>
      <c r="N6058" s="380"/>
      <c r="O6058" s="380"/>
      <c r="P6058" s="380"/>
      <c r="Q6058" s="380"/>
    </row>
    <row r="6059" spans="1:17" x14ac:dyDescent="0.2">
      <c r="A6059" s="334" t="s">
        <v>1736</v>
      </c>
      <c r="B6059" s="380"/>
      <c r="C6059" s="334" t="s">
        <v>1747</v>
      </c>
      <c r="D6059" s="377"/>
      <c r="E6059" s="380"/>
      <c r="F6059" s="378"/>
      <c r="G6059" s="380"/>
      <c r="H6059" s="380"/>
      <c r="I6059" s="399"/>
      <c r="J6059" s="377"/>
      <c r="K6059" s="380"/>
      <c r="L6059" s="378"/>
      <c r="M6059" s="380"/>
      <c r="N6059" s="380"/>
      <c r="O6059" s="380"/>
      <c r="P6059" s="380"/>
      <c r="Q6059" s="380"/>
    </row>
    <row r="6060" spans="1:17" x14ac:dyDescent="0.2">
      <c r="A6060" s="334" t="s">
        <v>1744</v>
      </c>
      <c r="B6060" s="380"/>
      <c r="C6060" s="334" t="s">
        <v>1254</v>
      </c>
      <c r="D6060" s="377"/>
      <c r="E6060" s="380"/>
      <c r="F6060" s="378"/>
      <c r="G6060" s="380"/>
      <c r="H6060" s="380"/>
      <c r="I6060" s="399"/>
      <c r="J6060" s="377"/>
      <c r="K6060" s="380"/>
      <c r="L6060" s="378"/>
      <c r="M6060" s="380"/>
      <c r="N6060" s="380"/>
      <c r="O6060" s="380"/>
      <c r="P6060" s="380"/>
      <c r="Q6060" s="380"/>
    </row>
    <row r="6061" spans="1:17" x14ac:dyDescent="0.2">
      <c r="A6061" s="334" t="s">
        <v>1582</v>
      </c>
      <c r="B6061" s="380"/>
      <c r="C6061" s="334" t="s">
        <v>3135</v>
      </c>
      <c r="D6061" s="377"/>
      <c r="E6061" s="380"/>
      <c r="F6061" s="378"/>
      <c r="G6061" s="380"/>
      <c r="H6061" s="380"/>
      <c r="I6061" s="399"/>
      <c r="J6061" s="377"/>
      <c r="K6061" s="380"/>
      <c r="L6061" s="378"/>
      <c r="M6061" s="380"/>
      <c r="N6061" s="380"/>
      <c r="O6061" s="380"/>
      <c r="P6061" s="380"/>
      <c r="Q6061" s="380"/>
    </row>
    <row r="6062" spans="1:17" x14ac:dyDescent="0.2">
      <c r="A6062" s="384" t="s">
        <v>1725</v>
      </c>
      <c r="B6062" s="380"/>
      <c r="C6062" s="334" t="s">
        <v>1890</v>
      </c>
      <c r="D6062" s="377"/>
      <c r="E6062" s="380"/>
      <c r="F6062" s="378"/>
      <c r="G6062" s="380"/>
      <c r="H6062" s="380"/>
      <c r="I6062" s="399"/>
      <c r="J6062" s="377"/>
      <c r="K6062" s="380"/>
      <c r="L6062" s="378"/>
      <c r="M6062" s="380"/>
      <c r="N6062" s="380"/>
      <c r="O6062" s="380"/>
      <c r="P6062" s="380"/>
      <c r="Q6062" s="380"/>
    </row>
    <row r="6063" spans="1:17" x14ac:dyDescent="0.2">
      <c r="A6063" s="334" t="s">
        <v>1745</v>
      </c>
      <c r="B6063" s="380"/>
      <c r="C6063" s="334" t="s">
        <v>1887</v>
      </c>
      <c r="D6063" s="377"/>
      <c r="E6063" s="380"/>
      <c r="F6063" s="378"/>
      <c r="G6063" s="380"/>
      <c r="H6063" s="380"/>
      <c r="I6063" s="399"/>
      <c r="J6063" s="377"/>
      <c r="K6063" s="380"/>
      <c r="L6063" s="378"/>
      <c r="M6063" s="380"/>
      <c r="N6063" s="380"/>
      <c r="O6063" s="380"/>
      <c r="P6063" s="380"/>
      <c r="Q6063" s="380"/>
    </row>
    <row r="6064" spans="1:17" x14ac:dyDescent="0.2">
      <c r="A6064" s="334" t="s">
        <v>1906</v>
      </c>
      <c r="B6064" s="380"/>
      <c r="C6064" s="334" t="s">
        <v>39</v>
      </c>
      <c r="D6064" s="377"/>
      <c r="E6064" s="380"/>
      <c r="F6064" s="378"/>
      <c r="G6064" s="380"/>
      <c r="H6064" s="380"/>
      <c r="I6064" s="399"/>
      <c r="J6064" s="377"/>
      <c r="K6064" s="380"/>
      <c r="L6064" s="378"/>
      <c r="M6064" s="380"/>
      <c r="N6064" s="380"/>
      <c r="O6064" s="380"/>
      <c r="P6064" s="380"/>
      <c r="Q6064" s="380"/>
    </row>
    <row r="6065" spans="1:17" x14ac:dyDescent="0.2">
      <c r="A6065" s="334" t="s">
        <v>1576</v>
      </c>
      <c r="B6065" s="380"/>
      <c r="C6065" s="334" t="s">
        <v>1590</v>
      </c>
      <c r="D6065" s="377"/>
      <c r="E6065" s="380"/>
      <c r="F6065" s="378"/>
      <c r="G6065" s="380"/>
      <c r="H6065" s="380"/>
      <c r="I6065" s="399"/>
      <c r="J6065" s="377"/>
      <c r="K6065" s="380"/>
      <c r="L6065" s="378"/>
      <c r="M6065" s="380"/>
      <c r="N6065" s="380"/>
      <c r="O6065" s="380"/>
      <c r="P6065" s="380"/>
      <c r="Q6065" s="380"/>
    </row>
    <row r="6066" spans="1:17" x14ac:dyDescent="0.2">
      <c r="A6066" s="334" t="s">
        <v>1737</v>
      </c>
      <c r="B6066" s="380"/>
      <c r="C6066" s="334" t="s">
        <v>1984</v>
      </c>
      <c r="D6066" s="377"/>
      <c r="E6066" s="380"/>
      <c r="F6066" s="378"/>
      <c r="G6066" s="380"/>
      <c r="H6066" s="380"/>
      <c r="I6066" s="399"/>
      <c r="J6066" s="377"/>
      <c r="K6066" s="380"/>
      <c r="L6066" s="378"/>
      <c r="M6066" s="380"/>
      <c r="N6066" s="380"/>
      <c r="O6066" s="380"/>
      <c r="P6066" s="380"/>
      <c r="Q6066" s="380"/>
    </row>
    <row r="6067" spans="1:17" x14ac:dyDescent="0.2">
      <c r="A6067" s="384" t="s">
        <v>1726</v>
      </c>
      <c r="B6067" s="380"/>
      <c r="C6067" s="334" t="s">
        <v>1117</v>
      </c>
      <c r="D6067" s="377"/>
      <c r="E6067" s="380"/>
      <c r="F6067" s="378"/>
      <c r="G6067" s="380"/>
      <c r="H6067" s="380"/>
      <c r="I6067" s="399"/>
      <c r="J6067" s="377"/>
      <c r="K6067" s="380"/>
      <c r="L6067" s="378"/>
      <c r="M6067" s="380"/>
      <c r="N6067" s="380"/>
      <c r="O6067" s="380"/>
      <c r="P6067" s="380"/>
      <c r="Q6067" s="380"/>
    </row>
    <row r="6068" spans="1:17" x14ac:dyDescent="0.2">
      <c r="A6068" s="384" t="s">
        <v>1751</v>
      </c>
      <c r="B6068" s="380"/>
      <c r="C6068" s="334" t="s">
        <v>3138</v>
      </c>
      <c r="D6068" s="377">
        <v>500</v>
      </c>
      <c r="E6068" s="380"/>
      <c r="F6068" s="378"/>
      <c r="G6068" s="380"/>
      <c r="H6068" s="380"/>
      <c r="I6068" s="399"/>
      <c r="J6068" s="377">
        <v>500</v>
      </c>
      <c r="K6068" s="380"/>
      <c r="L6068" s="378"/>
      <c r="M6068" s="380"/>
      <c r="N6068" s="380"/>
      <c r="O6068" s="380"/>
      <c r="P6068" s="380"/>
      <c r="Q6068" s="380"/>
    </row>
    <row r="6069" spans="1:17" x14ac:dyDescent="0.2">
      <c r="A6069" s="334" t="s">
        <v>1752</v>
      </c>
      <c r="B6069" s="380"/>
      <c r="C6069" s="334" t="s">
        <v>367</v>
      </c>
      <c r="D6069" s="377"/>
      <c r="E6069" s="380"/>
      <c r="F6069" s="378"/>
      <c r="G6069" s="380"/>
      <c r="H6069" s="380"/>
      <c r="I6069" s="399"/>
      <c r="J6069" s="377"/>
      <c r="K6069" s="380"/>
      <c r="L6069" s="378"/>
      <c r="M6069" s="380"/>
      <c r="N6069" s="380"/>
      <c r="O6069" s="380"/>
      <c r="P6069" s="380"/>
      <c r="Q6069" s="380"/>
    </row>
    <row r="6070" spans="1:17" x14ac:dyDescent="0.2">
      <c r="A6070" s="384" t="s">
        <v>1957</v>
      </c>
      <c r="B6070" s="380"/>
      <c r="C6070" s="334" t="s">
        <v>49</v>
      </c>
      <c r="D6070" s="377">
        <v>400</v>
      </c>
      <c r="E6070" s="380"/>
      <c r="F6070" s="378"/>
      <c r="G6070" s="380"/>
      <c r="H6070" s="380"/>
      <c r="I6070" s="399"/>
      <c r="J6070" s="377">
        <v>400</v>
      </c>
      <c r="K6070" s="380"/>
      <c r="L6070" s="378"/>
      <c r="M6070" s="380"/>
      <c r="N6070" s="380"/>
      <c r="O6070" s="380"/>
      <c r="P6070" s="380"/>
      <c r="Q6070" s="380"/>
    </row>
    <row r="6071" spans="1:17" x14ac:dyDescent="0.2">
      <c r="A6071" s="334" t="s">
        <v>1734</v>
      </c>
      <c r="B6071" s="380"/>
      <c r="C6071" s="334" t="s">
        <v>1746</v>
      </c>
      <c r="D6071" s="377"/>
      <c r="E6071" s="380"/>
      <c r="F6071" s="378"/>
      <c r="G6071" s="380"/>
      <c r="H6071" s="380"/>
      <c r="I6071" s="399"/>
      <c r="J6071" s="377"/>
      <c r="K6071" s="380"/>
      <c r="L6071" s="378"/>
      <c r="M6071" s="380"/>
      <c r="N6071" s="380"/>
      <c r="O6071" s="380"/>
      <c r="P6071" s="380"/>
      <c r="Q6071" s="380"/>
    </row>
    <row r="6072" spans="1:17" x14ac:dyDescent="0.2">
      <c r="A6072" s="334" t="s">
        <v>1578</v>
      </c>
      <c r="B6072" s="380"/>
      <c r="C6072" s="334" t="s">
        <v>22</v>
      </c>
      <c r="D6072" s="377"/>
      <c r="E6072" s="380"/>
      <c r="F6072" s="378"/>
      <c r="G6072" s="380"/>
      <c r="H6072" s="380"/>
      <c r="I6072" s="399"/>
      <c r="J6072" s="377"/>
      <c r="K6072" s="380"/>
      <c r="L6072" s="378"/>
      <c r="M6072" s="380"/>
      <c r="N6072" s="380"/>
      <c r="O6072" s="380"/>
      <c r="P6072" s="380"/>
      <c r="Q6072" s="380"/>
    </row>
    <row r="6073" spans="1:17" x14ac:dyDescent="0.2">
      <c r="A6073" s="334" t="s">
        <v>1738</v>
      </c>
      <c r="B6073" s="380"/>
      <c r="C6073" s="334" t="s">
        <v>1591</v>
      </c>
      <c r="D6073" s="377"/>
      <c r="E6073" s="380"/>
      <c r="F6073" s="378"/>
      <c r="G6073" s="380"/>
      <c r="H6073" s="380"/>
      <c r="I6073" s="399"/>
      <c r="J6073" s="377"/>
      <c r="K6073" s="380"/>
      <c r="L6073" s="378"/>
      <c r="M6073" s="380"/>
      <c r="N6073" s="380"/>
      <c r="O6073" s="380"/>
      <c r="P6073" s="380"/>
      <c r="Q6073" s="380"/>
    </row>
    <row r="6074" spans="1:17" x14ac:dyDescent="0.2">
      <c r="A6074" s="334" t="s">
        <v>1727</v>
      </c>
      <c r="B6074" s="380"/>
      <c r="C6074" s="334" t="s">
        <v>307</v>
      </c>
      <c r="D6074" s="377"/>
      <c r="E6074" s="380"/>
      <c r="F6074" s="378"/>
      <c r="G6074" s="380"/>
      <c r="H6074" s="380"/>
      <c r="I6074" s="399"/>
      <c r="J6074" s="377"/>
      <c r="K6074" s="380"/>
      <c r="L6074" s="378"/>
      <c r="M6074" s="380"/>
      <c r="N6074" s="380"/>
      <c r="O6074" s="380"/>
      <c r="P6074" s="380"/>
      <c r="Q6074" s="380"/>
    </row>
    <row r="6075" spans="1:17" x14ac:dyDescent="0.2">
      <c r="A6075" s="334" t="s">
        <v>1728</v>
      </c>
      <c r="B6075" s="380"/>
      <c r="C6075" s="334" t="s">
        <v>310</v>
      </c>
      <c r="D6075" s="377"/>
      <c r="E6075" s="380"/>
      <c r="F6075" s="378"/>
      <c r="G6075" s="380"/>
      <c r="H6075" s="380"/>
      <c r="I6075" s="399"/>
      <c r="J6075" s="377"/>
      <c r="K6075" s="380"/>
      <c r="L6075" s="378"/>
      <c r="M6075" s="380"/>
      <c r="N6075" s="380"/>
      <c r="O6075" s="380"/>
      <c r="P6075" s="380"/>
      <c r="Q6075" s="380"/>
    </row>
    <row r="6076" spans="1:17" x14ac:dyDescent="0.2">
      <c r="A6076" s="334" t="s">
        <v>1729</v>
      </c>
      <c r="B6076" s="380"/>
      <c r="C6076" s="380" t="s">
        <v>1551</v>
      </c>
      <c r="D6076" s="377">
        <v>-2330</v>
      </c>
      <c r="E6076" s="380"/>
      <c r="F6076" s="378"/>
      <c r="G6076" s="380"/>
      <c r="H6076" s="380"/>
      <c r="I6076" s="399"/>
      <c r="J6076" s="377"/>
      <c r="K6076" s="380"/>
      <c r="L6076" s="378"/>
      <c r="M6076" s="380"/>
      <c r="N6076" s="380"/>
      <c r="O6076" s="380"/>
      <c r="P6076" s="380"/>
      <c r="Q6076" s="380"/>
    </row>
    <row r="6077" spans="1:17" x14ac:dyDescent="0.2">
      <c r="A6077" s="334" t="s">
        <v>1735</v>
      </c>
      <c r="B6077" s="380"/>
      <c r="C6077" s="380" t="s">
        <v>194</v>
      </c>
      <c r="D6077" s="377"/>
      <c r="E6077" s="380"/>
      <c r="F6077" s="378"/>
      <c r="G6077" s="380"/>
      <c r="H6077" s="380"/>
      <c r="I6077" s="399"/>
      <c r="J6077" s="377"/>
      <c r="K6077" s="380"/>
      <c r="L6077" s="378"/>
      <c r="M6077" s="380"/>
      <c r="N6077" s="380"/>
      <c r="O6077" s="380"/>
      <c r="P6077" s="380"/>
      <c r="Q6077" s="380"/>
    </row>
    <row r="6078" spans="1:17" x14ac:dyDescent="0.2">
      <c r="A6078" s="334" t="s">
        <v>1741</v>
      </c>
      <c r="B6078" s="380"/>
      <c r="C6078" s="334" t="s">
        <v>1748</v>
      </c>
      <c r="D6078" s="377"/>
      <c r="E6078" s="380"/>
      <c r="F6078" s="378"/>
      <c r="G6078" s="380"/>
      <c r="H6078" s="380"/>
      <c r="I6078" s="399"/>
      <c r="J6078" s="377"/>
      <c r="K6078" s="380"/>
      <c r="L6078" s="378"/>
      <c r="M6078" s="380"/>
      <c r="N6078" s="380"/>
      <c r="O6078" s="380"/>
      <c r="P6078" s="380"/>
      <c r="Q6078" s="380"/>
    </row>
    <row r="6079" spans="1:17" x14ac:dyDescent="0.2">
      <c r="A6079" s="334" t="s">
        <v>1742</v>
      </c>
      <c r="B6079" s="380"/>
      <c r="C6079" s="334" t="s">
        <v>1553</v>
      </c>
      <c r="D6079" s="377"/>
      <c r="E6079" s="380"/>
      <c r="F6079" s="378"/>
      <c r="G6079" s="380"/>
      <c r="H6079" s="380"/>
      <c r="I6079" s="399"/>
      <c r="J6079" s="377"/>
      <c r="K6079" s="380"/>
      <c r="L6079" s="378"/>
      <c r="M6079" s="380"/>
      <c r="N6079" s="380"/>
      <c r="O6079" s="380"/>
      <c r="P6079" s="380"/>
      <c r="Q6079" s="380"/>
    </row>
    <row r="6080" spans="1:17" x14ac:dyDescent="0.2">
      <c r="A6080" s="384" t="s">
        <v>1754</v>
      </c>
      <c r="B6080" s="380"/>
      <c r="C6080" s="334" t="s">
        <v>1929</v>
      </c>
      <c r="D6080" s="377"/>
      <c r="E6080" s="380"/>
      <c r="F6080" s="378"/>
      <c r="G6080" s="380"/>
      <c r="H6080" s="380"/>
      <c r="I6080" s="399"/>
      <c r="J6080" s="377"/>
      <c r="K6080" s="380"/>
      <c r="L6080" s="378"/>
      <c r="M6080" s="380"/>
      <c r="N6080" s="380"/>
      <c r="O6080" s="380"/>
      <c r="P6080" s="380"/>
      <c r="Q6080" s="380"/>
    </row>
    <row r="6081" spans="1:17" x14ac:dyDescent="0.2">
      <c r="A6081" s="334" t="s">
        <v>1584</v>
      </c>
      <c r="B6081" s="380"/>
      <c r="C6081" s="334" t="s">
        <v>0</v>
      </c>
      <c r="D6081" s="377"/>
      <c r="E6081" s="380"/>
      <c r="F6081" s="378"/>
      <c r="G6081" s="380"/>
      <c r="H6081" s="380"/>
      <c r="I6081" s="399"/>
      <c r="J6081" s="377"/>
      <c r="K6081" s="380"/>
      <c r="L6081" s="378"/>
      <c r="M6081" s="380"/>
      <c r="N6081" s="380"/>
      <c r="O6081" s="380"/>
      <c r="P6081" s="380"/>
      <c r="Q6081" s="380"/>
    </row>
    <row r="6082" spans="1:17" x14ac:dyDescent="0.2">
      <c r="A6082" s="334" t="s">
        <v>1730</v>
      </c>
      <c r="B6082" s="380"/>
      <c r="C6082" s="334" t="s">
        <v>1985</v>
      </c>
      <c r="D6082" s="377"/>
      <c r="E6082" s="380"/>
      <c r="F6082" s="378"/>
      <c r="G6082" s="380"/>
      <c r="H6082" s="380"/>
      <c r="I6082" s="399"/>
      <c r="J6082" s="377"/>
      <c r="K6082" s="380"/>
      <c r="L6082" s="378"/>
      <c r="M6082" s="380"/>
      <c r="N6082" s="380"/>
      <c r="O6082" s="380"/>
      <c r="P6082" s="380"/>
      <c r="Q6082" s="380"/>
    </row>
    <row r="6083" spans="1:17" x14ac:dyDescent="0.2">
      <c r="A6083" s="334" t="s">
        <v>1566</v>
      </c>
      <c r="B6083" s="380"/>
      <c r="C6083" s="334" t="s">
        <v>366</v>
      </c>
      <c r="D6083" s="377"/>
      <c r="E6083" s="380"/>
      <c r="F6083" s="378"/>
      <c r="G6083" s="380"/>
      <c r="H6083" s="380"/>
      <c r="I6083" s="399"/>
      <c r="J6083" s="377"/>
      <c r="K6083" s="380"/>
      <c r="L6083" s="378"/>
      <c r="M6083" s="380"/>
      <c r="N6083" s="380"/>
      <c r="O6083" s="380"/>
      <c r="P6083" s="380"/>
      <c r="Q6083" s="380"/>
    </row>
    <row r="6084" spans="1:17" x14ac:dyDescent="0.2">
      <c r="A6084" s="334" t="s">
        <v>1587</v>
      </c>
      <c r="B6084" s="380"/>
      <c r="C6084" s="334" t="s">
        <v>34</v>
      </c>
      <c r="D6084" s="377"/>
      <c r="E6084" s="380"/>
      <c r="F6084" s="378"/>
      <c r="G6084" s="380"/>
      <c r="H6084" s="380"/>
      <c r="I6084" s="399"/>
      <c r="J6084" s="377"/>
      <c r="K6084" s="380"/>
      <c r="L6084" s="378"/>
      <c r="M6084" s="380"/>
      <c r="N6084" s="380"/>
      <c r="O6084" s="380"/>
      <c r="P6084" s="380"/>
      <c r="Q6084" s="380"/>
    </row>
    <row r="6085" spans="1:17" x14ac:dyDescent="0.2">
      <c r="A6085" s="334" t="s">
        <v>1903</v>
      </c>
      <c r="B6085" s="380"/>
      <c r="C6085" s="334" t="s">
        <v>35</v>
      </c>
      <c r="D6085" s="377"/>
      <c r="E6085" s="380"/>
      <c r="F6085" s="378"/>
      <c r="G6085" s="380"/>
      <c r="H6085" s="380"/>
      <c r="I6085" s="399"/>
      <c r="J6085" s="377"/>
      <c r="K6085" s="380"/>
      <c r="L6085" s="378"/>
      <c r="M6085" s="380"/>
      <c r="N6085" s="380"/>
      <c r="O6085" s="380"/>
      <c r="P6085" s="380"/>
      <c r="Q6085" s="380"/>
    </row>
    <row r="6086" spans="1:17" x14ac:dyDescent="0.2">
      <c r="A6086" s="334" t="s">
        <v>1962</v>
      </c>
      <c r="B6086" s="380"/>
      <c r="C6086" s="380" t="s">
        <v>572</v>
      </c>
      <c r="D6086" s="377"/>
      <c r="E6086" s="380"/>
      <c r="F6086" s="378"/>
      <c r="G6086" s="380"/>
      <c r="H6086" s="380"/>
      <c r="I6086" s="399"/>
      <c r="J6086" s="377"/>
      <c r="K6086" s="380"/>
      <c r="L6086" s="378"/>
      <c r="M6086" s="380"/>
      <c r="N6086" s="380"/>
      <c r="O6086" s="380"/>
      <c r="P6086" s="380"/>
      <c r="Q6086" s="380"/>
    </row>
    <row r="6087" spans="1:17" x14ac:dyDescent="0.2">
      <c r="A6087" s="334" t="s">
        <v>1567</v>
      </c>
      <c r="B6087" s="380"/>
      <c r="C6087" s="334" t="s">
        <v>3142</v>
      </c>
      <c r="D6087" s="377"/>
      <c r="E6087" s="380"/>
      <c r="F6087" s="378"/>
      <c r="G6087" s="380"/>
      <c r="H6087" s="380"/>
      <c r="I6087" s="399"/>
      <c r="J6087" s="377"/>
      <c r="K6087" s="380"/>
      <c r="L6087" s="378"/>
      <c r="M6087" s="380"/>
      <c r="N6087" s="380"/>
      <c r="O6087" s="380"/>
      <c r="P6087" s="380"/>
      <c r="Q6087" s="380"/>
    </row>
    <row r="6088" spans="1:17" x14ac:dyDescent="0.2">
      <c r="A6088" s="380"/>
      <c r="B6088" s="380"/>
      <c r="C6088" s="380"/>
      <c r="D6088" s="394"/>
      <c r="E6088" s="380"/>
      <c r="F6088" s="378"/>
      <c r="G6088" s="380"/>
      <c r="H6088" s="380"/>
      <c r="I6088" s="385"/>
      <c r="J6088" s="394"/>
      <c r="K6088" s="380"/>
      <c r="L6088" s="378"/>
      <c r="M6088" s="380"/>
      <c r="N6088" s="380"/>
      <c r="O6088" s="380"/>
      <c r="P6088" s="380"/>
      <c r="Q6088" s="380"/>
    </row>
    <row r="6089" spans="1:17" x14ac:dyDescent="0.2">
      <c r="A6089" s="380"/>
      <c r="B6089" s="380"/>
      <c r="C6089" s="380"/>
      <c r="D6089" s="334">
        <f>SUM(D6056:D6087)</f>
        <v>9320</v>
      </c>
      <c r="E6089" s="380"/>
      <c r="F6089" s="378"/>
      <c r="G6089" s="380"/>
      <c r="H6089" s="380"/>
      <c r="I6089" s="399"/>
      <c r="J6089" s="334">
        <f>SUM(J6056:J6087)</f>
        <v>11650</v>
      </c>
      <c r="K6089" s="380"/>
      <c r="L6089" s="378"/>
      <c r="M6089" s="380"/>
      <c r="N6089" s="380"/>
      <c r="O6089" s="380"/>
      <c r="P6089" s="380"/>
      <c r="Q6089" s="380"/>
    </row>
    <row r="6090" spans="1:17" ht="15.75" thickTop="1" x14ac:dyDescent="0.2">
      <c r="A6090" s="380"/>
      <c r="B6090" s="380"/>
      <c r="C6090" s="380"/>
      <c r="D6090" s="395"/>
      <c r="E6090" s="380"/>
      <c r="F6090" s="378"/>
      <c r="G6090" s="380"/>
      <c r="H6090" s="380"/>
      <c r="I6090" s="385"/>
      <c r="J6090" s="395"/>
      <c r="K6090" s="380"/>
      <c r="L6090" s="378"/>
      <c r="M6090" s="380"/>
      <c r="N6090" s="380"/>
      <c r="O6090" s="380"/>
      <c r="P6090" s="380"/>
      <c r="Q6090" s="380"/>
    </row>
    <row r="6091" spans="1:17" x14ac:dyDescent="0.2">
      <c r="A6091" s="334" t="s">
        <v>1853</v>
      </c>
      <c r="B6091" s="380"/>
      <c r="C6091" s="380"/>
      <c r="D6091" s="334"/>
      <c r="E6091" s="380"/>
      <c r="F6091" s="378"/>
      <c r="G6091" s="380"/>
      <c r="H6091" s="380"/>
      <c r="I6091" s="443"/>
      <c r="J6091" s="334"/>
      <c r="K6091" s="380"/>
      <c r="L6091" s="378"/>
      <c r="M6091" s="380"/>
      <c r="N6091" s="380"/>
      <c r="O6091" s="380"/>
      <c r="P6091" s="380"/>
      <c r="Q6091" s="380"/>
    </row>
    <row r="6092" spans="1:17" x14ac:dyDescent="0.2">
      <c r="A6092" s="334" t="s">
        <v>342</v>
      </c>
      <c r="B6092" s="380"/>
      <c r="C6092" s="334"/>
      <c r="D6092" s="442" t="s">
        <v>1854</v>
      </c>
      <c r="E6092" s="380"/>
      <c r="F6092" s="378"/>
      <c r="G6092" s="380"/>
      <c r="H6092" s="380"/>
      <c r="I6092" s="385"/>
      <c r="J6092" s="442" t="s">
        <v>1854</v>
      </c>
      <c r="K6092" s="380"/>
      <c r="L6092" s="378"/>
      <c r="M6092" s="380"/>
      <c r="N6092" s="380"/>
      <c r="O6092" s="380"/>
      <c r="P6092" s="380"/>
      <c r="Q6092" s="380"/>
    </row>
    <row r="6093" spans="1:17" x14ac:dyDescent="0.2">
      <c r="A6093" s="334" t="s">
        <v>342</v>
      </c>
      <c r="B6093" s="380"/>
      <c r="C6093" s="334" t="s">
        <v>342</v>
      </c>
      <c r="D6093" s="334"/>
      <c r="E6093" s="380"/>
      <c r="F6093" s="378"/>
      <c r="G6093" s="380"/>
      <c r="H6093" s="380"/>
      <c r="I6093" s="385"/>
      <c r="J6093" s="334"/>
      <c r="K6093" s="380"/>
      <c r="L6093" s="378"/>
      <c r="M6093" s="380"/>
      <c r="N6093" s="380"/>
      <c r="O6093" s="380"/>
      <c r="P6093" s="380"/>
      <c r="Q6093" s="380"/>
    </row>
    <row r="6094" spans="1:17" x14ac:dyDescent="0.2">
      <c r="A6094" s="334" t="s">
        <v>1723</v>
      </c>
      <c r="B6094" s="380"/>
      <c r="C6094" s="334" t="s">
        <v>1880</v>
      </c>
      <c r="D6094" s="334" t="s">
        <v>181</v>
      </c>
      <c r="E6094" s="380"/>
      <c r="F6094" s="378"/>
      <c r="G6094" s="380"/>
      <c r="H6094" s="380"/>
      <c r="I6094" s="382"/>
      <c r="J6094" s="334" t="s">
        <v>181</v>
      </c>
      <c r="K6094" s="380"/>
      <c r="L6094" s="378"/>
      <c r="M6094" s="380"/>
      <c r="N6094" s="380"/>
      <c r="O6094" s="380"/>
      <c r="P6094" s="380"/>
      <c r="Q6094" s="380"/>
    </row>
    <row r="6095" spans="1:17" x14ac:dyDescent="0.2">
      <c r="A6095" s="380"/>
      <c r="B6095" s="380"/>
      <c r="C6095" s="380"/>
      <c r="D6095" s="380"/>
      <c r="E6095" s="380"/>
      <c r="F6095" s="378"/>
      <c r="G6095" s="380"/>
      <c r="H6095" s="380"/>
      <c r="I6095" s="399"/>
      <c r="J6095" s="380"/>
      <c r="K6095" s="380"/>
      <c r="L6095" s="378"/>
      <c r="M6095" s="380"/>
      <c r="N6095" s="380"/>
      <c r="O6095" s="380"/>
      <c r="P6095" s="380"/>
      <c r="Q6095" s="380"/>
    </row>
    <row r="6096" spans="1:17" x14ac:dyDescent="0.2">
      <c r="A6096" s="384" t="s">
        <v>1953</v>
      </c>
      <c r="B6096" s="380"/>
      <c r="C6096" s="334" t="s">
        <v>193</v>
      </c>
      <c r="D6096" s="379">
        <v>15000</v>
      </c>
      <c r="E6096" s="380"/>
      <c r="F6096" s="378"/>
      <c r="G6096" s="380"/>
      <c r="H6096" s="380"/>
      <c r="I6096" s="399"/>
      <c r="J6096" s="377">
        <v>15000</v>
      </c>
      <c r="K6096" s="380"/>
      <c r="L6096" s="378"/>
      <c r="M6096" s="380"/>
      <c r="N6096" s="380"/>
      <c r="O6096" s="380"/>
      <c r="P6096" s="380"/>
      <c r="Q6096" s="380"/>
    </row>
    <row r="6097" spans="1:17" x14ac:dyDescent="0.2">
      <c r="A6097" s="334" t="s">
        <v>1724</v>
      </c>
      <c r="B6097" s="380"/>
      <c r="C6097" s="334" t="s">
        <v>1881</v>
      </c>
      <c r="D6097" s="379">
        <v>3000</v>
      </c>
      <c r="E6097" s="380"/>
      <c r="F6097" s="378"/>
      <c r="G6097" s="380"/>
      <c r="H6097" s="380"/>
      <c r="I6097" s="399"/>
      <c r="J6097" s="377">
        <v>3000</v>
      </c>
      <c r="K6097" s="380"/>
      <c r="L6097" s="378"/>
      <c r="M6097" s="380"/>
      <c r="N6097" s="380"/>
      <c r="O6097" s="380"/>
      <c r="P6097" s="380"/>
      <c r="Q6097" s="380"/>
    </row>
    <row r="6098" spans="1:17" x14ac:dyDescent="0.2">
      <c r="A6098" s="334" t="s">
        <v>1961</v>
      </c>
      <c r="B6098" s="380"/>
      <c r="C6098" s="334" t="s">
        <v>9</v>
      </c>
      <c r="D6098" s="379"/>
      <c r="E6098" s="380"/>
      <c r="F6098" s="378"/>
      <c r="G6098" s="380"/>
      <c r="H6098" s="380"/>
      <c r="I6098" s="399"/>
      <c r="J6098" s="377"/>
      <c r="K6098" s="380"/>
      <c r="L6098" s="378"/>
      <c r="M6098" s="380"/>
      <c r="N6098" s="380"/>
      <c r="O6098" s="380"/>
      <c r="P6098" s="380"/>
      <c r="Q6098" s="380"/>
    </row>
    <row r="6099" spans="1:17" x14ac:dyDescent="0.2">
      <c r="A6099" s="334" t="s">
        <v>1736</v>
      </c>
      <c r="B6099" s="380"/>
      <c r="C6099" s="334" t="s">
        <v>1747</v>
      </c>
      <c r="D6099" s="379"/>
      <c r="E6099" s="380"/>
      <c r="F6099" s="378"/>
      <c r="G6099" s="380"/>
      <c r="H6099" s="380"/>
      <c r="I6099" s="399"/>
      <c r="J6099" s="377"/>
      <c r="K6099" s="380"/>
      <c r="L6099" s="378"/>
      <c r="M6099" s="380"/>
      <c r="N6099" s="380"/>
      <c r="O6099" s="380"/>
      <c r="P6099" s="380"/>
      <c r="Q6099" s="380"/>
    </row>
    <row r="6100" spans="1:17" x14ac:dyDescent="0.2">
      <c r="A6100" s="334" t="s">
        <v>1744</v>
      </c>
      <c r="B6100" s="380"/>
      <c r="C6100" s="334" t="s">
        <v>1254</v>
      </c>
      <c r="D6100" s="379"/>
      <c r="E6100" s="380"/>
      <c r="F6100" s="378"/>
      <c r="G6100" s="380"/>
      <c r="H6100" s="380"/>
      <c r="I6100" s="399"/>
      <c r="J6100" s="377"/>
      <c r="K6100" s="380"/>
      <c r="L6100" s="378"/>
      <c r="M6100" s="380"/>
      <c r="N6100" s="380"/>
      <c r="O6100" s="380"/>
      <c r="P6100" s="380"/>
      <c r="Q6100" s="380"/>
    </row>
    <row r="6101" spans="1:17" x14ac:dyDescent="0.2">
      <c r="A6101" s="334" t="s">
        <v>1582</v>
      </c>
      <c r="B6101" s="380"/>
      <c r="C6101" s="334" t="s">
        <v>3135</v>
      </c>
      <c r="D6101" s="379"/>
      <c r="E6101" s="380"/>
      <c r="F6101" s="378"/>
      <c r="G6101" s="380"/>
      <c r="H6101" s="380"/>
      <c r="I6101" s="399"/>
      <c r="J6101" s="377"/>
      <c r="K6101" s="380"/>
      <c r="L6101" s="378"/>
      <c r="M6101" s="380"/>
      <c r="N6101" s="380"/>
      <c r="O6101" s="380"/>
      <c r="P6101" s="380"/>
      <c r="Q6101" s="380"/>
    </row>
    <row r="6102" spans="1:17" x14ac:dyDescent="0.2">
      <c r="A6102" s="384" t="s">
        <v>1725</v>
      </c>
      <c r="B6102" s="380"/>
      <c r="C6102" s="334" t="s">
        <v>1890</v>
      </c>
      <c r="D6102" s="379"/>
      <c r="E6102" s="380"/>
      <c r="F6102" s="378"/>
      <c r="G6102" s="380"/>
      <c r="H6102" s="380"/>
      <c r="I6102" s="399"/>
      <c r="J6102" s="377"/>
      <c r="K6102" s="380"/>
      <c r="L6102" s="378"/>
      <c r="M6102" s="380"/>
      <c r="N6102" s="380"/>
      <c r="O6102" s="380"/>
      <c r="P6102" s="380"/>
      <c r="Q6102" s="380"/>
    </row>
    <row r="6103" spans="1:17" x14ac:dyDescent="0.2">
      <c r="A6103" s="334" t="s">
        <v>1745</v>
      </c>
      <c r="B6103" s="380"/>
      <c r="C6103" s="334" t="s">
        <v>1887</v>
      </c>
      <c r="D6103" s="379"/>
      <c r="E6103" s="380"/>
      <c r="F6103" s="378"/>
      <c r="G6103" s="380"/>
      <c r="H6103" s="380"/>
      <c r="I6103" s="399"/>
      <c r="J6103" s="377"/>
      <c r="K6103" s="380"/>
      <c r="L6103" s="378"/>
      <c r="M6103" s="380"/>
      <c r="N6103" s="380"/>
      <c r="O6103" s="380"/>
      <c r="P6103" s="380"/>
      <c r="Q6103" s="380"/>
    </row>
    <row r="6104" spans="1:17" x14ac:dyDescent="0.2">
      <c r="A6104" s="334" t="s">
        <v>1906</v>
      </c>
      <c r="B6104" s="380"/>
      <c r="C6104" s="334" t="s">
        <v>39</v>
      </c>
      <c r="D6104" s="379"/>
      <c r="E6104" s="380"/>
      <c r="F6104" s="378"/>
      <c r="G6104" s="380"/>
      <c r="H6104" s="380"/>
      <c r="I6104" s="399"/>
      <c r="J6104" s="377"/>
      <c r="K6104" s="380"/>
      <c r="L6104" s="378"/>
      <c r="M6104" s="380"/>
      <c r="N6104" s="380"/>
      <c r="O6104" s="380"/>
      <c r="P6104" s="380"/>
      <c r="Q6104" s="380"/>
    </row>
    <row r="6105" spans="1:17" x14ac:dyDescent="0.2">
      <c r="A6105" s="334" t="s">
        <v>1576</v>
      </c>
      <c r="B6105" s="380"/>
      <c r="C6105" s="334" t="s">
        <v>1590</v>
      </c>
      <c r="D6105" s="379">
        <v>100</v>
      </c>
      <c r="E6105" s="380"/>
      <c r="F6105" s="378"/>
      <c r="G6105" s="380"/>
      <c r="H6105" s="380"/>
      <c r="I6105" s="399"/>
      <c r="J6105" s="377">
        <v>100</v>
      </c>
      <c r="K6105" s="380"/>
      <c r="L6105" s="378"/>
      <c r="M6105" s="380"/>
      <c r="N6105" s="380"/>
      <c r="O6105" s="380"/>
      <c r="P6105" s="380"/>
      <c r="Q6105" s="380"/>
    </row>
    <row r="6106" spans="1:17" x14ac:dyDescent="0.2">
      <c r="A6106" s="334" t="s">
        <v>1737</v>
      </c>
      <c r="B6106" s="380"/>
      <c r="C6106" s="334" t="s">
        <v>1984</v>
      </c>
      <c r="D6106" s="379">
        <v>3000</v>
      </c>
      <c r="E6106" s="380"/>
      <c r="F6106" s="378"/>
      <c r="G6106" s="380"/>
      <c r="H6106" s="380"/>
      <c r="I6106" s="399"/>
      <c r="J6106" s="377">
        <v>3000</v>
      </c>
      <c r="K6106" s="380"/>
      <c r="L6106" s="378"/>
      <c r="M6106" s="380"/>
      <c r="N6106" s="380"/>
      <c r="O6106" s="380"/>
      <c r="P6106" s="380"/>
      <c r="Q6106" s="380"/>
    </row>
    <row r="6107" spans="1:17" x14ac:dyDescent="0.2">
      <c r="A6107" s="384" t="s">
        <v>1726</v>
      </c>
      <c r="B6107" s="380"/>
      <c r="C6107" s="334" t="s">
        <v>1117</v>
      </c>
      <c r="D6107" s="379"/>
      <c r="E6107" s="380"/>
      <c r="F6107" s="378"/>
      <c r="G6107" s="380"/>
      <c r="H6107" s="380"/>
      <c r="I6107" s="399"/>
      <c r="J6107" s="377"/>
      <c r="K6107" s="380"/>
      <c r="L6107" s="378"/>
      <c r="M6107" s="380"/>
      <c r="N6107" s="380"/>
      <c r="O6107" s="380"/>
      <c r="P6107" s="380"/>
      <c r="Q6107" s="380"/>
    </row>
    <row r="6108" spans="1:17" x14ac:dyDescent="0.2">
      <c r="A6108" s="384" t="s">
        <v>1661</v>
      </c>
      <c r="B6108" s="380"/>
      <c r="C6108" s="334" t="s">
        <v>3136</v>
      </c>
      <c r="D6108" s="379"/>
      <c r="E6108" s="380"/>
      <c r="F6108" s="378"/>
      <c r="G6108" s="380"/>
      <c r="H6108" s="380"/>
      <c r="I6108" s="399"/>
      <c r="J6108" s="377"/>
      <c r="K6108" s="380"/>
      <c r="L6108" s="378"/>
      <c r="M6108" s="380"/>
      <c r="N6108" s="380"/>
      <c r="O6108" s="380"/>
      <c r="P6108" s="380"/>
      <c r="Q6108" s="380"/>
    </row>
    <row r="6109" spans="1:17" x14ac:dyDescent="0.2">
      <c r="A6109" s="384" t="s">
        <v>1751</v>
      </c>
      <c r="B6109" s="380"/>
      <c r="C6109" s="334" t="s">
        <v>3138</v>
      </c>
      <c r="D6109" s="379">
        <v>500</v>
      </c>
      <c r="E6109" s="380"/>
      <c r="F6109" s="378"/>
      <c r="G6109" s="380"/>
      <c r="H6109" s="380"/>
      <c r="I6109" s="399"/>
      <c r="J6109" s="377">
        <v>500</v>
      </c>
      <c r="K6109" s="380"/>
      <c r="L6109" s="378"/>
      <c r="M6109" s="380"/>
      <c r="N6109" s="380"/>
      <c r="O6109" s="380"/>
      <c r="P6109" s="380"/>
      <c r="Q6109" s="380"/>
    </row>
    <row r="6110" spans="1:17" x14ac:dyDescent="0.2">
      <c r="A6110" s="334" t="s">
        <v>1752</v>
      </c>
      <c r="B6110" s="380"/>
      <c r="C6110" s="334" t="s">
        <v>367</v>
      </c>
      <c r="D6110" s="379"/>
      <c r="E6110" s="380"/>
      <c r="F6110" s="378"/>
      <c r="G6110" s="380"/>
      <c r="H6110" s="380"/>
      <c r="I6110" s="399"/>
      <c r="J6110" s="377"/>
      <c r="K6110" s="380"/>
      <c r="L6110" s="378"/>
      <c r="M6110" s="380"/>
      <c r="N6110" s="380"/>
      <c r="O6110" s="380"/>
      <c r="P6110" s="380"/>
      <c r="Q6110" s="380"/>
    </row>
    <row r="6111" spans="1:17" x14ac:dyDescent="0.2">
      <c r="A6111" s="384" t="s">
        <v>1952</v>
      </c>
      <c r="B6111" s="380"/>
      <c r="C6111" s="334" t="s">
        <v>1251</v>
      </c>
      <c r="D6111" s="379">
        <v>800</v>
      </c>
      <c r="E6111" s="380"/>
      <c r="F6111" s="378"/>
      <c r="G6111" s="380"/>
      <c r="H6111" s="380"/>
      <c r="I6111" s="399"/>
      <c r="J6111" s="377">
        <v>800</v>
      </c>
      <c r="K6111" s="380"/>
      <c r="L6111" s="378"/>
      <c r="M6111" s="380"/>
      <c r="N6111" s="380"/>
      <c r="O6111" s="380"/>
      <c r="P6111" s="380"/>
      <c r="Q6111" s="380"/>
    </row>
    <row r="6112" spans="1:17" x14ac:dyDescent="0.2">
      <c r="A6112" s="334" t="s">
        <v>1734</v>
      </c>
      <c r="B6112" s="380"/>
      <c r="C6112" s="334" t="s">
        <v>1746</v>
      </c>
      <c r="D6112" s="379"/>
      <c r="E6112" s="380"/>
      <c r="F6112" s="378"/>
      <c r="G6112" s="380"/>
      <c r="H6112" s="380"/>
      <c r="I6112" s="399"/>
      <c r="J6112" s="377"/>
      <c r="K6112" s="380"/>
      <c r="L6112" s="378"/>
      <c r="M6112" s="380"/>
      <c r="N6112" s="380"/>
      <c r="O6112" s="380"/>
      <c r="P6112" s="380"/>
      <c r="Q6112" s="380"/>
    </row>
    <row r="6113" spans="1:17" x14ac:dyDescent="0.2">
      <c r="A6113" s="334" t="s">
        <v>1578</v>
      </c>
      <c r="B6113" s="380"/>
      <c r="C6113" s="334" t="s">
        <v>22</v>
      </c>
      <c r="D6113" s="379"/>
      <c r="E6113" s="380"/>
      <c r="F6113" s="378"/>
      <c r="G6113" s="380"/>
      <c r="H6113" s="380"/>
      <c r="I6113" s="399"/>
      <c r="J6113" s="377"/>
      <c r="K6113" s="380"/>
      <c r="L6113" s="378"/>
      <c r="M6113" s="380"/>
      <c r="N6113" s="380"/>
      <c r="O6113" s="380"/>
      <c r="P6113" s="380"/>
      <c r="Q6113" s="380"/>
    </row>
    <row r="6114" spans="1:17" x14ac:dyDescent="0.2">
      <c r="A6114" s="334" t="s">
        <v>1738</v>
      </c>
      <c r="B6114" s="380"/>
      <c r="C6114" s="334" t="s">
        <v>1591</v>
      </c>
      <c r="D6114" s="379"/>
      <c r="E6114" s="380"/>
      <c r="F6114" s="378"/>
      <c r="G6114" s="380"/>
      <c r="H6114" s="380"/>
      <c r="I6114" s="399"/>
      <c r="J6114" s="377"/>
      <c r="K6114" s="380"/>
      <c r="L6114" s="378"/>
      <c r="M6114" s="380"/>
      <c r="N6114" s="380"/>
      <c r="O6114" s="380"/>
      <c r="P6114" s="380"/>
      <c r="Q6114" s="380"/>
    </row>
    <row r="6115" spans="1:17" x14ac:dyDescent="0.2">
      <c r="A6115" s="334" t="s">
        <v>1727</v>
      </c>
      <c r="B6115" s="380"/>
      <c r="C6115" s="334" t="s">
        <v>307</v>
      </c>
      <c r="D6115" s="379"/>
      <c r="E6115" s="380"/>
      <c r="F6115" s="378"/>
      <c r="G6115" s="380"/>
      <c r="H6115" s="380"/>
      <c r="I6115" s="399"/>
      <c r="J6115" s="377"/>
      <c r="K6115" s="380"/>
      <c r="L6115" s="378"/>
      <c r="M6115" s="380"/>
      <c r="N6115" s="380"/>
      <c r="O6115" s="380"/>
      <c r="P6115" s="380"/>
      <c r="Q6115" s="380"/>
    </row>
    <row r="6116" spans="1:17" x14ac:dyDescent="0.2">
      <c r="A6116" s="334" t="s">
        <v>1728</v>
      </c>
      <c r="B6116" s="380"/>
      <c r="C6116" s="334" t="s">
        <v>310</v>
      </c>
      <c r="D6116" s="379">
        <v>200</v>
      </c>
      <c r="E6116" s="380"/>
      <c r="F6116" s="378"/>
      <c r="G6116" s="380"/>
      <c r="H6116" s="380"/>
      <c r="I6116" s="399"/>
      <c r="J6116" s="377">
        <v>200</v>
      </c>
      <c r="K6116" s="380"/>
      <c r="L6116" s="378"/>
      <c r="M6116" s="380"/>
      <c r="N6116" s="380"/>
      <c r="O6116" s="380"/>
      <c r="P6116" s="380"/>
      <c r="Q6116" s="380"/>
    </row>
    <row r="6117" spans="1:17" x14ac:dyDescent="0.2">
      <c r="A6117" s="334" t="s">
        <v>1729</v>
      </c>
      <c r="B6117" s="380"/>
      <c r="C6117" s="380" t="s">
        <v>1551</v>
      </c>
      <c r="D6117" s="379">
        <v>-5520</v>
      </c>
      <c r="E6117" s="380"/>
      <c r="F6117" s="378"/>
      <c r="G6117" s="380"/>
      <c r="H6117" s="380"/>
      <c r="I6117" s="399"/>
      <c r="J6117" s="377"/>
      <c r="K6117" s="380"/>
      <c r="L6117" s="378"/>
      <c r="M6117" s="380"/>
      <c r="N6117" s="380"/>
      <c r="O6117" s="380"/>
      <c r="P6117" s="380"/>
      <c r="Q6117" s="380"/>
    </row>
    <row r="6118" spans="1:17" x14ac:dyDescent="0.2">
      <c r="A6118" s="334" t="s">
        <v>1735</v>
      </c>
      <c r="B6118" s="380"/>
      <c r="C6118" s="380" t="s">
        <v>194</v>
      </c>
      <c r="D6118" s="379"/>
      <c r="E6118" s="380"/>
      <c r="F6118" s="378"/>
      <c r="G6118" s="380"/>
      <c r="H6118" s="380"/>
      <c r="I6118" s="399"/>
      <c r="J6118" s="377"/>
      <c r="K6118" s="380"/>
      <c r="L6118" s="378"/>
      <c r="M6118" s="380"/>
      <c r="N6118" s="380"/>
      <c r="O6118" s="380"/>
      <c r="P6118" s="380"/>
      <c r="Q6118" s="380"/>
    </row>
    <row r="6119" spans="1:17" x14ac:dyDescent="0.2">
      <c r="A6119" s="334" t="s">
        <v>1741</v>
      </c>
      <c r="B6119" s="380"/>
      <c r="C6119" s="334" t="s">
        <v>1748</v>
      </c>
      <c r="D6119" s="379"/>
      <c r="E6119" s="380"/>
      <c r="F6119" s="378"/>
      <c r="G6119" s="380"/>
      <c r="H6119" s="380"/>
      <c r="I6119" s="399"/>
      <c r="J6119" s="377"/>
      <c r="K6119" s="380"/>
      <c r="L6119" s="378"/>
      <c r="M6119" s="380"/>
      <c r="N6119" s="380"/>
      <c r="O6119" s="380"/>
      <c r="P6119" s="380"/>
      <c r="Q6119" s="380"/>
    </row>
    <row r="6120" spans="1:17" x14ac:dyDescent="0.2">
      <c r="A6120" s="334" t="s">
        <v>1742</v>
      </c>
      <c r="B6120" s="380"/>
      <c r="C6120" s="334" t="s">
        <v>1553</v>
      </c>
      <c r="D6120" s="379"/>
      <c r="E6120" s="380"/>
      <c r="F6120" s="378"/>
      <c r="G6120" s="380"/>
      <c r="H6120" s="380"/>
      <c r="I6120" s="399"/>
      <c r="J6120" s="377"/>
      <c r="K6120" s="380"/>
      <c r="L6120" s="378"/>
      <c r="M6120" s="380"/>
      <c r="N6120" s="380"/>
      <c r="O6120" s="380"/>
      <c r="P6120" s="380"/>
      <c r="Q6120" s="380"/>
    </row>
    <row r="6121" spans="1:17" x14ac:dyDescent="0.2">
      <c r="A6121" s="384" t="s">
        <v>1754</v>
      </c>
      <c r="B6121" s="380"/>
      <c r="C6121" s="334" t="s">
        <v>1929</v>
      </c>
      <c r="D6121" s="379"/>
      <c r="E6121" s="380"/>
      <c r="F6121" s="378"/>
      <c r="G6121" s="380"/>
      <c r="H6121" s="380"/>
      <c r="I6121" s="399"/>
      <c r="J6121" s="377"/>
      <c r="K6121" s="380"/>
      <c r="L6121" s="378"/>
      <c r="M6121" s="380"/>
      <c r="N6121" s="380"/>
      <c r="O6121" s="380"/>
      <c r="P6121" s="380"/>
      <c r="Q6121" s="380"/>
    </row>
    <row r="6122" spans="1:17" x14ac:dyDescent="0.2">
      <c r="A6122" s="334" t="s">
        <v>1584</v>
      </c>
      <c r="B6122" s="380"/>
      <c r="C6122" s="334" t="s">
        <v>0</v>
      </c>
      <c r="D6122" s="379"/>
      <c r="E6122" s="380"/>
      <c r="F6122" s="378"/>
      <c r="G6122" s="380"/>
      <c r="H6122" s="380"/>
      <c r="I6122" s="399"/>
      <c r="J6122" s="377"/>
      <c r="K6122" s="380"/>
      <c r="L6122" s="378"/>
      <c r="M6122" s="380"/>
      <c r="N6122" s="380"/>
      <c r="O6122" s="380"/>
      <c r="P6122" s="380"/>
      <c r="Q6122" s="380"/>
    </row>
    <row r="6123" spans="1:17" x14ac:dyDescent="0.2">
      <c r="A6123" s="334" t="s">
        <v>1730</v>
      </c>
      <c r="B6123" s="380"/>
      <c r="C6123" s="334" t="s">
        <v>1985</v>
      </c>
      <c r="D6123" s="379"/>
      <c r="E6123" s="380"/>
      <c r="F6123" s="378"/>
      <c r="G6123" s="380"/>
      <c r="H6123" s="380"/>
      <c r="I6123" s="399"/>
      <c r="J6123" s="377"/>
      <c r="K6123" s="380"/>
      <c r="L6123" s="378"/>
      <c r="M6123" s="380"/>
      <c r="N6123" s="380"/>
      <c r="O6123" s="380"/>
      <c r="P6123" s="380"/>
      <c r="Q6123" s="380"/>
    </row>
    <row r="6124" spans="1:17" x14ac:dyDescent="0.2">
      <c r="A6124" s="334" t="s">
        <v>1566</v>
      </c>
      <c r="B6124" s="380"/>
      <c r="C6124" s="334" t="s">
        <v>366</v>
      </c>
      <c r="D6124" s="379"/>
      <c r="E6124" s="380"/>
      <c r="F6124" s="378"/>
      <c r="G6124" s="380"/>
      <c r="H6124" s="380"/>
      <c r="I6124" s="399"/>
      <c r="J6124" s="377"/>
      <c r="K6124" s="380"/>
      <c r="L6124" s="378"/>
      <c r="M6124" s="380"/>
      <c r="N6124" s="380"/>
      <c r="O6124" s="380"/>
      <c r="P6124" s="380"/>
      <c r="Q6124" s="380"/>
    </row>
    <row r="6125" spans="1:17" x14ac:dyDescent="0.2">
      <c r="A6125" s="334" t="s">
        <v>1587</v>
      </c>
      <c r="B6125" s="380"/>
      <c r="C6125" s="334" t="s">
        <v>34</v>
      </c>
      <c r="D6125" s="379"/>
      <c r="E6125" s="380"/>
      <c r="F6125" s="378"/>
      <c r="G6125" s="380"/>
      <c r="H6125" s="380"/>
      <c r="I6125" s="399"/>
      <c r="J6125" s="377"/>
      <c r="K6125" s="380"/>
      <c r="L6125" s="378"/>
      <c r="M6125" s="380"/>
      <c r="N6125" s="380"/>
      <c r="O6125" s="380"/>
      <c r="P6125" s="380"/>
      <c r="Q6125" s="380"/>
    </row>
    <row r="6126" spans="1:17" x14ac:dyDescent="0.2">
      <c r="A6126" s="334" t="s">
        <v>1903</v>
      </c>
      <c r="B6126" s="380"/>
      <c r="C6126" s="334" t="s">
        <v>35</v>
      </c>
      <c r="D6126" s="379">
        <v>5000</v>
      </c>
      <c r="E6126" s="380"/>
      <c r="F6126" s="378"/>
      <c r="G6126" s="380"/>
      <c r="H6126" s="380"/>
      <c r="I6126" s="399"/>
      <c r="J6126" s="377">
        <v>5000</v>
      </c>
      <c r="K6126" s="380"/>
      <c r="L6126" s="378"/>
      <c r="M6126" s="380"/>
      <c r="N6126" s="380"/>
      <c r="O6126" s="380"/>
      <c r="P6126" s="380"/>
      <c r="Q6126" s="380"/>
    </row>
    <row r="6127" spans="1:17" x14ac:dyDescent="0.2">
      <c r="A6127" s="334" t="s">
        <v>1962</v>
      </c>
      <c r="B6127" s="380"/>
      <c r="C6127" s="380" t="s">
        <v>572</v>
      </c>
      <c r="D6127" s="377"/>
      <c r="E6127" s="380"/>
      <c r="F6127" s="378"/>
      <c r="G6127" s="380"/>
      <c r="H6127" s="380"/>
      <c r="I6127" s="399"/>
      <c r="J6127" s="377"/>
      <c r="K6127" s="380"/>
      <c r="L6127" s="378"/>
      <c r="M6127" s="380"/>
      <c r="N6127" s="380"/>
      <c r="O6127" s="380"/>
      <c r="P6127" s="380"/>
      <c r="Q6127" s="380"/>
    </row>
    <row r="6128" spans="1:17" x14ac:dyDescent="0.2">
      <c r="A6128" s="334" t="s">
        <v>1567</v>
      </c>
      <c r="B6128" s="380"/>
      <c r="C6128" s="334" t="s">
        <v>3142</v>
      </c>
      <c r="D6128" s="377"/>
      <c r="E6128" s="380"/>
      <c r="F6128" s="378"/>
      <c r="G6128" s="380"/>
      <c r="H6128" s="380"/>
      <c r="I6128" s="399"/>
      <c r="J6128" s="377"/>
      <c r="K6128" s="380"/>
      <c r="L6128" s="378"/>
      <c r="M6128" s="380"/>
      <c r="N6128" s="380"/>
      <c r="O6128" s="380"/>
      <c r="P6128" s="380"/>
      <c r="Q6128" s="380"/>
    </row>
    <row r="6129" spans="1:17" x14ac:dyDescent="0.2">
      <c r="A6129" s="380"/>
      <c r="B6129" s="380"/>
      <c r="C6129" s="380"/>
      <c r="D6129" s="394"/>
      <c r="E6129" s="380"/>
      <c r="F6129" s="378"/>
      <c r="G6129" s="380"/>
      <c r="H6129" s="380"/>
      <c r="I6129" s="385"/>
      <c r="J6129" s="394"/>
      <c r="K6129" s="380"/>
      <c r="L6129" s="378"/>
      <c r="M6129" s="380"/>
      <c r="N6129" s="380"/>
      <c r="O6129" s="380"/>
      <c r="P6129" s="380"/>
      <c r="Q6129" s="380"/>
    </row>
    <row r="6130" spans="1:17" x14ac:dyDescent="0.2">
      <c r="A6130" s="380"/>
      <c r="B6130" s="380"/>
      <c r="C6130" s="380"/>
      <c r="D6130" s="334">
        <f>SUM(D6096:D6128)</f>
        <v>22080</v>
      </c>
      <c r="E6130" s="380"/>
      <c r="F6130" s="378"/>
      <c r="G6130" s="380"/>
      <c r="H6130" s="380"/>
      <c r="I6130" s="399"/>
      <c r="J6130" s="334">
        <f>SUM(J6096:J6128)</f>
        <v>27600</v>
      </c>
      <c r="K6130" s="380"/>
      <c r="L6130" s="378"/>
      <c r="M6130" s="380"/>
      <c r="N6130" s="380"/>
      <c r="O6130" s="380"/>
      <c r="P6130" s="380"/>
      <c r="Q6130" s="380"/>
    </row>
    <row r="6131" spans="1:17" ht="15.75" thickTop="1" x14ac:dyDescent="0.2">
      <c r="A6131" s="380"/>
      <c r="B6131" s="380"/>
      <c r="C6131" s="380"/>
      <c r="D6131" s="395"/>
      <c r="E6131" s="380"/>
      <c r="F6131" s="378"/>
      <c r="G6131" s="380"/>
      <c r="H6131" s="380"/>
      <c r="I6131" s="382"/>
      <c r="J6131" s="395"/>
      <c r="K6131" s="380"/>
      <c r="L6131" s="378"/>
      <c r="M6131" s="380"/>
      <c r="N6131" s="380"/>
      <c r="O6131" s="380"/>
      <c r="P6131" s="380"/>
      <c r="Q6131" s="380"/>
    </row>
    <row r="6132" spans="1:17" x14ac:dyDescent="0.2">
      <c r="A6132" s="380"/>
      <c r="B6132" s="380"/>
      <c r="C6132" s="380"/>
      <c r="D6132" s="380"/>
      <c r="E6132" s="380"/>
      <c r="F6132" s="378"/>
      <c r="G6132" s="380"/>
      <c r="H6132" s="380"/>
      <c r="I6132" s="399"/>
      <c r="J6132" s="380"/>
      <c r="K6132" s="380"/>
      <c r="L6132" s="378"/>
      <c r="M6132" s="380"/>
      <c r="N6132" s="380"/>
      <c r="O6132" s="380"/>
      <c r="P6132" s="380"/>
      <c r="Q6132" s="380"/>
    </row>
    <row r="6133" spans="1:17" x14ac:dyDescent="0.2">
      <c r="A6133" s="334" t="s">
        <v>290</v>
      </c>
      <c r="B6133" s="377"/>
      <c r="C6133" s="377"/>
      <c r="D6133" s="377"/>
      <c r="E6133" s="380"/>
      <c r="F6133" s="378"/>
      <c r="G6133" s="380"/>
      <c r="H6133" s="380"/>
      <c r="I6133" s="382"/>
      <c r="J6133" s="377"/>
      <c r="K6133" s="380"/>
      <c r="L6133" s="378"/>
      <c r="M6133" s="380"/>
      <c r="N6133" s="380"/>
      <c r="O6133" s="380"/>
      <c r="P6133" s="380"/>
      <c r="Q6133" s="380"/>
    </row>
    <row r="6134" spans="1:17" x14ac:dyDescent="0.2">
      <c r="A6134" s="334"/>
      <c r="B6134" s="380"/>
      <c r="C6134" s="384" t="s">
        <v>2087</v>
      </c>
      <c r="D6134" s="380"/>
      <c r="E6134" s="380"/>
      <c r="F6134" s="378"/>
      <c r="G6134" s="380"/>
      <c r="H6134" s="380"/>
      <c r="I6134" s="385"/>
      <c r="J6134" s="380"/>
      <c r="K6134" s="382"/>
      <c r="L6134" s="380"/>
      <c r="M6134" s="380"/>
      <c r="N6134" s="380"/>
      <c r="O6134" s="380"/>
      <c r="P6134" s="380"/>
      <c r="Q6134" s="380"/>
    </row>
    <row r="6135" spans="1:17" x14ac:dyDescent="0.2">
      <c r="A6135" s="334" t="s">
        <v>342</v>
      </c>
      <c r="B6135" s="380"/>
      <c r="C6135" s="334" t="s">
        <v>342</v>
      </c>
      <c r="D6135" s="334" t="s">
        <v>210</v>
      </c>
      <c r="E6135" s="380" t="s">
        <v>1714</v>
      </c>
      <c r="F6135" s="378" t="s">
        <v>238</v>
      </c>
      <c r="G6135" s="334"/>
      <c r="H6135" s="380"/>
      <c r="I6135" s="385"/>
      <c r="J6135" s="334" t="s">
        <v>210</v>
      </c>
      <c r="K6135" s="380" t="s">
        <v>1714</v>
      </c>
      <c r="L6135" s="378" t="s">
        <v>238</v>
      </c>
      <c r="M6135" s="334"/>
      <c r="N6135" s="380"/>
      <c r="O6135" s="380"/>
      <c r="P6135" s="380"/>
      <c r="Q6135" s="380"/>
    </row>
    <row r="6136" spans="1:17" x14ac:dyDescent="0.2">
      <c r="A6136" s="334" t="s">
        <v>1723</v>
      </c>
      <c r="B6136" s="380"/>
      <c r="C6136" s="334" t="s">
        <v>1880</v>
      </c>
      <c r="D6136" s="334" t="s">
        <v>181</v>
      </c>
      <c r="E6136" s="334" t="s">
        <v>181</v>
      </c>
      <c r="F6136" s="412" t="s">
        <v>181</v>
      </c>
      <c r="G6136" s="380"/>
      <c r="H6136" s="380"/>
      <c r="I6136" s="382"/>
      <c r="J6136" s="334" t="s">
        <v>181</v>
      </c>
      <c r="K6136" s="334" t="s">
        <v>181</v>
      </c>
      <c r="L6136" s="412" t="s">
        <v>181</v>
      </c>
      <c r="M6136" s="380"/>
      <c r="N6136" s="380"/>
      <c r="O6136" s="380"/>
      <c r="P6136" s="380"/>
      <c r="Q6136" s="380"/>
    </row>
    <row r="6137" spans="1:17" x14ac:dyDescent="0.2">
      <c r="A6137" s="380"/>
      <c r="B6137" s="380"/>
      <c r="C6137" s="380"/>
      <c r="D6137" s="380"/>
      <c r="E6137" s="380"/>
      <c r="F6137" s="378"/>
      <c r="G6137" s="380"/>
      <c r="H6137" s="380"/>
      <c r="I6137" s="399"/>
      <c r="J6137" s="380"/>
      <c r="K6137" s="382"/>
      <c r="L6137" s="380"/>
      <c r="M6137" s="380"/>
      <c r="N6137" s="380"/>
      <c r="O6137" s="380"/>
      <c r="P6137" s="380"/>
      <c r="Q6137" s="380"/>
    </row>
    <row r="6138" spans="1:17" x14ac:dyDescent="0.2">
      <c r="A6138" s="403" t="s">
        <v>1577</v>
      </c>
      <c r="B6138" s="380"/>
      <c r="C6138" s="334" t="s">
        <v>1815</v>
      </c>
      <c r="D6138" s="377">
        <f>30000</f>
        <v>30000</v>
      </c>
      <c r="E6138" s="380">
        <f>690000</f>
        <v>690000</v>
      </c>
      <c r="F6138" s="378">
        <f>555140</f>
        <v>555140</v>
      </c>
      <c r="G6138" s="377"/>
      <c r="H6138" s="380"/>
      <c r="I6138" s="382"/>
      <c r="J6138" s="377">
        <v>1500</v>
      </c>
      <c r="K6138" s="380">
        <f>+(28900+12000)*12</f>
        <v>490800</v>
      </c>
      <c r="L6138" s="378">
        <f>(1100+31800+26000)*12</f>
        <v>706800</v>
      </c>
      <c r="M6138" s="377"/>
      <c r="N6138" s="380"/>
      <c r="O6138" s="380"/>
      <c r="P6138" s="380"/>
      <c r="Q6138" s="380"/>
    </row>
    <row r="6139" spans="1:17" x14ac:dyDescent="0.2">
      <c r="A6139" s="334" t="s">
        <v>1729</v>
      </c>
      <c r="B6139" s="380"/>
      <c r="C6139" s="380" t="s">
        <v>1551</v>
      </c>
      <c r="D6139" s="380">
        <v>-5998</v>
      </c>
      <c r="E6139" s="377">
        <v>-137956</v>
      </c>
      <c r="F6139" s="378">
        <v>-110992</v>
      </c>
      <c r="G6139" s="385"/>
      <c r="H6139" s="380"/>
      <c r="I6139" s="385"/>
      <c r="J6139" s="380"/>
      <c r="K6139" s="377"/>
      <c r="L6139" s="378">
        <v>-241408.63</v>
      </c>
      <c r="M6139" s="385"/>
      <c r="N6139" s="380"/>
      <c r="O6139" s="380"/>
      <c r="P6139" s="380"/>
      <c r="Q6139" s="380"/>
    </row>
    <row r="6140" spans="1:17" x14ac:dyDescent="0.2">
      <c r="A6140" s="380"/>
      <c r="B6140" s="380"/>
      <c r="C6140" s="380"/>
      <c r="D6140" s="410" t="s">
        <v>342</v>
      </c>
      <c r="E6140" s="410" t="s">
        <v>342</v>
      </c>
      <c r="F6140" s="445" t="s">
        <v>342</v>
      </c>
      <c r="G6140" s="334"/>
      <c r="H6140" s="380"/>
      <c r="I6140" s="385"/>
      <c r="J6140" s="410" t="s">
        <v>342</v>
      </c>
      <c r="K6140" s="410" t="s">
        <v>342</v>
      </c>
      <c r="L6140" s="445" t="s">
        <v>342</v>
      </c>
      <c r="M6140" s="334"/>
      <c r="N6140" s="380"/>
      <c r="O6140" s="380"/>
      <c r="P6140" s="380"/>
      <c r="Q6140" s="380"/>
    </row>
    <row r="6141" spans="1:17" x14ac:dyDescent="0.2">
      <c r="A6141" s="380"/>
      <c r="B6141" s="380"/>
      <c r="C6141" s="380"/>
      <c r="D6141" s="334">
        <f>SUM(D6138:D6140)</f>
        <v>24002</v>
      </c>
      <c r="E6141" s="334">
        <f t="shared" ref="E6141:F6141" si="43">SUM(E6138:E6140)</f>
        <v>552044</v>
      </c>
      <c r="F6141" s="334">
        <f t="shared" si="43"/>
        <v>444148</v>
      </c>
      <c r="G6141" s="399"/>
      <c r="H6141" s="380"/>
      <c r="I6141" s="399"/>
      <c r="J6141" s="334">
        <f>SUM(J6138:J6138)</f>
        <v>1500</v>
      </c>
      <c r="K6141" s="334">
        <f>SUM(K6138:K6139)</f>
        <v>490800</v>
      </c>
      <c r="L6141" s="412">
        <f>SUM(L6138:L6139)</f>
        <v>465391.37</v>
      </c>
      <c r="M6141" s="399"/>
      <c r="N6141" s="380"/>
      <c r="O6141" s="380"/>
      <c r="P6141" s="380"/>
      <c r="Q6141" s="380"/>
    </row>
    <row r="6142" spans="1:17" ht="15.75" thickTop="1" x14ac:dyDescent="0.2">
      <c r="A6142" s="380"/>
      <c r="B6142" s="380"/>
      <c r="C6142" s="380"/>
      <c r="D6142" s="395"/>
      <c r="E6142" s="395"/>
      <c r="F6142" s="401"/>
      <c r="G6142" s="380"/>
      <c r="H6142" s="380"/>
      <c r="I6142" s="382"/>
      <c r="J6142" s="395"/>
      <c r="K6142" s="395"/>
      <c r="L6142" s="401"/>
      <c r="M6142" s="380"/>
      <c r="N6142" s="380"/>
      <c r="O6142" s="380"/>
      <c r="P6142" s="380"/>
      <c r="Q6142" s="380"/>
    </row>
    <row r="6143" spans="1:17" x14ac:dyDescent="0.2">
      <c r="A6143" s="380"/>
      <c r="B6143" s="380"/>
      <c r="C6143" s="380"/>
      <c r="D6143" s="380"/>
      <c r="E6143" s="334"/>
      <c r="F6143" s="378"/>
      <c r="G6143" s="380"/>
      <c r="H6143" s="380"/>
      <c r="I6143" s="385"/>
      <c r="J6143" s="380"/>
      <c r="K6143" s="334"/>
      <c r="L6143" s="378"/>
      <c r="M6143" s="380"/>
      <c r="N6143" s="380"/>
      <c r="O6143" s="380"/>
      <c r="P6143" s="380"/>
      <c r="Q6143" s="380"/>
    </row>
    <row r="6144" spans="1:17" x14ac:dyDescent="0.2">
      <c r="A6144" s="334" t="s">
        <v>506</v>
      </c>
      <c r="B6144" s="380"/>
      <c r="C6144" s="380"/>
      <c r="D6144" s="334"/>
      <c r="E6144" s="384" t="s">
        <v>3718</v>
      </c>
      <c r="F6144" s="378"/>
      <c r="G6144" s="380"/>
      <c r="H6144" s="380"/>
      <c r="I6144" s="443"/>
      <c r="J6144" s="334"/>
      <c r="K6144" s="384" t="s">
        <v>3718</v>
      </c>
      <c r="L6144" s="378"/>
      <c r="M6144" s="380"/>
      <c r="N6144" s="380"/>
      <c r="O6144" s="380"/>
      <c r="P6144" s="380"/>
      <c r="Q6144" s="380"/>
    </row>
    <row r="6145" spans="1:17" x14ac:dyDescent="0.2">
      <c r="A6145" s="334" t="s">
        <v>342</v>
      </c>
      <c r="B6145" s="380"/>
      <c r="C6145" s="507" t="s">
        <v>3692</v>
      </c>
      <c r="D6145" s="507"/>
      <c r="E6145" s="507"/>
      <c r="F6145" s="378"/>
      <c r="G6145" s="380"/>
      <c r="H6145" s="380"/>
      <c r="I6145" s="385"/>
      <c r="J6145" s="442"/>
      <c r="K6145" s="334"/>
      <c r="L6145" s="378"/>
      <c r="M6145" s="380"/>
      <c r="N6145" s="380"/>
      <c r="O6145" s="380"/>
      <c r="P6145" s="380"/>
      <c r="Q6145" s="380"/>
    </row>
    <row r="6146" spans="1:17" x14ac:dyDescent="0.2">
      <c r="A6146" s="334" t="s">
        <v>342</v>
      </c>
      <c r="B6146" s="380"/>
      <c r="C6146" s="334" t="s">
        <v>342</v>
      </c>
      <c r="D6146" s="334"/>
      <c r="E6146" s="334" t="s">
        <v>181</v>
      </c>
      <c r="F6146" s="378"/>
      <c r="G6146" s="380"/>
      <c r="H6146" s="380"/>
      <c r="I6146" s="385"/>
      <c r="J6146" s="334"/>
      <c r="K6146" s="334" t="s">
        <v>181</v>
      </c>
      <c r="L6146" s="378"/>
      <c r="M6146" s="380"/>
      <c r="N6146" s="380"/>
      <c r="O6146" s="380"/>
      <c r="P6146" s="380"/>
      <c r="Q6146" s="380"/>
    </row>
    <row r="6147" spans="1:17" x14ac:dyDescent="0.2">
      <c r="A6147" s="334" t="s">
        <v>1723</v>
      </c>
      <c r="B6147" s="380"/>
      <c r="C6147" s="334" t="s">
        <v>1880</v>
      </c>
      <c r="D6147" s="334"/>
      <c r="E6147" s="380"/>
      <c r="F6147" s="378"/>
      <c r="G6147" s="380"/>
      <c r="H6147" s="380"/>
      <c r="I6147" s="382"/>
      <c r="J6147" s="334"/>
      <c r="K6147" s="380"/>
      <c r="L6147" s="378"/>
      <c r="M6147" s="380"/>
      <c r="N6147" s="380"/>
      <c r="O6147" s="380"/>
      <c r="P6147" s="380"/>
      <c r="Q6147" s="380"/>
    </row>
    <row r="6148" spans="1:17" x14ac:dyDescent="0.2">
      <c r="A6148" s="380"/>
      <c r="B6148" s="380"/>
      <c r="C6148" s="380"/>
      <c r="D6148" s="380"/>
      <c r="E6148" s="377"/>
      <c r="F6148" s="378"/>
      <c r="G6148" s="380"/>
      <c r="H6148" s="380"/>
      <c r="I6148" s="399"/>
      <c r="J6148" s="380"/>
      <c r="K6148" s="377"/>
      <c r="L6148" s="378"/>
      <c r="M6148" s="380"/>
      <c r="N6148" s="380"/>
      <c r="O6148" s="380"/>
      <c r="P6148" s="380"/>
      <c r="Q6148" s="380"/>
    </row>
    <row r="6149" spans="1:17" x14ac:dyDescent="0.2">
      <c r="A6149" s="334" t="s">
        <v>1568</v>
      </c>
      <c r="B6149" s="380"/>
      <c r="C6149" s="380" t="s">
        <v>1817</v>
      </c>
      <c r="D6149" s="377"/>
      <c r="E6149" s="377"/>
      <c r="F6149" s="378"/>
      <c r="G6149" s="380"/>
      <c r="H6149" s="380"/>
      <c r="I6149" s="399"/>
      <c r="J6149" s="377"/>
      <c r="K6149" s="377"/>
      <c r="L6149" s="378"/>
      <c r="M6149" s="380"/>
      <c r="N6149" s="380"/>
      <c r="O6149" s="380"/>
      <c r="P6149" s="380"/>
      <c r="Q6149" s="380"/>
    </row>
    <row r="6150" spans="1:17" x14ac:dyDescent="0.2">
      <c r="A6150" s="334" t="s">
        <v>1724</v>
      </c>
      <c r="B6150" s="380"/>
      <c r="C6150" s="334" t="s">
        <v>1881</v>
      </c>
      <c r="D6150" s="377"/>
      <c r="E6150" s="377"/>
      <c r="F6150" s="378"/>
      <c r="G6150" s="380"/>
      <c r="H6150" s="380"/>
      <c r="I6150" s="399"/>
      <c r="J6150" s="377"/>
      <c r="K6150" s="377"/>
      <c r="L6150" s="378"/>
      <c r="M6150" s="380"/>
      <c r="N6150" s="380"/>
      <c r="O6150" s="380"/>
      <c r="P6150" s="380"/>
      <c r="Q6150" s="380"/>
    </row>
    <row r="6151" spans="1:17" x14ac:dyDescent="0.2">
      <c r="A6151" s="334" t="s">
        <v>1961</v>
      </c>
      <c r="B6151" s="380"/>
      <c r="C6151" s="334" t="s">
        <v>9</v>
      </c>
      <c r="D6151" s="377"/>
      <c r="E6151" s="377"/>
      <c r="F6151" s="378"/>
      <c r="G6151" s="380"/>
      <c r="H6151" s="380"/>
      <c r="I6151" s="399"/>
      <c r="J6151" s="377"/>
      <c r="K6151" s="377"/>
      <c r="L6151" s="378"/>
      <c r="M6151" s="380"/>
      <c r="N6151" s="380"/>
      <c r="O6151" s="380"/>
      <c r="P6151" s="380"/>
      <c r="Q6151" s="380"/>
    </row>
    <row r="6152" spans="1:17" x14ac:dyDescent="0.2">
      <c r="A6152" s="334" t="s">
        <v>1736</v>
      </c>
      <c r="B6152" s="380"/>
      <c r="C6152" s="334" t="s">
        <v>1747</v>
      </c>
      <c r="D6152" s="377"/>
      <c r="E6152" s="377"/>
      <c r="F6152" s="378"/>
      <c r="G6152" s="380"/>
      <c r="H6152" s="380"/>
      <c r="I6152" s="399"/>
      <c r="J6152" s="377"/>
      <c r="K6152" s="377"/>
      <c r="L6152" s="378"/>
      <c r="M6152" s="380"/>
      <c r="N6152" s="380"/>
      <c r="O6152" s="380"/>
      <c r="P6152" s="380"/>
      <c r="Q6152" s="380"/>
    </row>
    <row r="6153" spans="1:17" x14ac:dyDescent="0.2">
      <c r="A6153" s="334" t="s">
        <v>1744</v>
      </c>
      <c r="B6153" s="380"/>
      <c r="C6153" s="334" t="s">
        <v>1254</v>
      </c>
      <c r="D6153" s="377"/>
      <c r="E6153" s="377"/>
      <c r="F6153" s="378"/>
      <c r="G6153" s="380"/>
      <c r="H6153" s="380"/>
      <c r="I6153" s="399"/>
      <c r="J6153" s="377"/>
      <c r="K6153" s="377"/>
      <c r="L6153" s="378"/>
      <c r="M6153" s="380"/>
      <c r="N6153" s="380"/>
      <c r="O6153" s="380"/>
      <c r="P6153" s="380"/>
      <c r="Q6153" s="380"/>
    </row>
    <row r="6154" spans="1:17" x14ac:dyDescent="0.2">
      <c r="A6154" s="334" t="s">
        <v>1582</v>
      </c>
      <c r="B6154" s="380"/>
      <c r="C6154" s="334" t="s">
        <v>3135</v>
      </c>
      <c r="D6154" s="377"/>
      <c r="E6154" s="377"/>
      <c r="F6154" s="378"/>
      <c r="G6154" s="380"/>
      <c r="H6154" s="380"/>
      <c r="I6154" s="399"/>
      <c r="J6154" s="377"/>
      <c r="K6154" s="377"/>
      <c r="L6154" s="378"/>
      <c r="M6154" s="380"/>
      <c r="N6154" s="380"/>
      <c r="O6154" s="380"/>
      <c r="P6154" s="380"/>
      <c r="Q6154" s="380"/>
    </row>
    <row r="6155" spans="1:17" x14ac:dyDescent="0.2">
      <c r="A6155" s="334" t="s">
        <v>1745</v>
      </c>
      <c r="B6155" s="380"/>
      <c r="C6155" s="334" t="s">
        <v>1887</v>
      </c>
      <c r="D6155" s="377"/>
      <c r="E6155" s="377"/>
      <c r="F6155" s="378"/>
      <c r="G6155" s="380"/>
      <c r="H6155" s="380"/>
      <c r="I6155" s="399"/>
      <c r="J6155" s="377"/>
      <c r="K6155" s="377"/>
      <c r="L6155" s="378"/>
      <c r="M6155" s="380"/>
      <c r="N6155" s="380"/>
      <c r="O6155" s="380"/>
      <c r="P6155" s="380"/>
      <c r="Q6155" s="380"/>
    </row>
    <row r="6156" spans="1:17" x14ac:dyDescent="0.2">
      <c r="A6156" s="334" t="s">
        <v>1906</v>
      </c>
      <c r="B6156" s="380"/>
      <c r="C6156" s="334" t="s">
        <v>39</v>
      </c>
      <c r="D6156" s="377"/>
      <c r="E6156" s="377"/>
      <c r="F6156" s="378"/>
      <c r="G6156" s="380"/>
      <c r="H6156" s="380"/>
      <c r="I6156" s="399"/>
      <c r="J6156" s="377"/>
      <c r="K6156" s="377"/>
      <c r="L6156" s="378"/>
      <c r="M6156" s="380"/>
      <c r="N6156" s="380"/>
      <c r="O6156" s="380"/>
      <c r="P6156" s="380"/>
      <c r="Q6156" s="380"/>
    </row>
    <row r="6157" spans="1:17" x14ac:dyDescent="0.2">
      <c r="A6157" s="334" t="s">
        <v>1576</v>
      </c>
      <c r="B6157" s="380"/>
      <c r="C6157" s="334" t="s">
        <v>1590</v>
      </c>
      <c r="D6157" s="377"/>
      <c r="E6157" s="377"/>
      <c r="F6157" s="378"/>
      <c r="G6157" s="380"/>
      <c r="H6157" s="380"/>
      <c r="I6157" s="399"/>
      <c r="J6157" s="377"/>
      <c r="K6157" s="377"/>
      <c r="L6157" s="378"/>
      <c r="M6157" s="380"/>
      <c r="N6157" s="380"/>
      <c r="O6157" s="380"/>
      <c r="P6157" s="380"/>
      <c r="Q6157" s="380"/>
    </row>
    <row r="6158" spans="1:17" x14ac:dyDescent="0.2">
      <c r="A6158" s="334" t="s">
        <v>1737</v>
      </c>
      <c r="B6158" s="380"/>
      <c r="C6158" s="334" t="s">
        <v>1984</v>
      </c>
      <c r="D6158" s="377"/>
      <c r="E6158" s="377"/>
      <c r="F6158" s="378"/>
      <c r="G6158" s="380"/>
      <c r="H6158" s="380"/>
      <c r="I6158" s="399"/>
      <c r="J6158" s="377"/>
      <c r="K6158" s="377"/>
      <c r="L6158" s="378"/>
      <c r="M6158" s="380"/>
      <c r="N6158" s="380"/>
      <c r="O6158" s="380"/>
      <c r="P6158" s="380"/>
      <c r="Q6158" s="380"/>
    </row>
    <row r="6159" spans="1:17" x14ac:dyDescent="0.2">
      <c r="A6159" s="334" t="s">
        <v>1752</v>
      </c>
      <c r="B6159" s="380"/>
      <c r="C6159" s="334" t="s">
        <v>367</v>
      </c>
      <c r="D6159" s="377"/>
      <c r="E6159" s="377"/>
      <c r="F6159" s="378"/>
      <c r="G6159" s="380"/>
      <c r="H6159" s="380"/>
      <c r="I6159" s="399"/>
      <c r="J6159" s="377"/>
      <c r="K6159" s="377"/>
      <c r="L6159" s="378"/>
      <c r="M6159" s="380"/>
      <c r="N6159" s="380"/>
      <c r="O6159" s="380"/>
      <c r="P6159" s="380"/>
      <c r="Q6159" s="380"/>
    </row>
    <row r="6160" spans="1:17" x14ac:dyDescent="0.2">
      <c r="A6160" s="384" t="s">
        <v>1952</v>
      </c>
      <c r="B6160" s="380"/>
      <c r="C6160" s="334" t="s">
        <v>1251</v>
      </c>
      <c r="D6160" s="377"/>
      <c r="E6160" s="377"/>
      <c r="F6160" s="378"/>
      <c r="G6160" s="380"/>
      <c r="H6160" s="380"/>
      <c r="I6160" s="399"/>
      <c r="J6160" s="377"/>
      <c r="K6160" s="377"/>
      <c r="L6160" s="378"/>
      <c r="M6160" s="380"/>
      <c r="N6160" s="380"/>
      <c r="O6160" s="380"/>
      <c r="P6160" s="380"/>
      <c r="Q6160" s="380"/>
    </row>
    <row r="6161" spans="1:17" x14ac:dyDescent="0.2">
      <c r="A6161" s="334" t="s">
        <v>1734</v>
      </c>
      <c r="B6161" s="380"/>
      <c r="C6161" s="334" t="s">
        <v>1746</v>
      </c>
      <c r="D6161" s="377"/>
      <c r="E6161" s="377"/>
      <c r="F6161" s="378"/>
      <c r="G6161" s="380"/>
      <c r="H6161" s="380"/>
      <c r="I6161" s="399"/>
      <c r="J6161" s="377"/>
      <c r="K6161" s="377"/>
      <c r="L6161" s="378"/>
      <c r="M6161" s="380"/>
      <c r="N6161" s="380"/>
      <c r="O6161" s="380"/>
      <c r="P6161" s="380"/>
      <c r="Q6161" s="380"/>
    </row>
    <row r="6162" spans="1:17" x14ac:dyDescent="0.2">
      <c r="A6162" s="334" t="s">
        <v>1578</v>
      </c>
      <c r="B6162" s="380"/>
      <c r="C6162" s="334" t="s">
        <v>22</v>
      </c>
      <c r="D6162" s="377"/>
      <c r="E6162" s="377"/>
      <c r="F6162" s="378"/>
      <c r="G6162" s="380"/>
      <c r="H6162" s="380"/>
      <c r="I6162" s="399"/>
      <c r="J6162" s="377"/>
      <c r="K6162" s="377"/>
      <c r="L6162" s="378"/>
      <c r="M6162" s="380"/>
      <c r="N6162" s="380"/>
      <c r="O6162" s="380"/>
      <c r="P6162" s="380"/>
      <c r="Q6162" s="380"/>
    </row>
    <row r="6163" spans="1:17" x14ac:dyDescent="0.2">
      <c r="A6163" s="334" t="s">
        <v>1738</v>
      </c>
      <c r="B6163" s="380"/>
      <c r="C6163" s="334" t="s">
        <v>1591</v>
      </c>
      <c r="D6163" s="377"/>
      <c r="E6163" s="377"/>
      <c r="F6163" s="378"/>
      <c r="G6163" s="380"/>
      <c r="H6163" s="380"/>
      <c r="I6163" s="399"/>
      <c r="J6163" s="377"/>
      <c r="K6163" s="377"/>
      <c r="L6163" s="378"/>
      <c r="M6163" s="380"/>
      <c r="N6163" s="380"/>
      <c r="O6163" s="380"/>
      <c r="P6163" s="380"/>
      <c r="Q6163" s="380"/>
    </row>
    <row r="6164" spans="1:17" x14ac:dyDescent="0.2">
      <c r="A6164" s="334" t="s">
        <v>1727</v>
      </c>
      <c r="B6164" s="380"/>
      <c r="C6164" s="334" t="s">
        <v>307</v>
      </c>
      <c r="D6164" s="377"/>
      <c r="E6164" s="377"/>
      <c r="F6164" s="378"/>
      <c r="G6164" s="380"/>
      <c r="H6164" s="380"/>
      <c r="I6164" s="399"/>
      <c r="J6164" s="377"/>
      <c r="K6164" s="377"/>
      <c r="L6164" s="378"/>
      <c r="M6164" s="380"/>
      <c r="N6164" s="380"/>
      <c r="O6164" s="380"/>
      <c r="P6164" s="380"/>
      <c r="Q6164" s="380"/>
    </row>
    <row r="6165" spans="1:17" x14ac:dyDescent="0.2">
      <c r="A6165" s="334" t="s">
        <v>1728</v>
      </c>
      <c r="B6165" s="380"/>
      <c r="C6165" s="334" t="s">
        <v>310</v>
      </c>
      <c r="D6165" s="377"/>
      <c r="E6165" s="377"/>
      <c r="F6165" s="378"/>
      <c r="G6165" s="380"/>
      <c r="H6165" s="380"/>
      <c r="I6165" s="399"/>
      <c r="J6165" s="377"/>
      <c r="K6165" s="377"/>
      <c r="L6165" s="378"/>
      <c r="M6165" s="380"/>
      <c r="N6165" s="380"/>
      <c r="O6165" s="380"/>
      <c r="P6165" s="380"/>
      <c r="Q6165" s="380"/>
    </row>
    <row r="6166" spans="1:17" x14ac:dyDescent="0.2">
      <c r="A6166" s="334" t="s">
        <v>1729</v>
      </c>
      <c r="B6166" s="380"/>
      <c r="C6166" s="380" t="s">
        <v>1551</v>
      </c>
      <c r="D6166" s="377"/>
      <c r="E6166" s="377"/>
      <c r="F6166" s="378"/>
      <c r="G6166" s="380"/>
      <c r="H6166" s="380"/>
      <c r="I6166" s="399"/>
      <c r="J6166" s="377"/>
      <c r="K6166" s="377"/>
      <c r="L6166" s="378"/>
      <c r="M6166" s="380"/>
      <c r="N6166" s="380"/>
      <c r="O6166" s="380"/>
      <c r="P6166" s="380"/>
      <c r="Q6166" s="380"/>
    </row>
    <row r="6167" spans="1:17" x14ac:dyDescent="0.2">
      <c r="A6167" s="334" t="s">
        <v>1735</v>
      </c>
      <c r="B6167" s="380"/>
      <c r="C6167" s="380" t="s">
        <v>194</v>
      </c>
      <c r="D6167" s="377"/>
      <c r="E6167" s="377"/>
      <c r="F6167" s="378"/>
      <c r="G6167" s="380"/>
      <c r="H6167" s="380"/>
      <c r="I6167" s="399"/>
      <c r="J6167" s="377"/>
      <c r="K6167" s="377"/>
      <c r="L6167" s="378"/>
      <c r="M6167" s="380"/>
      <c r="N6167" s="380"/>
      <c r="O6167" s="380"/>
      <c r="P6167" s="380"/>
      <c r="Q6167" s="380"/>
    </row>
    <row r="6168" spans="1:17" x14ac:dyDescent="0.2">
      <c r="A6168" s="334" t="s">
        <v>1741</v>
      </c>
      <c r="B6168" s="380"/>
      <c r="C6168" s="334" t="s">
        <v>1748</v>
      </c>
      <c r="D6168" s="377"/>
      <c r="E6168" s="377"/>
      <c r="F6168" s="378"/>
      <c r="G6168" s="380"/>
      <c r="H6168" s="380"/>
      <c r="I6168" s="399"/>
      <c r="J6168" s="377"/>
      <c r="K6168" s="377"/>
      <c r="L6168" s="378"/>
      <c r="M6168" s="380"/>
      <c r="N6168" s="380"/>
      <c r="O6168" s="380"/>
      <c r="P6168" s="380"/>
      <c r="Q6168" s="380"/>
    </row>
    <row r="6169" spans="1:17" x14ac:dyDescent="0.2">
      <c r="A6169" s="334" t="s">
        <v>1742</v>
      </c>
      <c r="B6169" s="380"/>
      <c r="C6169" s="334" t="s">
        <v>1553</v>
      </c>
      <c r="D6169" s="377"/>
      <c r="E6169" s="377"/>
      <c r="F6169" s="378"/>
      <c r="G6169" s="380"/>
      <c r="H6169" s="380"/>
      <c r="I6169" s="399"/>
      <c r="J6169" s="377"/>
      <c r="K6169" s="377"/>
      <c r="L6169" s="378"/>
      <c r="M6169" s="380"/>
      <c r="N6169" s="380"/>
      <c r="O6169" s="380"/>
      <c r="P6169" s="380"/>
      <c r="Q6169" s="380"/>
    </row>
    <row r="6170" spans="1:17" x14ac:dyDescent="0.2">
      <c r="A6170" s="334" t="s">
        <v>1584</v>
      </c>
      <c r="B6170" s="380"/>
      <c r="C6170" s="334" t="s">
        <v>0</v>
      </c>
      <c r="D6170" s="377"/>
      <c r="E6170" s="377"/>
      <c r="F6170" s="378"/>
      <c r="G6170" s="380"/>
      <c r="H6170" s="380"/>
      <c r="I6170" s="399"/>
      <c r="J6170" s="377"/>
      <c r="K6170" s="377"/>
      <c r="L6170" s="378"/>
      <c r="M6170" s="380"/>
      <c r="N6170" s="380"/>
      <c r="O6170" s="380"/>
      <c r="P6170" s="380"/>
      <c r="Q6170" s="380"/>
    </row>
    <row r="6171" spans="1:17" x14ac:dyDescent="0.2">
      <c r="A6171" s="334" t="s">
        <v>1730</v>
      </c>
      <c r="B6171" s="380"/>
      <c r="C6171" s="334" t="s">
        <v>1985</v>
      </c>
      <c r="D6171" s="377"/>
      <c r="E6171" s="377"/>
      <c r="F6171" s="378"/>
      <c r="G6171" s="380"/>
      <c r="H6171" s="380"/>
      <c r="I6171" s="399"/>
      <c r="J6171" s="377"/>
      <c r="K6171" s="377"/>
      <c r="L6171" s="378"/>
      <c r="M6171" s="380"/>
      <c r="N6171" s="380"/>
      <c r="O6171" s="380"/>
      <c r="P6171" s="380"/>
      <c r="Q6171" s="380"/>
    </row>
    <row r="6172" spans="1:17" x14ac:dyDescent="0.2">
      <c r="A6172" s="334" t="s">
        <v>1566</v>
      </c>
      <c r="B6172" s="380"/>
      <c r="C6172" s="334" t="s">
        <v>366</v>
      </c>
      <c r="D6172" s="377"/>
      <c r="E6172" s="377"/>
      <c r="F6172" s="378"/>
      <c r="G6172" s="380"/>
      <c r="H6172" s="380"/>
      <c r="I6172" s="399"/>
      <c r="J6172" s="377"/>
      <c r="K6172" s="377"/>
      <c r="L6172" s="378"/>
      <c r="M6172" s="380"/>
      <c r="N6172" s="380"/>
      <c r="O6172" s="380"/>
      <c r="P6172" s="380"/>
      <c r="Q6172" s="380"/>
    </row>
    <row r="6173" spans="1:17" x14ac:dyDescent="0.2">
      <c r="A6173" s="334" t="s">
        <v>1587</v>
      </c>
      <c r="B6173" s="380"/>
      <c r="C6173" s="334" t="s">
        <v>34</v>
      </c>
      <c r="D6173" s="377"/>
      <c r="E6173" s="377"/>
      <c r="F6173" s="378"/>
      <c r="G6173" s="380"/>
      <c r="H6173" s="380"/>
      <c r="I6173" s="399"/>
      <c r="J6173" s="377"/>
      <c r="K6173" s="377"/>
      <c r="L6173" s="378"/>
      <c r="M6173" s="380"/>
      <c r="N6173" s="380"/>
      <c r="O6173" s="380"/>
      <c r="P6173" s="380"/>
      <c r="Q6173" s="380"/>
    </row>
    <row r="6174" spans="1:17" x14ac:dyDescent="0.2">
      <c r="A6174" s="334" t="s">
        <v>1903</v>
      </c>
      <c r="B6174" s="380"/>
      <c r="C6174" s="334" t="s">
        <v>35</v>
      </c>
      <c r="D6174" s="377"/>
      <c r="E6174" s="377"/>
      <c r="F6174" s="378"/>
      <c r="G6174" s="380"/>
      <c r="H6174" s="380"/>
      <c r="I6174" s="399"/>
      <c r="J6174" s="377"/>
      <c r="K6174" s="377">
        <v>25000</v>
      </c>
      <c r="L6174" s="378"/>
      <c r="M6174" s="380"/>
      <c r="N6174" s="380"/>
      <c r="O6174" s="380"/>
      <c r="P6174" s="380"/>
      <c r="Q6174" s="380"/>
    </row>
    <row r="6175" spans="1:17" x14ac:dyDescent="0.2">
      <c r="A6175" s="334" t="s">
        <v>1962</v>
      </c>
      <c r="B6175" s="380"/>
      <c r="C6175" s="380" t="s">
        <v>572</v>
      </c>
      <c r="D6175" s="377"/>
      <c r="E6175" s="377"/>
      <c r="F6175" s="378"/>
      <c r="G6175" s="380"/>
      <c r="H6175" s="380"/>
      <c r="I6175" s="399"/>
      <c r="J6175" s="377"/>
      <c r="K6175" s="377"/>
      <c r="L6175" s="378"/>
      <c r="M6175" s="380"/>
      <c r="N6175" s="380"/>
      <c r="O6175" s="380"/>
      <c r="P6175" s="380"/>
      <c r="Q6175" s="380"/>
    </row>
    <row r="6176" spans="1:17" x14ac:dyDescent="0.2">
      <c r="A6176" s="334" t="s">
        <v>1567</v>
      </c>
      <c r="B6176" s="380"/>
      <c r="C6176" s="334" t="s">
        <v>3142</v>
      </c>
      <c r="D6176" s="399"/>
      <c r="E6176" s="394"/>
      <c r="F6176" s="378"/>
      <c r="G6176" s="380"/>
      <c r="H6176" s="380"/>
      <c r="I6176" s="399"/>
      <c r="J6176" s="399"/>
      <c r="K6176" s="394"/>
      <c r="L6176" s="378"/>
      <c r="M6176" s="380"/>
      <c r="N6176" s="380"/>
      <c r="O6176" s="380"/>
      <c r="P6176" s="380"/>
      <c r="Q6176" s="380"/>
    </row>
    <row r="6177" spans="1:17" x14ac:dyDescent="0.2">
      <c r="A6177" s="380"/>
      <c r="B6177" s="380"/>
      <c r="C6177" s="380"/>
      <c r="D6177" s="399"/>
      <c r="E6177" s="334">
        <f>SUM(E6148:E6175)</f>
        <v>0</v>
      </c>
      <c r="F6177" s="378"/>
      <c r="G6177" s="380"/>
      <c r="H6177" s="380"/>
      <c r="I6177" s="385"/>
      <c r="J6177" s="399"/>
      <c r="K6177" s="334">
        <f>SUM(K6148:K6175)</f>
        <v>25000</v>
      </c>
      <c r="L6177" s="378"/>
      <c r="M6177" s="380"/>
      <c r="N6177" s="380"/>
      <c r="O6177" s="380"/>
      <c r="P6177" s="380"/>
      <c r="Q6177" s="380"/>
    </row>
    <row r="6178" spans="1:17" ht="15.75" thickTop="1" x14ac:dyDescent="0.2">
      <c r="A6178" s="380"/>
      <c r="B6178" s="380"/>
      <c r="C6178" s="380"/>
      <c r="D6178" s="385"/>
      <c r="E6178" s="395"/>
      <c r="F6178" s="378"/>
      <c r="G6178" s="380"/>
      <c r="H6178" s="380"/>
      <c r="I6178" s="399"/>
      <c r="J6178" s="385"/>
      <c r="K6178" s="395"/>
      <c r="L6178" s="378"/>
      <c r="M6178" s="380"/>
      <c r="N6178" s="380"/>
      <c r="O6178" s="380"/>
      <c r="P6178" s="380"/>
      <c r="Q6178" s="380"/>
    </row>
    <row r="6179" spans="1:17" x14ac:dyDescent="0.2">
      <c r="A6179" s="380"/>
      <c r="B6179" s="380"/>
      <c r="C6179" s="380"/>
      <c r="D6179" s="399"/>
      <c r="E6179" s="380"/>
      <c r="F6179" s="378"/>
      <c r="G6179" s="380"/>
      <c r="H6179" s="380"/>
      <c r="I6179" s="385"/>
      <c r="J6179" s="399"/>
      <c r="K6179" s="380"/>
      <c r="L6179" s="378"/>
      <c r="M6179" s="380"/>
      <c r="N6179" s="380"/>
      <c r="O6179" s="380"/>
      <c r="P6179" s="380"/>
      <c r="Q6179" s="380"/>
    </row>
    <row r="6180" spans="1:17" x14ac:dyDescent="0.2">
      <c r="A6180" s="452" t="s">
        <v>933</v>
      </c>
      <c r="B6180" s="466"/>
      <c r="C6180" s="466"/>
      <c r="D6180" s="334"/>
      <c r="E6180" s="380"/>
      <c r="F6180" s="378"/>
      <c r="G6180" s="380"/>
      <c r="H6180" s="380"/>
      <c r="I6180" s="481"/>
      <c r="J6180" s="334"/>
      <c r="K6180" s="380"/>
      <c r="L6180" s="378"/>
      <c r="M6180" s="380"/>
      <c r="N6180" s="380"/>
      <c r="O6180" s="380"/>
      <c r="P6180" s="380"/>
      <c r="Q6180" s="380"/>
    </row>
    <row r="6181" spans="1:17" x14ac:dyDescent="0.2">
      <c r="A6181" s="334" t="s">
        <v>342</v>
      </c>
      <c r="B6181" s="380"/>
      <c r="C6181" s="334"/>
      <c r="D6181" s="405" t="s">
        <v>1624</v>
      </c>
      <c r="E6181" s="380"/>
      <c r="F6181" s="378"/>
      <c r="G6181" s="380"/>
      <c r="H6181" s="380"/>
      <c r="I6181" s="385"/>
      <c r="J6181" s="405" t="s">
        <v>1624</v>
      </c>
      <c r="K6181" s="380"/>
      <c r="L6181" s="378"/>
      <c r="M6181" s="380"/>
      <c r="N6181" s="380"/>
      <c r="O6181" s="380"/>
      <c r="P6181" s="380"/>
      <c r="Q6181" s="380"/>
    </row>
    <row r="6182" spans="1:17" x14ac:dyDescent="0.2">
      <c r="A6182" s="334" t="s">
        <v>342</v>
      </c>
      <c r="B6182" s="380"/>
      <c r="C6182" s="334" t="s">
        <v>342</v>
      </c>
      <c r="D6182" s="334"/>
      <c r="E6182" s="380"/>
      <c r="F6182" s="378"/>
      <c r="G6182" s="380"/>
      <c r="H6182" s="380"/>
      <c r="I6182" s="385"/>
      <c r="J6182" s="334"/>
      <c r="K6182" s="380"/>
      <c r="L6182" s="378"/>
      <c r="M6182" s="380"/>
      <c r="N6182" s="380"/>
      <c r="O6182" s="380"/>
      <c r="P6182" s="380"/>
      <c r="Q6182" s="380"/>
    </row>
    <row r="6183" spans="1:17" x14ac:dyDescent="0.2">
      <c r="A6183" s="334" t="s">
        <v>1723</v>
      </c>
      <c r="B6183" s="380"/>
      <c r="C6183" s="334" t="s">
        <v>1880</v>
      </c>
      <c r="D6183" s="334" t="s">
        <v>181</v>
      </c>
      <c r="E6183" s="380"/>
      <c r="F6183" s="378"/>
      <c r="G6183" s="380"/>
      <c r="H6183" s="380"/>
      <c r="I6183" s="382"/>
      <c r="J6183" s="334" t="s">
        <v>181</v>
      </c>
      <c r="K6183" s="380"/>
      <c r="L6183" s="378"/>
      <c r="M6183" s="380"/>
      <c r="N6183" s="380"/>
      <c r="O6183" s="380"/>
      <c r="P6183" s="380"/>
      <c r="Q6183" s="380"/>
    </row>
    <row r="6184" spans="1:17" x14ac:dyDescent="0.2">
      <c r="A6184" s="380"/>
      <c r="B6184" s="380"/>
      <c r="C6184" s="380"/>
      <c r="D6184" s="380"/>
      <c r="E6184" s="380"/>
      <c r="F6184" s="378"/>
      <c r="G6184" s="380"/>
      <c r="H6184" s="380"/>
      <c r="I6184" s="399"/>
      <c r="J6184" s="380"/>
      <c r="K6184" s="380"/>
      <c r="L6184" s="378"/>
      <c r="M6184" s="380"/>
      <c r="N6184" s="380"/>
      <c r="O6184" s="380"/>
      <c r="P6184" s="380"/>
      <c r="Q6184" s="380"/>
    </row>
    <row r="6185" spans="1:17" x14ac:dyDescent="0.2">
      <c r="A6185" s="384" t="s">
        <v>1953</v>
      </c>
      <c r="B6185" s="380"/>
      <c r="C6185" s="334" t="s">
        <v>193</v>
      </c>
      <c r="D6185" s="377"/>
      <c r="E6185" s="380"/>
      <c r="F6185" s="378"/>
      <c r="G6185" s="380"/>
      <c r="H6185" s="380"/>
      <c r="I6185" s="399"/>
      <c r="J6185" s="377"/>
      <c r="K6185" s="380"/>
      <c r="L6185" s="378"/>
      <c r="M6185" s="380"/>
      <c r="N6185" s="380"/>
      <c r="O6185" s="380"/>
      <c r="P6185" s="380"/>
      <c r="Q6185" s="380"/>
    </row>
    <row r="6186" spans="1:17" x14ac:dyDescent="0.2">
      <c r="A6186" s="334" t="s">
        <v>1724</v>
      </c>
      <c r="B6186" s="380"/>
      <c r="C6186" s="334" t="s">
        <v>1881</v>
      </c>
      <c r="D6186" s="377"/>
      <c r="E6186" s="380"/>
      <c r="F6186" s="378"/>
      <c r="G6186" s="380"/>
      <c r="H6186" s="380"/>
      <c r="I6186" s="399"/>
      <c r="J6186" s="377"/>
      <c r="K6186" s="380"/>
      <c r="L6186" s="378"/>
      <c r="M6186" s="380"/>
      <c r="N6186" s="380"/>
      <c r="O6186" s="380"/>
      <c r="P6186" s="380"/>
      <c r="Q6186" s="380"/>
    </row>
    <row r="6187" spans="1:17" x14ac:dyDescent="0.2">
      <c r="A6187" s="334" t="s">
        <v>1961</v>
      </c>
      <c r="B6187" s="380"/>
      <c r="C6187" s="334" t="s">
        <v>9</v>
      </c>
      <c r="D6187" s="377"/>
      <c r="E6187" s="380"/>
      <c r="F6187" s="378"/>
      <c r="G6187" s="380"/>
      <c r="H6187" s="380"/>
      <c r="I6187" s="399"/>
      <c r="J6187" s="377"/>
      <c r="K6187" s="380"/>
      <c r="L6187" s="378"/>
      <c r="M6187" s="380"/>
      <c r="N6187" s="380"/>
      <c r="O6187" s="380"/>
      <c r="P6187" s="380"/>
      <c r="Q6187" s="380"/>
    </row>
    <row r="6188" spans="1:17" x14ac:dyDescent="0.2">
      <c r="A6188" s="334" t="s">
        <v>1736</v>
      </c>
      <c r="B6188" s="380"/>
      <c r="C6188" s="334" t="s">
        <v>1747</v>
      </c>
      <c r="D6188" s="377"/>
      <c r="E6188" s="380"/>
      <c r="F6188" s="378"/>
      <c r="G6188" s="380"/>
      <c r="H6188" s="380"/>
      <c r="I6188" s="399"/>
      <c r="J6188" s="377"/>
      <c r="K6188" s="380"/>
      <c r="L6188" s="378"/>
      <c r="M6188" s="380"/>
      <c r="N6188" s="380"/>
      <c r="O6188" s="380"/>
      <c r="P6188" s="380"/>
      <c r="Q6188" s="380"/>
    </row>
    <row r="6189" spans="1:17" x14ac:dyDescent="0.2">
      <c r="A6189" s="334" t="s">
        <v>1744</v>
      </c>
      <c r="B6189" s="380"/>
      <c r="C6189" s="334" t="s">
        <v>1254</v>
      </c>
      <c r="D6189" s="377"/>
      <c r="E6189" s="380"/>
      <c r="F6189" s="378"/>
      <c r="G6189" s="380"/>
      <c r="H6189" s="380"/>
      <c r="I6189" s="399"/>
      <c r="J6189" s="377"/>
      <c r="K6189" s="380"/>
      <c r="L6189" s="378"/>
      <c r="M6189" s="380"/>
      <c r="N6189" s="380"/>
      <c r="O6189" s="380"/>
      <c r="P6189" s="380"/>
      <c r="Q6189" s="380"/>
    </row>
    <row r="6190" spans="1:17" x14ac:dyDescent="0.2">
      <c r="A6190" s="334" t="s">
        <v>1582</v>
      </c>
      <c r="B6190" s="380"/>
      <c r="C6190" s="334" t="s">
        <v>3135</v>
      </c>
      <c r="D6190" s="377"/>
      <c r="E6190" s="380"/>
      <c r="F6190" s="378"/>
      <c r="G6190" s="380"/>
      <c r="H6190" s="380"/>
      <c r="I6190" s="399"/>
      <c r="J6190" s="377"/>
      <c r="K6190" s="380"/>
      <c r="L6190" s="378"/>
      <c r="M6190" s="380"/>
      <c r="N6190" s="380"/>
      <c r="O6190" s="380"/>
      <c r="P6190" s="380"/>
      <c r="Q6190" s="380"/>
    </row>
    <row r="6191" spans="1:17" x14ac:dyDescent="0.2">
      <c r="A6191" s="384" t="s">
        <v>1725</v>
      </c>
      <c r="B6191" s="380"/>
      <c r="C6191" s="334" t="s">
        <v>1890</v>
      </c>
      <c r="D6191" s="377"/>
      <c r="E6191" s="380"/>
      <c r="F6191" s="378"/>
      <c r="G6191" s="380"/>
      <c r="H6191" s="380"/>
      <c r="I6191" s="399"/>
      <c r="J6191" s="377"/>
      <c r="K6191" s="380"/>
      <c r="L6191" s="378"/>
      <c r="M6191" s="380"/>
      <c r="N6191" s="380"/>
      <c r="O6191" s="380"/>
      <c r="P6191" s="380"/>
      <c r="Q6191" s="380"/>
    </row>
    <row r="6192" spans="1:17" x14ac:dyDescent="0.2">
      <c r="A6192" s="334" t="s">
        <v>1745</v>
      </c>
      <c r="B6192" s="380"/>
      <c r="C6192" s="334" t="s">
        <v>1887</v>
      </c>
      <c r="D6192" s="377"/>
      <c r="E6192" s="380"/>
      <c r="F6192" s="378"/>
      <c r="G6192" s="380"/>
      <c r="H6192" s="380"/>
      <c r="I6192" s="399"/>
      <c r="J6192" s="377"/>
      <c r="K6192" s="380"/>
      <c r="L6192" s="378"/>
      <c r="M6192" s="380"/>
      <c r="N6192" s="380"/>
      <c r="O6192" s="380"/>
      <c r="P6192" s="380"/>
      <c r="Q6192" s="380"/>
    </row>
    <row r="6193" spans="1:17" x14ac:dyDescent="0.2">
      <c r="A6193" s="334" t="s">
        <v>1906</v>
      </c>
      <c r="B6193" s="380"/>
      <c r="C6193" s="334" t="s">
        <v>39</v>
      </c>
      <c r="D6193" s="377"/>
      <c r="E6193" s="380"/>
      <c r="F6193" s="378"/>
      <c r="G6193" s="380"/>
      <c r="H6193" s="380"/>
      <c r="I6193" s="399"/>
      <c r="J6193" s="377"/>
      <c r="K6193" s="380"/>
      <c r="L6193" s="378"/>
      <c r="M6193" s="380"/>
      <c r="N6193" s="380"/>
      <c r="O6193" s="380"/>
      <c r="P6193" s="380"/>
      <c r="Q6193" s="380"/>
    </row>
    <row r="6194" spans="1:17" x14ac:dyDescent="0.2">
      <c r="A6194" s="334" t="s">
        <v>1576</v>
      </c>
      <c r="B6194" s="380"/>
      <c r="C6194" s="334" t="s">
        <v>1590</v>
      </c>
      <c r="D6194" s="377"/>
      <c r="E6194" s="380"/>
      <c r="F6194" s="378"/>
      <c r="G6194" s="380"/>
      <c r="H6194" s="380"/>
      <c r="I6194" s="399"/>
      <c r="J6194" s="377"/>
      <c r="K6194" s="380"/>
      <c r="L6194" s="378"/>
      <c r="M6194" s="380"/>
      <c r="N6194" s="380"/>
      <c r="O6194" s="380"/>
      <c r="P6194" s="380"/>
      <c r="Q6194" s="380"/>
    </row>
    <row r="6195" spans="1:17" x14ac:dyDescent="0.2">
      <c r="A6195" s="334" t="s">
        <v>1737</v>
      </c>
      <c r="B6195" s="380"/>
      <c r="C6195" s="334" t="s">
        <v>1984</v>
      </c>
      <c r="D6195" s="377"/>
      <c r="E6195" s="380"/>
      <c r="F6195" s="378"/>
      <c r="G6195" s="380"/>
      <c r="H6195" s="380"/>
      <c r="I6195" s="399"/>
      <c r="J6195" s="377"/>
      <c r="K6195" s="380"/>
      <c r="L6195" s="378"/>
      <c r="M6195" s="380"/>
      <c r="N6195" s="380"/>
      <c r="O6195" s="380"/>
      <c r="P6195" s="380"/>
      <c r="Q6195" s="380"/>
    </row>
    <row r="6196" spans="1:17" x14ac:dyDescent="0.2">
      <c r="A6196" s="384" t="s">
        <v>1726</v>
      </c>
      <c r="B6196" s="380"/>
      <c r="C6196" s="334" t="s">
        <v>1117</v>
      </c>
      <c r="D6196" s="377"/>
      <c r="E6196" s="380"/>
      <c r="F6196" s="378"/>
      <c r="G6196" s="380"/>
      <c r="H6196" s="380"/>
      <c r="I6196" s="399"/>
      <c r="J6196" s="377"/>
      <c r="K6196" s="380"/>
      <c r="L6196" s="378"/>
      <c r="M6196" s="380"/>
      <c r="N6196" s="380"/>
      <c r="O6196" s="380"/>
      <c r="P6196" s="380"/>
      <c r="Q6196" s="380"/>
    </row>
    <row r="6197" spans="1:17" x14ac:dyDescent="0.2">
      <c r="A6197" s="405" t="s">
        <v>1661</v>
      </c>
      <c r="B6197" s="380"/>
      <c r="C6197" s="334" t="s">
        <v>3136</v>
      </c>
      <c r="D6197" s="377"/>
      <c r="E6197" s="380"/>
      <c r="F6197" s="378"/>
      <c r="G6197" s="380"/>
      <c r="H6197" s="380"/>
      <c r="I6197" s="399"/>
      <c r="J6197" s="377"/>
      <c r="K6197" s="380"/>
      <c r="L6197" s="378"/>
      <c r="M6197" s="380"/>
      <c r="N6197" s="380"/>
      <c r="O6197" s="380"/>
      <c r="P6197" s="380"/>
      <c r="Q6197" s="380"/>
    </row>
    <row r="6198" spans="1:17" x14ac:dyDescent="0.2">
      <c r="A6198" s="384" t="s">
        <v>1751</v>
      </c>
      <c r="B6198" s="380"/>
      <c r="C6198" s="334" t="s">
        <v>3138</v>
      </c>
      <c r="D6198" s="377"/>
      <c r="E6198" s="380"/>
      <c r="F6198" s="378"/>
      <c r="G6198" s="380"/>
      <c r="H6198" s="380"/>
      <c r="I6198" s="399"/>
      <c r="J6198" s="377"/>
      <c r="K6198" s="380"/>
      <c r="L6198" s="378"/>
      <c r="M6198" s="380"/>
      <c r="N6198" s="380"/>
      <c r="O6198" s="380"/>
      <c r="P6198" s="380"/>
      <c r="Q6198" s="380"/>
    </row>
    <row r="6199" spans="1:17" x14ac:dyDescent="0.2">
      <c r="A6199" s="334" t="s">
        <v>1752</v>
      </c>
      <c r="B6199" s="380"/>
      <c r="C6199" s="334" t="s">
        <v>367</v>
      </c>
      <c r="D6199" s="377"/>
      <c r="E6199" s="380"/>
      <c r="F6199" s="378"/>
      <c r="G6199" s="380"/>
      <c r="H6199" s="380"/>
      <c r="I6199" s="399"/>
      <c r="J6199" s="377"/>
      <c r="K6199" s="380"/>
      <c r="L6199" s="378"/>
      <c r="M6199" s="380"/>
      <c r="N6199" s="380"/>
      <c r="O6199" s="380"/>
      <c r="P6199" s="380"/>
      <c r="Q6199" s="380"/>
    </row>
    <row r="6200" spans="1:17" x14ac:dyDescent="0.2">
      <c r="A6200" s="384" t="s">
        <v>1957</v>
      </c>
      <c r="B6200" s="380"/>
      <c r="C6200" s="334" t="s">
        <v>49</v>
      </c>
      <c r="D6200" s="377"/>
      <c r="E6200" s="380"/>
      <c r="F6200" s="378"/>
      <c r="G6200" s="380"/>
      <c r="H6200" s="380"/>
      <c r="I6200" s="399"/>
      <c r="J6200" s="377"/>
      <c r="K6200" s="380"/>
      <c r="L6200" s="378"/>
      <c r="M6200" s="380"/>
      <c r="N6200" s="380"/>
      <c r="O6200" s="380"/>
      <c r="P6200" s="380"/>
      <c r="Q6200" s="380"/>
    </row>
    <row r="6201" spans="1:17" x14ac:dyDescent="0.2">
      <c r="A6201" s="334" t="s">
        <v>1734</v>
      </c>
      <c r="B6201" s="380"/>
      <c r="C6201" s="334" t="s">
        <v>1746</v>
      </c>
      <c r="D6201" s="377"/>
      <c r="E6201" s="380"/>
      <c r="F6201" s="378"/>
      <c r="G6201" s="380"/>
      <c r="H6201" s="380"/>
      <c r="I6201" s="399"/>
      <c r="J6201" s="377"/>
      <c r="K6201" s="380"/>
      <c r="L6201" s="378"/>
      <c r="M6201" s="380"/>
      <c r="N6201" s="380"/>
      <c r="O6201" s="380"/>
      <c r="P6201" s="380"/>
      <c r="Q6201" s="380"/>
    </row>
    <row r="6202" spans="1:17" x14ac:dyDescent="0.2">
      <c r="A6202" s="334" t="s">
        <v>1578</v>
      </c>
      <c r="B6202" s="380"/>
      <c r="C6202" s="334" t="s">
        <v>22</v>
      </c>
      <c r="D6202" s="377"/>
      <c r="E6202" s="380"/>
      <c r="F6202" s="378"/>
      <c r="G6202" s="380"/>
      <c r="H6202" s="380"/>
      <c r="I6202" s="399"/>
      <c r="J6202" s="377"/>
      <c r="K6202" s="380"/>
      <c r="L6202" s="378"/>
      <c r="M6202" s="380"/>
      <c r="N6202" s="380"/>
      <c r="O6202" s="380"/>
      <c r="P6202" s="380"/>
      <c r="Q6202" s="380"/>
    </row>
    <row r="6203" spans="1:17" x14ac:dyDescent="0.2">
      <c r="A6203" s="334" t="s">
        <v>1738</v>
      </c>
      <c r="B6203" s="380"/>
      <c r="C6203" s="334" t="s">
        <v>1591</v>
      </c>
      <c r="D6203" s="377"/>
      <c r="E6203" s="380"/>
      <c r="F6203" s="378"/>
      <c r="G6203" s="380"/>
      <c r="H6203" s="380"/>
      <c r="I6203" s="399"/>
      <c r="J6203" s="377"/>
      <c r="K6203" s="380"/>
      <c r="L6203" s="378"/>
      <c r="M6203" s="380"/>
      <c r="N6203" s="380"/>
      <c r="O6203" s="380"/>
      <c r="P6203" s="380"/>
      <c r="Q6203" s="380"/>
    </row>
    <row r="6204" spans="1:17" x14ac:dyDescent="0.2">
      <c r="A6204" s="334" t="s">
        <v>1727</v>
      </c>
      <c r="B6204" s="380"/>
      <c r="C6204" s="334" t="s">
        <v>307</v>
      </c>
      <c r="D6204" s="377"/>
      <c r="E6204" s="380"/>
      <c r="F6204" s="378"/>
      <c r="G6204" s="380"/>
      <c r="H6204" s="380"/>
      <c r="I6204" s="399"/>
      <c r="J6204" s="377"/>
      <c r="K6204" s="380"/>
      <c r="L6204" s="378"/>
      <c r="M6204" s="380"/>
      <c r="N6204" s="380"/>
      <c r="O6204" s="380"/>
      <c r="P6204" s="380"/>
      <c r="Q6204" s="380"/>
    </row>
    <row r="6205" spans="1:17" x14ac:dyDescent="0.2">
      <c r="A6205" s="334" t="s">
        <v>1728</v>
      </c>
      <c r="B6205" s="380"/>
      <c r="C6205" s="334" t="s">
        <v>310</v>
      </c>
      <c r="D6205" s="377"/>
      <c r="E6205" s="380"/>
      <c r="F6205" s="378"/>
      <c r="G6205" s="380"/>
      <c r="H6205" s="380"/>
      <c r="I6205" s="399"/>
      <c r="J6205" s="377"/>
      <c r="K6205" s="380"/>
      <c r="L6205" s="378"/>
      <c r="M6205" s="380"/>
      <c r="N6205" s="380"/>
      <c r="O6205" s="380"/>
      <c r="P6205" s="380"/>
      <c r="Q6205" s="380"/>
    </row>
    <row r="6206" spans="1:17" x14ac:dyDescent="0.2">
      <c r="A6206" s="334" t="s">
        <v>1729</v>
      </c>
      <c r="B6206" s="380"/>
      <c r="C6206" s="380" t="s">
        <v>1551</v>
      </c>
      <c r="D6206" s="377"/>
      <c r="E6206" s="380"/>
      <c r="F6206" s="378"/>
      <c r="G6206" s="380"/>
      <c r="H6206" s="380"/>
      <c r="I6206" s="399"/>
      <c r="J6206" s="377"/>
      <c r="K6206" s="380"/>
      <c r="L6206" s="378"/>
      <c r="M6206" s="380"/>
      <c r="N6206" s="380"/>
      <c r="O6206" s="380"/>
      <c r="P6206" s="380"/>
      <c r="Q6206" s="380"/>
    </row>
    <row r="6207" spans="1:17" x14ac:dyDescent="0.2">
      <c r="A6207" s="334" t="s">
        <v>1735</v>
      </c>
      <c r="B6207" s="380"/>
      <c r="C6207" s="380" t="s">
        <v>194</v>
      </c>
      <c r="D6207" s="377"/>
      <c r="E6207" s="380"/>
      <c r="F6207" s="378"/>
      <c r="G6207" s="380"/>
      <c r="H6207" s="380"/>
      <c r="I6207" s="399"/>
      <c r="J6207" s="377"/>
      <c r="K6207" s="380"/>
      <c r="L6207" s="378"/>
      <c r="M6207" s="380"/>
      <c r="N6207" s="380"/>
      <c r="O6207" s="380"/>
      <c r="P6207" s="380"/>
      <c r="Q6207" s="380"/>
    </row>
    <row r="6208" spans="1:17" x14ac:dyDescent="0.2">
      <c r="A6208" s="334" t="s">
        <v>1741</v>
      </c>
      <c r="B6208" s="380"/>
      <c r="C6208" s="334" t="s">
        <v>1748</v>
      </c>
      <c r="D6208" s="377"/>
      <c r="E6208" s="380"/>
      <c r="F6208" s="378"/>
      <c r="G6208" s="380"/>
      <c r="H6208" s="380"/>
      <c r="I6208" s="399"/>
      <c r="J6208" s="377"/>
      <c r="K6208" s="380"/>
      <c r="L6208" s="378"/>
      <c r="M6208" s="380"/>
      <c r="N6208" s="380"/>
      <c r="O6208" s="380"/>
      <c r="P6208" s="380"/>
      <c r="Q6208" s="380"/>
    </row>
    <row r="6209" spans="1:17" x14ac:dyDescent="0.2">
      <c r="A6209" s="334" t="s">
        <v>1742</v>
      </c>
      <c r="B6209" s="380"/>
      <c r="C6209" s="334" t="s">
        <v>1553</v>
      </c>
      <c r="D6209" s="377"/>
      <c r="E6209" s="380"/>
      <c r="F6209" s="378"/>
      <c r="G6209" s="380"/>
      <c r="H6209" s="380"/>
      <c r="I6209" s="399"/>
      <c r="J6209" s="377"/>
      <c r="K6209" s="380"/>
      <c r="L6209" s="378"/>
      <c r="M6209" s="380"/>
      <c r="N6209" s="380"/>
      <c r="O6209" s="380"/>
      <c r="P6209" s="380"/>
      <c r="Q6209" s="380"/>
    </row>
    <row r="6210" spans="1:17" x14ac:dyDescent="0.2">
      <c r="A6210" s="384" t="s">
        <v>1754</v>
      </c>
      <c r="B6210" s="380"/>
      <c r="C6210" s="334" t="s">
        <v>1929</v>
      </c>
      <c r="D6210" s="377"/>
      <c r="E6210" s="380"/>
      <c r="F6210" s="378"/>
      <c r="G6210" s="380"/>
      <c r="H6210" s="380"/>
      <c r="I6210" s="399"/>
      <c r="J6210" s="377"/>
      <c r="K6210" s="380"/>
      <c r="L6210" s="378"/>
      <c r="M6210" s="380"/>
      <c r="N6210" s="380"/>
      <c r="O6210" s="380"/>
      <c r="P6210" s="380"/>
      <c r="Q6210" s="380"/>
    </row>
    <row r="6211" spans="1:17" x14ac:dyDescent="0.2">
      <c r="A6211" s="334" t="s">
        <v>1584</v>
      </c>
      <c r="B6211" s="380"/>
      <c r="C6211" s="334" t="s">
        <v>0</v>
      </c>
      <c r="D6211" s="377"/>
      <c r="E6211" s="380"/>
      <c r="F6211" s="378"/>
      <c r="G6211" s="380"/>
      <c r="H6211" s="380"/>
      <c r="I6211" s="399"/>
      <c r="J6211" s="377"/>
      <c r="K6211" s="380"/>
      <c r="L6211" s="378"/>
      <c r="M6211" s="380"/>
      <c r="N6211" s="380"/>
      <c r="O6211" s="380"/>
      <c r="P6211" s="380"/>
      <c r="Q6211" s="380"/>
    </row>
    <row r="6212" spans="1:17" x14ac:dyDescent="0.2">
      <c r="A6212" s="334" t="s">
        <v>1730</v>
      </c>
      <c r="B6212" s="380"/>
      <c r="C6212" s="334" t="s">
        <v>1985</v>
      </c>
      <c r="D6212" s="377"/>
      <c r="E6212" s="380"/>
      <c r="F6212" s="378"/>
      <c r="G6212" s="380"/>
      <c r="H6212" s="380"/>
      <c r="I6212" s="399"/>
      <c r="J6212" s="377"/>
      <c r="K6212" s="380"/>
      <c r="L6212" s="378"/>
      <c r="M6212" s="380"/>
      <c r="N6212" s="380"/>
      <c r="O6212" s="380"/>
      <c r="P6212" s="380"/>
      <c r="Q6212" s="380"/>
    </row>
    <row r="6213" spans="1:17" x14ac:dyDescent="0.2">
      <c r="A6213" s="334" t="s">
        <v>1566</v>
      </c>
      <c r="B6213" s="380"/>
      <c r="C6213" s="334" t="s">
        <v>366</v>
      </c>
      <c r="D6213" s="377"/>
      <c r="E6213" s="380"/>
      <c r="F6213" s="378"/>
      <c r="G6213" s="380"/>
      <c r="H6213" s="380"/>
      <c r="I6213" s="399"/>
      <c r="J6213" s="377"/>
      <c r="K6213" s="380"/>
      <c r="L6213" s="378"/>
      <c r="M6213" s="380"/>
      <c r="N6213" s="380"/>
      <c r="O6213" s="380"/>
      <c r="P6213" s="380"/>
      <c r="Q6213" s="380"/>
    </row>
    <row r="6214" spans="1:17" x14ac:dyDescent="0.2">
      <c r="A6214" s="334" t="s">
        <v>1587</v>
      </c>
      <c r="B6214" s="380"/>
      <c r="C6214" s="334" t="s">
        <v>34</v>
      </c>
      <c r="D6214" s="377"/>
      <c r="E6214" s="380"/>
      <c r="F6214" s="378"/>
      <c r="G6214" s="380"/>
      <c r="H6214" s="380"/>
      <c r="I6214" s="399"/>
      <c r="J6214" s="377"/>
      <c r="K6214" s="380"/>
      <c r="L6214" s="378"/>
      <c r="M6214" s="380"/>
      <c r="N6214" s="380"/>
      <c r="O6214" s="380"/>
      <c r="P6214" s="380"/>
      <c r="Q6214" s="380"/>
    </row>
    <row r="6215" spans="1:17" x14ac:dyDescent="0.2">
      <c r="A6215" s="334" t="s">
        <v>1903</v>
      </c>
      <c r="B6215" s="380"/>
      <c r="C6215" s="334" t="s">
        <v>35</v>
      </c>
      <c r="D6215" s="377"/>
      <c r="E6215" s="380"/>
      <c r="F6215" s="378"/>
      <c r="G6215" s="380"/>
      <c r="H6215" s="380"/>
      <c r="I6215" s="399"/>
      <c r="J6215" s="377"/>
      <c r="K6215" s="380"/>
      <c r="L6215" s="378"/>
      <c r="M6215" s="380"/>
      <c r="N6215" s="380"/>
      <c r="O6215" s="380"/>
      <c r="P6215" s="380"/>
      <c r="Q6215" s="380"/>
    </row>
    <row r="6216" spans="1:17" x14ac:dyDescent="0.2">
      <c r="A6216" s="334" t="s">
        <v>1962</v>
      </c>
      <c r="B6216" s="380"/>
      <c r="C6216" s="380" t="s">
        <v>572</v>
      </c>
      <c r="D6216" s="377"/>
      <c r="E6216" s="380"/>
      <c r="F6216" s="378"/>
      <c r="G6216" s="380"/>
      <c r="H6216" s="380"/>
      <c r="I6216" s="399"/>
      <c r="J6216" s="377"/>
      <c r="K6216" s="380"/>
      <c r="L6216" s="378"/>
      <c r="M6216" s="380"/>
      <c r="N6216" s="380"/>
      <c r="O6216" s="380"/>
      <c r="P6216" s="380"/>
      <c r="Q6216" s="380"/>
    </row>
    <row r="6217" spans="1:17" x14ac:dyDescent="0.2">
      <c r="A6217" s="334" t="s">
        <v>1567</v>
      </c>
      <c r="B6217" s="380"/>
      <c r="C6217" s="334" t="s">
        <v>3142</v>
      </c>
      <c r="D6217" s="377"/>
      <c r="E6217" s="380"/>
      <c r="F6217" s="378"/>
      <c r="G6217" s="380"/>
      <c r="H6217" s="380"/>
      <c r="I6217" s="399"/>
      <c r="J6217" s="377"/>
      <c r="K6217" s="380"/>
      <c r="L6217" s="378"/>
      <c r="M6217" s="380"/>
      <c r="N6217" s="380"/>
      <c r="O6217" s="380"/>
      <c r="P6217" s="380"/>
      <c r="Q6217" s="380"/>
    </row>
    <row r="6218" spans="1:17" x14ac:dyDescent="0.2">
      <c r="A6218" s="380"/>
      <c r="B6218" s="380"/>
      <c r="C6218" s="380"/>
      <c r="D6218" s="394"/>
      <c r="E6218" s="380"/>
      <c r="F6218" s="378"/>
      <c r="G6218" s="380"/>
      <c r="H6218" s="380"/>
      <c r="I6218" s="385"/>
      <c r="J6218" s="394"/>
      <c r="K6218" s="380"/>
      <c r="L6218" s="378"/>
      <c r="M6218" s="380"/>
      <c r="N6218" s="380"/>
      <c r="O6218" s="380"/>
      <c r="P6218" s="380"/>
      <c r="Q6218" s="380"/>
    </row>
    <row r="6219" spans="1:17" ht="15.75" thickBot="1" x14ac:dyDescent="0.25">
      <c r="A6219" s="380"/>
      <c r="B6219" s="380"/>
      <c r="C6219" s="380"/>
      <c r="D6219" s="411">
        <f>SUM(D6185:D6217)</f>
        <v>0</v>
      </c>
      <c r="E6219" s="380"/>
      <c r="F6219" s="378"/>
      <c r="G6219" s="380"/>
      <c r="H6219" s="380"/>
      <c r="I6219" s="382"/>
      <c r="J6219" s="411">
        <f>SUM(J6185:J6217)</f>
        <v>0</v>
      </c>
      <c r="K6219" s="380"/>
      <c r="L6219" s="378"/>
      <c r="M6219" s="380"/>
      <c r="N6219" s="380"/>
      <c r="O6219" s="380"/>
      <c r="P6219" s="380"/>
      <c r="Q6219" s="380"/>
    </row>
    <row r="6220" spans="1:17" x14ac:dyDescent="0.2">
      <c r="A6220" s="380"/>
      <c r="B6220" s="380"/>
      <c r="C6220" s="380"/>
      <c r="D6220" s="380"/>
      <c r="E6220" s="380"/>
      <c r="F6220" s="378"/>
      <c r="G6220" s="380"/>
      <c r="H6220" s="380"/>
      <c r="I6220" s="382"/>
      <c r="J6220" s="380"/>
      <c r="K6220" s="380"/>
      <c r="L6220" s="378"/>
      <c r="M6220" s="380"/>
      <c r="N6220" s="380"/>
      <c r="O6220" s="380"/>
      <c r="P6220" s="380"/>
      <c r="Q6220" s="380"/>
    </row>
    <row r="6221" spans="1:17" x14ac:dyDescent="0.2">
      <c r="A6221" s="380"/>
      <c r="B6221" s="380"/>
      <c r="C6221" s="380"/>
      <c r="D6221" s="380"/>
      <c r="E6221" s="380"/>
      <c r="F6221" s="378"/>
      <c r="G6221" s="380"/>
      <c r="H6221" s="380"/>
      <c r="I6221" s="382"/>
      <c r="J6221" s="380"/>
      <c r="K6221" s="380"/>
      <c r="L6221" s="378"/>
      <c r="M6221" s="380"/>
      <c r="N6221" s="380"/>
      <c r="O6221" s="380"/>
      <c r="P6221" s="380"/>
      <c r="Q6221" s="380"/>
    </row>
    <row r="6222" spans="1:17" x14ac:dyDescent="0.2">
      <c r="A6222" s="380"/>
      <c r="B6222" s="380"/>
      <c r="C6222" s="380"/>
      <c r="D6222" s="380"/>
      <c r="E6222" s="380"/>
      <c r="F6222" s="378"/>
      <c r="G6222" s="380"/>
      <c r="H6222" s="380"/>
      <c r="I6222" s="382"/>
      <c r="J6222" s="380"/>
      <c r="K6222" s="380"/>
      <c r="L6222" s="378"/>
      <c r="M6222" s="380"/>
      <c r="N6222" s="380"/>
      <c r="O6222" s="380"/>
      <c r="P6222" s="380"/>
      <c r="Q6222" s="380"/>
    </row>
    <row r="6223" spans="1:17" x14ac:dyDescent="0.2">
      <c r="A6223" s="380"/>
      <c r="B6223" s="380"/>
      <c r="C6223" s="380"/>
      <c r="D6223" s="380"/>
      <c r="E6223" s="380"/>
      <c r="F6223" s="378"/>
      <c r="G6223" s="380"/>
      <c r="H6223" s="380"/>
      <c r="I6223" s="385"/>
      <c r="J6223" s="380"/>
      <c r="K6223" s="380"/>
      <c r="L6223" s="378"/>
      <c r="M6223" s="380"/>
      <c r="N6223" s="380"/>
      <c r="O6223" s="380"/>
      <c r="P6223" s="380"/>
      <c r="Q6223" s="380"/>
    </row>
    <row r="6224" spans="1:17" x14ac:dyDescent="0.2">
      <c r="A6224" s="452" t="s">
        <v>935</v>
      </c>
      <c r="B6224" s="466"/>
      <c r="C6224" s="466"/>
      <c r="D6224" s="334"/>
      <c r="E6224" s="380"/>
      <c r="F6224" s="378"/>
      <c r="G6224" s="380"/>
      <c r="H6224" s="380"/>
      <c r="I6224" s="481"/>
      <c r="J6224" s="334"/>
      <c r="K6224" s="380"/>
      <c r="L6224" s="378"/>
      <c r="M6224" s="380"/>
      <c r="N6224" s="380"/>
      <c r="O6224" s="380"/>
      <c r="P6224" s="380"/>
      <c r="Q6224" s="380"/>
    </row>
    <row r="6225" spans="1:17" x14ac:dyDescent="0.2">
      <c r="A6225" s="334" t="s">
        <v>342</v>
      </c>
      <c r="B6225" s="380"/>
      <c r="C6225" s="334"/>
      <c r="D6225" s="405" t="s">
        <v>936</v>
      </c>
      <c r="E6225" s="380"/>
      <c r="F6225" s="378"/>
      <c r="G6225" s="380"/>
      <c r="H6225" s="380"/>
      <c r="I6225" s="385"/>
      <c r="J6225" s="405" t="s">
        <v>936</v>
      </c>
      <c r="K6225" s="380"/>
      <c r="L6225" s="378"/>
      <c r="M6225" s="380"/>
      <c r="N6225" s="380"/>
      <c r="O6225" s="380"/>
      <c r="P6225" s="380"/>
      <c r="Q6225" s="380"/>
    </row>
    <row r="6226" spans="1:17" x14ac:dyDescent="0.2">
      <c r="A6226" s="334" t="s">
        <v>342</v>
      </c>
      <c r="B6226" s="380"/>
      <c r="C6226" s="334" t="s">
        <v>342</v>
      </c>
      <c r="D6226" s="334"/>
      <c r="E6226" s="380"/>
      <c r="F6226" s="378"/>
      <c r="G6226" s="380"/>
      <c r="H6226" s="380"/>
      <c r="I6226" s="385"/>
      <c r="J6226" s="334"/>
      <c r="K6226" s="380"/>
      <c r="L6226" s="378"/>
      <c r="M6226" s="380"/>
      <c r="N6226" s="380"/>
      <c r="O6226" s="380"/>
      <c r="P6226" s="380"/>
      <c r="Q6226" s="380"/>
    </row>
    <row r="6227" spans="1:17" x14ac:dyDescent="0.2">
      <c r="A6227" s="334" t="s">
        <v>1723</v>
      </c>
      <c r="B6227" s="380"/>
      <c r="C6227" s="334" t="s">
        <v>1880</v>
      </c>
      <c r="D6227" s="334" t="s">
        <v>181</v>
      </c>
      <c r="E6227" s="380"/>
      <c r="F6227" s="378"/>
      <c r="G6227" s="380"/>
      <c r="H6227" s="380"/>
      <c r="I6227" s="382"/>
      <c r="J6227" s="334" t="s">
        <v>181</v>
      </c>
      <c r="K6227" s="380"/>
      <c r="L6227" s="378"/>
      <c r="M6227" s="380"/>
      <c r="N6227" s="380"/>
      <c r="O6227" s="380"/>
      <c r="P6227" s="380"/>
      <c r="Q6227" s="380"/>
    </row>
    <row r="6228" spans="1:17" x14ac:dyDescent="0.2">
      <c r="A6228" s="380"/>
      <c r="B6228" s="380"/>
      <c r="C6228" s="380"/>
      <c r="D6228" s="380"/>
      <c r="E6228" s="380"/>
      <c r="F6228" s="378"/>
      <c r="G6228" s="380"/>
      <c r="H6228" s="380"/>
      <c r="I6228" s="399"/>
      <c r="J6228" s="380"/>
      <c r="K6228" s="380"/>
      <c r="L6228" s="378"/>
      <c r="M6228" s="380"/>
      <c r="N6228" s="380"/>
      <c r="O6228" s="380"/>
      <c r="P6228" s="380"/>
      <c r="Q6228" s="380"/>
    </row>
    <row r="6229" spans="1:17" x14ac:dyDescent="0.2">
      <c r="A6229" s="384" t="s">
        <v>1953</v>
      </c>
      <c r="B6229" s="380"/>
      <c r="C6229" s="334" t="s">
        <v>193</v>
      </c>
      <c r="D6229" s="377">
        <v>35000</v>
      </c>
      <c r="E6229" s="380"/>
      <c r="F6229" s="378"/>
      <c r="G6229" s="380"/>
      <c r="H6229" s="380"/>
      <c r="I6229" s="399"/>
      <c r="J6229" s="377">
        <v>30000</v>
      </c>
      <c r="K6229" s="380"/>
      <c r="L6229" s="378"/>
      <c r="M6229" s="380"/>
      <c r="N6229" s="380"/>
      <c r="O6229" s="380"/>
      <c r="P6229" s="380"/>
      <c r="Q6229" s="380"/>
    </row>
    <row r="6230" spans="1:17" x14ac:dyDescent="0.2">
      <c r="A6230" s="334" t="s">
        <v>1724</v>
      </c>
      <c r="B6230" s="380"/>
      <c r="C6230" s="334" t="s">
        <v>1881</v>
      </c>
      <c r="D6230" s="377">
        <v>18000</v>
      </c>
      <c r="E6230" s="380"/>
      <c r="F6230" s="378"/>
      <c r="G6230" s="380"/>
      <c r="H6230" s="380"/>
      <c r="I6230" s="399"/>
      <c r="J6230" s="377">
        <v>20000</v>
      </c>
      <c r="K6230" s="380"/>
      <c r="L6230" s="378"/>
      <c r="M6230" s="380"/>
      <c r="N6230" s="380"/>
      <c r="O6230" s="380"/>
      <c r="P6230" s="380"/>
      <c r="Q6230" s="380"/>
    </row>
    <row r="6231" spans="1:17" x14ac:dyDescent="0.2">
      <c r="A6231" s="334" t="s">
        <v>1961</v>
      </c>
      <c r="B6231" s="380"/>
      <c r="C6231" s="334" t="s">
        <v>9</v>
      </c>
      <c r="D6231" s="377"/>
      <c r="E6231" s="380"/>
      <c r="F6231" s="378"/>
      <c r="G6231" s="380"/>
      <c r="H6231" s="380"/>
      <c r="I6231" s="399"/>
      <c r="J6231" s="377"/>
      <c r="K6231" s="380"/>
      <c r="L6231" s="378"/>
      <c r="M6231" s="380"/>
      <c r="N6231" s="380"/>
      <c r="O6231" s="380"/>
      <c r="P6231" s="380"/>
      <c r="Q6231" s="380"/>
    </row>
    <row r="6232" spans="1:17" x14ac:dyDescent="0.2">
      <c r="A6232" s="334" t="s">
        <v>1736</v>
      </c>
      <c r="B6232" s="380"/>
      <c r="C6232" s="334" t="s">
        <v>1747</v>
      </c>
      <c r="D6232" s="377"/>
      <c r="E6232" s="380"/>
      <c r="F6232" s="378"/>
      <c r="G6232" s="380"/>
      <c r="H6232" s="380"/>
      <c r="I6232" s="399"/>
      <c r="J6232" s="377"/>
      <c r="K6232" s="380"/>
      <c r="L6232" s="378"/>
      <c r="M6232" s="380"/>
      <c r="N6232" s="380"/>
      <c r="O6232" s="380"/>
      <c r="P6232" s="380"/>
      <c r="Q6232" s="380"/>
    </row>
    <row r="6233" spans="1:17" x14ac:dyDescent="0.2">
      <c r="A6233" s="334" t="s">
        <v>1744</v>
      </c>
      <c r="B6233" s="380"/>
      <c r="C6233" s="334" t="s">
        <v>1254</v>
      </c>
      <c r="D6233" s="377"/>
      <c r="E6233" s="380"/>
      <c r="F6233" s="378"/>
      <c r="G6233" s="380"/>
      <c r="H6233" s="380"/>
      <c r="I6233" s="399"/>
      <c r="J6233" s="377"/>
      <c r="K6233" s="380"/>
      <c r="L6233" s="378"/>
      <c r="M6233" s="380"/>
      <c r="N6233" s="380"/>
      <c r="O6233" s="380"/>
      <c r="P6233" s="380"/>
      <c r="Q6233" s="380"/>
    </row>
    <row r="6234" spans="1:17" x14ac:dyDescent="0.2">
      <c r="A6234" s="334" t="s">
        <v>1582</v>
      </c>
      <c r="B6234" s="380"/>
      <c r="C6234" s="334" t="s">
        <v>3135</v>
      </c>
      <c r="D6234" s="377"/>
      <c r="E6234" s="380"/>
      <c r="F6234" s="378"/>
      <c r="G6234" s="380"/>
      <c r="H6234" s="380"/>
      <c r="I6234" s="399"/>
      <c r="J6234" s="377"/>
      <c r="K6234" s="380"/>
      <c r="L6234" s="378"/>
      <c r="M6234" s="380"/>
      <c r="N6234" s="380"/>
      <c r="O6234" s="380"/>
      <c r="P6234" s="380"/>
      <c r="Q6234" s="380"/>
    </row>
    <row r="6235" spans="1:17" x14ac:dyDescent="0.2">
      <c r="A6235" s="384" t="s">
        <v>1725</v>
      </c>
      <c r="B6235" s="380"/>
      <c r="C6235" s="334" t="s">
        <v>1890</v>
      </c>
      <c r="D6235" s="377"/>
      <c r="E6235" s="380"/>
      <c r="F6235" s="378"/>
      <c r="G6235" s="380"/>
      <c r="H6235" s="380"/>
      <c r="I6235" s="399"/>
      <c r="J6235" s="377"/>
      <c r="K6235" s="380"/>
      <c r="L6235" s="378"/>
      <c r="M6235" s="380"/>
      <c r="N6235" s="380"/>
      <c r="O6235" s="380"/>
      <c r="P6235" s="380"/>
      <c r="Q6235" s="380"/>
    </row>
    <row r="6236" spans="1:17" x14ac:dyDescent="0.2">
      <c r="A6236" s="334" t="s">
        <v>1745</v>
      </c>
      <c r="B6236" s="380"/>
      <c r="C6236" s="334" t="s">
        <v>1887</v>
      </c>
      <c r="D6236" s="377"/>
      <c r="E6236" s="380"/>
      <c r="F6236" s="378"/>
      <c r="G6236" s="380"/>
      <c r="H6236" s="380"/>
      <c r="I6236" s="399"/>
      <c r="J6236" s="377"/>
      <c r="K6236" s="380"/>
      <c r="L6236" s="378"/>
      <c r="M6236" s="380"/>
      <c r="N6236" s="380"/>
      <c r="O6236" s="380"/>
      <c r="P6236" s="380"/>
      <c r="Q6236" s="380"/>
    </row>
    <row r="6237" spans="1:17" x14ac:dyDescent="0.2">
      <c r="A6237" s="334" t="s">
        <v>1906</v>
      </c>
      <c r="B6237" s="380"/>
      <c r="C6237" s="334" t="s">
        <v>39</v>
      </c>
      <c r="D6237" s="377"/>
      <c r="E6237" s="380"/>
      <c r="F6237" s="378"/>
      <c r="G6237" s="380"/>
      <c r="H6237" s="380"/>
      <c r="I6237" s="399"/>
      <c r="J6237" s="377"/>
      <c r="K6237" s="380"/>
      <c r="L6237" s="378"/>
      <c r="M6237" s="380"/>
      <c r="N6237" s="380"/>
      <c r="O6237" s="380"/>
      <c r="P6237" s="380"/>
      <c r="Q6237" s="380"/>
    </row>
    <row r="6238" spans="1:17" x14ac:dyDescent="0.2">
      <c r="A6238" s="334" t="s">
        <v>1576</v>
      </c>
      <c r="B6238" s="380"/>
      <c r="C6238" s="334" t="s">
        <v>1590</v>
      </c>
      <c r="D6238" s="377"/>
      <c r="E6238" s="380"/>
      <c r="F6238" s="378"/>
      <c r="G6238" s="380"/>
      <c r="H6238" s="380"/>
      <c r="I6238" s="399"/>
      <c r="J6238" s="377"/>
      <c r="K6238" s="380"/>
      <c r="L6238" s="378"/>
      <c r="M6238" s="380"/>
      <c r="N6238" s="380"/>
      <c r="O6238" s="380"/>
      <c r="P6238" s="380"/>
      <c r="Q6238" s="380"/>
    </row>
    <row r="6239" spans="1:17" x14ac:dyDescent="0.2">
      <c r="A6239" s="334" t="s">
        <v>1737</v>
      </c>
      <c r="B6239" s="380"/>
      <c r="C6239" s="334" t="s">
        <v>1984</v>
      </c>
      <c r="D6239" s="377"/>
      <c r="E6239" s="380"/>
      <c r="F6239" s="378"/>
      <c r="G6239" s="380"/>
      <c r="H6239" s="380"/>
      <c r="I6239" s="399"/>
      <c r="J6239" s="377"/>
      <c r="K6239" s="380"/>
      <c r="L6239" s="378"/>
      <c r="M6239" s="380"/>
      <c r="N6239" s="380"/>
      <c r="O6239" s="380"/>
      <c r="P6239" s="380"/>
      <c r="Q6239" s="380"/>
    </row>
    <row r="6240" spans="1:17" x14ac:dyDescent="0.2">
      <c r="A6240" s="384" t="s">
        <v>1828</v>
      </c>
      <c r="B6240" s="380"/>
      <c r="C6240" s="334" t="s">
        <v>2712</v>
      </c>
      <c r="D6240" s="377">
        <v>500</v>
      </c>
      <c r="E6240" s="380"/>
      <c r="F6240" s="378"/>
      <c r="G6240" s="380"/>
      <c r="H6240" s="380"/>
      <c r="I6240" s="399"/>
      <c r="J6240" s="377"/>
      <c r="K6240" s="380"/>
      <c r="L6240" s="378"/>
      <c r="M6240" s="380"/>
      <c r="N6240" s="380"/>
      <c r="O6240" s="380"/>
      <c r="P6240" s="380"/>
      <c r="Q6240" s="380"/>
    </row>
    <row r="6241" spans="1:17" x14ac:dyDescent="0.2">
      <c r="A6241" s="405" t="s">
        <v>1661</v>
      </c>
      <c r="B6241" s="380"/>
      <c r="C6241" s="334" t="s">
        <v>3136</v>
      </c>
      <c r="D6241" s="377">
        <v>3000</v>
      </c>
      <c r="E6241" s="380"/>
      <c r="F6241" s="378"/>
      <c r="G6241" s="380"/>
      <c r="H6241" s="380"/>
      <c r="I6241" s="399"/>
      <c r="J6241" s="377">
        <v>3000</v>
      </c>
      <c r="K6241" s="380"/>
      <c r="L6241" s="378"/>
      <c r="M6241" s="380"/>
      <c r="N6241" s="380"/>
      <c r="O6241" s="380"/>
      <c r="P6241" s="380"/>
      <c r="Q6241" s="380"/>
    </row>
    <row r="6242" spans="1:17" x14ac:dyDescent="0.2">
      <c r="A6242" s="384" t="s">
        <v>1751</v>
      </c>
      <c r="B6242" s="380"/>
      <c r="C6242" s="334" t="s">
        <v>3138</v>
      </c>
      <c r="D6242" s="377">
        <v>1000</v>
      </c>
      <c r="E6242" s="380"/>
      <c r="F6242" s="378"/>
      <c r="G6242" s="380"/>
      <c r="H6242" s="380"/>
      <c r="I6242" s="399"/>
      <c r="J6242" s="377">
        <v>500</v>
      </c>
      <c r="K6242" s="380"/>
      <c r="L6242" s="378"/>
      <c r="M6242" s="380"/>
      <c r="N6242" s="380"/>
      <c r="O6242" s="380"/>
      <c r="P6242" s="380"/>
      <c r="Q6242" s="380"/>
    </row>
    <row r="6243" spans="1:17" x14ac:dyDescent="0.2">
      <c r="A6243" s="334" t="s">
        <v>1752</v>
      </c>
      <c r="B6243" s="380"/>
      <c r="C6243" s="334" t="s">
        <v>367</v>
      </c>
      <c r="D6243" s="377"/>
      <c r="E6243" s="380"/>
      <c r="F6243" s="378"/>
      <c r="G6243" s="380"/>
      <c r="H6243" s="380"/>
      <c r="I6243" s="399"/>
      <c r="J6243" s="377"/>
      <c r="K6243" s="380"/>
      <c r="L6243" s="378"/>
      <c r="M6243" s="380"/>
      <c r="N6243" s="380"/>
      <c r="O6243" s="380"/>
      <c r="P6243" s="380"/>
      <c r="Q6243" s="380"/>
    </row>
    <row r="6244" spans="1:17" x14ac:dyDescent="0.2">
      <c r="A6244" s="384" t="s">
        <v>1957</v>
      </c>
      <c r="B6244" s="380"/>
      <c r="C6244" s="334" t="s">
        <v>49</v>
      </c>
      <c r="D6244" s="377"/>
      <c r="E6244" s="380"/>
      <c r="F6244" s="378"/>
      <c r="G6244" s="380"/>
      <c r="H6244" s="380"/>
      <c r="I6244" s="399"/>
      <c r="J6244" s="377"/>
      <c r="K6244" s="380"/>
      <c r="L6244" s="378"/>
      <c r="M6244" s="380"/>
      <c r="N6244" s="380"/>
      <c r="O6244" s="380"/>
      <c r="P6244" s="380"/>
      <c r="Q6244" s="380"/>
    </row>
    <row r="6245" spans="1:17" x14ac:dyDescent="0.2">
      <c r="A6245" s="334" t="s">
        <v>1734</v>
      </c>
      <c r="B6245" s="380"/>
      <c r="C6245" s="334" t="s">
        <v>1746</v>
      </c>
      <c r="D6245" s="377"/>
      <c r="E6245" s="380"/>
      <c r="F6245" s="378"/>
      <c r="G6245" s="380"/>
      <c r="H6245" s="380"/>
      <c r="I6245" s="399"/>
      <c r="J6245" s="377"/>
      <c r="K6245" s="380"/>
      <c r="L6245" s="378"/>
      <c r="M6245" s="380"/>
      <c r="N6245" s="380"/>
      <c r="O6245" s="380"/>
      <c r="P6245" s="380"/>
      <c r="Q6245" s="380"/>
    </row>
    <row r="6246" spans="1:17" x14ac:dyDescent="0.2">
      <c r="A6246" s="334" t="s">
        <v>1578</v>
      </c>
      <c r="B6246" s="380"/>
      <c r="C6246" s="334" t="s">
        <v>22</v>
      </c>
      <c r="D6246" s="377"/>
      <c r="E6246" s="380"/>
      <c r="F6246" s="378"/>
      <c r="G6246" s="380"/>
      <c r="H6246" s="380"/>
      <c r="I6246" s="399"/>
      <c r="J6246" s="377"/>
      <c r="K6246" s="380"/>
      <c r="L6246" s="378"/>
      <c r="M6246" s="380"/>
      <c r="N6246" s="380"/>
      <c r="O6246" s="380"/>
      <c r="P6246" s="380"/>
      <c r="Q6246" s="380"/>
    </row>
    <row r="6247" spans="1:17" x14ac:dyDescent="0.2">
      <c r="A6247" s="334" t="s">
        <v>1738</v>
      </c>
      <c r="B6247" s="380"/>
      <c r="C6247" s="334" t="s">
        <v>1591</v>
      </c>
      <c r="D6247" s="377"/>
      <c r="E6247" s="380"/>
      <c r="F6247" s="378"/>
      <c r="G6247" s="380"/>
      <c r="H6247" s="380"/>
      <c r="I6247" s="399"/>
      <c r="J6247" s="377"/>
      <c r="K6247" s="380"/>
      <c r="L6247" s="378"/>
      <c r="M6247" s="380"/>
      <c r="N6247" s="380"/>
      <c r="O6247" s="380"/>
      <c r="P6247" s="380"/>
      <c r="Q6247" s="380"/>
    </row>
    <row r="6248" spans="1:17" x14ac:dyDescent="0.2">
      <c r="A6248" s="334" t="s">
        <v>1727</v>
      </c>
      <c r="B6248" s="380"/>
      <c r="C6248" s="334" t="s">
        <v>307</v>
      </c>
      <c r="D6248" s="377"/>
      <c r="E6248" s="380"/>
      <c r="F6248" s="378"/>
      <c r="G6248" s="380"/>
      <c r="H6248" s="380"/>
      <c r="I6248" s="399"/>
      <c r="J6248" s="377"/>
      <c r="K6248" s="380"/>
      <c r="L6248" s="378"/>
      <c r="M6248" s="380"/>
      <c r="N6248" s="380"/>
      <c r="O6248" s="380"/>
      <c r="P6248" s="380"/>
      <c r="Q6248" s="380"/>
    </row>
    <row r="6249" spans="1:17" x14ac:dyDescent="0.2">
      <c r="A6249" s="334" t="s">
        <v>1728</v>
      </c>
      <c r="B6249" s="380"/>
      <c r="C6249" s="334" t="s">
        <v>310</v>
      </c>
      <c r="D6249" s="377">
        <v>100</v>
      </c>
      <c r="E6249" s="380"/>
      <c r="F6249" s="378"/>
      <c r="G6249" s="380"/>
      <c r="H6249" s="380"/>
      <c r="I6249" s="399"/>
      <c r="J6249" s="377">
        <v>100</v>
      </c>
      <c r="K6249" s="380"/>
      <c r="L6249" s="378"/>
      <c r="M6249" s="380"/>
      <c r="N6249" s="380"/>
      <c r="O6249" s="380"/>
      <c r="P6249" s="380"/>
      <c r="Q6249" s="380"/>
    </row>
    <row r="6250" spans="1:17" x14ac:dyDescent="0.2">
      <c r="A6250" s="334" t="s">
        <v>1729</v>
      </c>
      <c r="B6250" s="380"/>
      <c r="C6250" s="380" t="s">
        <v>1551</v>
      </c>
      <c r="D6250" s="377">
        <f>-11720-10000</f>
        <v>-21720</v>
      </c>
      <c r="E6250" s="380"/>
      <c r="F6250" s="378"/>
      <c r="G6250" s="380"/>
      <c r="H6250" s="380"/>
      <c r="I6250" s="399"/>
      <c r="J6250" s="377"/>
      <c r="K6250" s="380"/>
      <c r="L6250" s="378"/>
      <c r="M6250" s="380"/>
      <c r="N6250" s="380"/>
      <c r="O6250" s="380"/>
      <c r="P6250" s="380"/>
      <c r="Q6250" s="380"/>
    </row>
    <row r="6251" spans="1:17" x14ac:dyDescent="0.2">
      <c r="A6251" s="334" t="s">
        <v>1735</v>
      </c>
      <c r="B6251" s="380"/>
      <c r="C6251" s="380" t="s">
        <v>194</v>
      </c>
      <c r="D6251" s="377"/>
      <c r="E6251" s="380"/>
      <c r="F6251" s="378"/>
      <c r="G6251" s="380"/>
      <c r="H6251" s="380"/>
      <c r="I6251" s="399"/>
      <c r="J6251" s="377"/>
      <c r="K6251" s="380"/>
      <c r="L6251" s="378"/>
      <c r="M6251" s="380"/>
      <c r="N6251" s="380"/>
      <c r="O6251" s="380"/>
      <c r="P6251" s="380"/>
      <c r="Q6251" s="380"/>
    </row>
    <row r="6252" spans="1:17" x14ac:dyDescent="0.2">
      <c r="A6252" s="334" t="s">
        <v>1741</v>
      </c>
      <c r="B6252" s="380"/>
      <c r="C6252" s="334" t="s">
        <v>1748</v>
      </c>
      <c r="D6252" s="377"/>
      <c r="E6252" s="380"/>
      <c r="F6252" s="378"/>
      <c r="G6252" s="380"/>
      <c r="H6252" s="380"/>
      <c r="I6252" s="399"/>
      <c r="J6252" s="377"/>
      <c r="K6252" s="380"/>
      <c r="L6252" s="378"/>
      <c r="M6252" s="380"/>
      <c r="N6252" s="380"/>
      <c r="O6252" s="380"/>
      <c r="P6252" s="380"/>
      <c r="Q6252" s="380"/>
    </row>
    <row r="6253" spans="1:17" x14ac:dyDescent="0.2">
      <c r="A6253" s="334" t="s">
        <v>1742</v>
      </c>
      <c r="B6253" s="380"/>
      <c r="C6253" s="334" t="s">
        <v>1553</v>
      </c>
      <c r="D6253" s="377"/>
      <c r="E6253" s="380"/>
      <c r="F6253" s="378"/>
      <c r="G6253" s="380"/>
      <c r="H6253" s="380"/>
      <c r="I6253" s="399"/>
      <c r="J6253" s="377"/>
      <c r="K6253" s="380"/>
      <c r="L6253" s="378"/>
      <c r="M6253" s="380"/>
      <c r="N6253" s="380"/>
      <c r="O6253" s="380"/>
      <c r="P6253" s="380"/>
      <c r="Q6253" s="380"/>
    </row>
    <row r="6254" spans="1:17" x14ac:dyDescent="0.2">
      <c r="A6254" s="384" t="s">
        <v>1754</v>
      </c>
      <c r="B6254" s="380"/>
      <c r="C6254" s="334" t="s">
        <v>1929</v>
      </c>
      <c r="D6254" s="377"/>
      <c r="E6254" s="380"/>
      <c r="F6254" s="378"/>
      <c r="G6254" s="380"/>
      <c r="H6254" s="380"/>
      <c r="I6254" s="399"/>
      <c r="J6254" s="377"/>
      <c r="K6254" s="380"/>
      <c r="L6254" s="378"/>
      <c r="M6254" s="380"/>
      <c r="N6254" s="380"/>
      <c r="O6254" s="380"/>
      <c r="P6254" s="380"/>
      <c r="Q6254" s="380"/>
    </row>
    <row r="6255" spans="1:17" x14ac:dyDescent="0.2">
      <c r="A6255" s="334" t="s">
        <v>1584</v>
      </c>
      <c r="B6255" s="380"/>
      <c r="C6255" s="334" t="s">
        <v>0</v>
      </c>
      <c r="D6255" s="377"/>
      <c r="E6255" s="380"/>
      <c r="F6255" s="378"/>
      <c r="G6255" s="380"/>
      <c r="H6255" s="380"/>
      <c r="I6255" s="399"/>
      <c r="J6255" s="377"/>
      <c r="K6255" s="380"/>
      <c r="L6255" s="378"/>
      <c r="M6255" s="380"/>
      <c r="N6255" s="380"/>
      <c r="O6255" s="380"/>
      <c r="P6255" s="380"/>
      <c r="Q6255" s="380"/>
    </row>
    <row r="6256" spans="1:17" x14ac:dyDescent="0.2">
      <c r="A6256" s="334" t="s">
        <v>1730</v>
      </c>
      <c r="B6256" s="380"/>
      <c r="C6256" s="334" t="s">
        <v>1985</v>
      </c>
      <c r="D6256" s="377">
        <v>1000</v>
      </c>
      <c r="E6256" s="380"/>
      <c r="F6256" s="378"/>
      <c r="G6256" s="380"/>
      <c r="H6256" s="380"/>
      <c r="I6256" s="399"/>
      <c r="J6256" s="377"/>
      <c r="K6256" s="380"/>
      <c r="L6256" s="378"/>
      <c r="M6256" s="380"/>
      <c r="N6256" s="380"/>
      <c r="O6256" s="380"/>
      <c r="P6256" s="380"/>
      <c r="Q6256" s="380"/>
    </row>
    <row r="6257" spans="1:17" x14ac:dyDescent="0.2">
      <c r="A6257" s="334" t="s">
        <v>1566</v>
      </c>
      <c r="B6257" s="380"/>
      <c r="C6257" s="334" t="s">
        <v>366</v>
      </c>
      <c r="D6257" s="377"/>
      <c r="E6257" s="380"/>
      <c r="F6257" s="378"/>
      <c r="G6257" s="380"/>
      <c r="H6257" s="380"/>
      <c r="I6257" s="399"/>
      <c r="J6257" s="377"/>
      <c r="K6257" s="380"/>
      <c r="L6257" s="378"/>
      <c r="M6257" s="380"/>
      <c r="N6257" s="380"/>
      <c r="O6257" s="380"/>
      <c r="P6257" s="380"/>
      <c r="Q6257" s="380"/>
    </row>
    <row r="6258" spans="1:17" x14ac:dyDescent="0.2">
      <c r="A6258" s="334" t="s">
        <v>1587</v>
      </c>
      <c r="B6258" s="380"/>
      <c r="C6258" s="334" t="s">
        <v>34</v>
      </c>
      <c r="D6258" s="377"/>
      <c r="E6258" s="380"/>
      <c r="F6258" s="378"/>
      <c r="G6258" s="380"/>
      <c r="H6258" s="380"/>
      <c r="I6258" s="399"/>
      <c r="J6258" s="377"/>
      <c r="K6258" s="380"/>
      <c r="L6258" s="378"/>
      <c r="M6258" s="380"/>
      <c r="N6258" s="380"/>
      <c r="O6258" s="380"/>
      <c r="P6258" s="380"/>
      <c r="Q6258" s="380"/>
    </row>
    <row r="6259" spans="1:17" x14ac:dyDescent="0.2">
      <c r="A6259" s="334" t="s">
        <v>1903</v>
      </c>
      <c r="B6259" s="380"/>
      <c r="C6259" s="334" t="s">
        <v>35</v>
      </c>
      <c r="D6259" s="377"/>
      <c r="E6259" s="380"/>
      <c r="F6259" s="378"/>
      <c r="G6259" s="380"/>
      <c r="H6259" s="380"/>
      <c r="I6259" s="399"/>
      <c r="J6259" s="377"/>
      <c r="K6259" s="380"/>
      <c r="L6259" s="378"/>
      <c r="M6259" s="380"/>
      <c r="N6259" s="380"/>
      <c r="O6259" s="380"/>
      <c r="P6259" s="380"/>
      <c r="Q6259" s="380"/>
    </row>
    <row r="6260" spans="1:17" x14ac:dyDescent="0.2">
      <c r="A6260" s="334" t="s">
        <v>1962</v>
      </c>
      <c r="B6260" s="380"/>
      <c r="C6260" s="380" t="s">
        <v>572</v>
      </c>
      <c r="D6260" s="377"/>
      <c r="E6260" s="380"/>
      <c r="F6260" s="378"/>
      <c r="G6260" s="380"/>
      <c r="H6260" s="380"/>
      <c r="I6260" s="399"/>
      <c r="J6260" s="377"/>
      <c r="K6260" s="380"/>
      <c r="L6260" s="378"/>
      <c r="M6260" s="380"/>
      <c r="N6260" s="380"/>
      <c r="O6260" s="380"/>
      <c r="P6260" s="380"/>
      <c r="Q6260" s="380"/>
    </row>
    <row r="6261" spans="1:17" x14ac:dyDescent="0.2">
      <c r="A6261" s="334" t="s">
        <v>1567</v>
      </c>
      <c r="B6261" s="380"/>
      <c r="C6261" s="334" t="s">
        <v>3142</v>
      </c>
      <c r="D6261" s="377"/>
      <c r="E6261" s="380"/>
      <c r="F6261" s="378"/>
      <c r="G6261" s="380"/>
      <c r="H6261" s="380"/>
      <c r="I6261" s="399"/>
      <c r="J6261" s="377"/>
      <c r="K6261" s="380"/>
      <c r="L6261" s="378"/>
      <c r="M6261" s="380"/>
      <c r="N6261" s="380"/>
      <c r="O6261" s="380"/>
      <c r="P6261" s="380"/>
      <c r="Q6261" s="380"/>
    </row>
    <row r="6262" spans="1:17" x14ac:dyDescent="0.2">
      <c r="A6262" s="380"/>
      <c r="B6262" s="380"/>
      <c r="C6262" s="380"/>
      <c r="D6262" s="394"/>
      <c r="E6262" s="380"/>
      <c r="F6262" s="378"/>
      <c r="G6262" s="380"/>
      <c r="H6262" s="380"/>
      <c r="I6262" s="385"/>
      <c r="J6262" s="394"/>
      <c r="K6262" s="380"/>
      <c r="L6262" s="378"/>
      <c r="M6262" s="380"/>
      <c r="N6262" s="380"/>
      <c r="O6262" s="380"/>
      <c r="P6262" s="380"/>
      <c r="Q6262" s="380"/>
    </row>
    <row r="6263" spans="1:17" ht="15.75" thickBot="1" x14ac:dyDescent="0.25">
      <c r="A6263" s="380"/>
      <c r="B6263" s="380"/>
      <c r="C6263" s="380"/>
      <c r="D6263" s="411">
        <f>SUM(D6229:D6261)</f>
        <v>36880</v>
      </c>
      <c r="E6263" s="380"/>
      <c r="F6263" s="378"/>
      <c r="G6263" s="380"/>
      <c r="H6263" s="380"/>
      <c r="I6263" s="382"/>
      <c r="J6263" s="411">
        <f>SUM(J6229:J6261)</f>
        <v>53600</v>
      </c>
      <c r="K6263" s="380"/>
      <c r="L6263" s="378"/>
      <c r="M6263" s="380"/>
      <c r="N6263" s="380"/>
      <c r="O6263" s="380"/>
      <c r="P6263" s="380"/>
      <c r="Q6263" s="380"/>
    </row>
    <row r="6264" spans="1:17" x14ac:dyDescent="0.2">
      <c r="A6264" s="380"/>
      <c r="B6264" s="380"/>
      <c r="C6264" s="380"/>
      <c r="D6264" s="380"/>
      <c r="E6264" s="380"/>
      <c r="F6264" s="378"/>
      <c r="G6264" s="380"/>
      <c r="H6264" s="380"/>
      <c r="I6264" s="382"/>
      <c r="J6264" s="380"/>
      <c r="K6264" s="380"/>
      <c r="L6264" s="378"/>
      <c r="M6264" s="380"/>
      <c r="N6264" s="380"/>
      <c r="O6264" s="380"/>
      <c r="P6264" s="380"/>
      <c r="Q6264" s="380"/>
    </row>
    <row r="6265" spans="1:17" x14ac:dyDescent="0.2">
      <c r="A6265" s="380"/>
      <c r="B6265" s="380"/>
      <c r="C6265" s="380"/>
      <c r="D6265" s="380"/>
      <c r="E6265" s="380"/>
      <c r="F6265" s="378"/>
      <c r="G6265" s="380"/>
      <c r="H6265" s="380"/>
      <c r="I6265" s="382"/>
      <c r="J6265" s="380"/>
      <c r="K6265" s="380"/>
      <c r="L6265" s="378"/>
      <c r="M6265" s="380"/>
      <c r="N6265" s="380"/>
      <c r="O6265" s="380"/>
      <c r="P6265" s="380"/>
      <c r="Q6265" s="380"/>
    </row>
    <row r="6266" spans="1:17" x14ac:dyDescent="0.2">
      <c r="A6266" s="380"/>
      <c r="B6266" s="380"/>
      <c r="C6266" s="380"/>
      <c r="D6266" s="380"/>
      <c r="E6266" s="380"/>
      <c r="F6266" s="378"/>
      <c r="G6266" s="380"/>
      <c r="H6266" s="380"/>
      <c r="I6266" s="385"/>
      <c r="J6266" s="380"/>
      <c r="K6266" s="380"/>
      <c r="L6266" s="378"/>
      <c r="M6266" s="380"/>
      <c r="N6266" s="380"/>
      <c r="O6266" s="380"/>
      <c r="P6266" s="380"/>
      <c r="Q6266" s="380"/>
    </row>
    <row r="6267" spans="1:17" x14ac:dyDescent="0.2">
      <c r="A6267" s="452" t="s">
        <v>944</v>
      </c>
      <c r="B6267" s="466"/>
      <c r="C6267" s="466"/>
      <c r="D6267" s="334"/>
      <c r="E6267" s="380"/>
      <c r="F6267" s="378"/>
      <c r="G6267" s="380"/>
      <c r="H6267" s="380"/>
      <c r="I6267" s="481"/>
      <c r="J6267" s="334"/>
      <c r="K6267" s="380"/>
      <c r="L6267" s="378"/>
      <c r="M6267" s="380"/>
      <c r="N6267" s="380"/>
      <c r="O6267" s="380"/>
      <c r="P6267" s="380"/>
      <c r="Q6267" s="380"/>
    </row>
    <row r="6268" spans="1:17" x14ac:dyDescent="0.2">
      <c r="A6268" s="334" t="s">
        <v>342</v>
      </c>
      <c r="B6268" s="380"/>
      <c r="C6268" s="334"/>
      <c r="D6268" s="405" t="s">
        <v>945</v>
      </c>
      <c r="E6268" s="380"/>
      <c r="F6268" s="378"/>
      <c r="G6268" s="380"/>
      <c r="H6268" s="380"/>
      <c r="I6268" s="385"/>
      <c r="J6268" s="405" t="s">
        <v>945</v>
      </c>
      <c r="K6268" s="380"/>
      <c r="L6268" s="378"/>
      <c r="M6268" s="380"/>
      <c r="N6268" s="380"/>
      <c r="O6268" s="380"/>
      <c r="P6268" s="380"/>
      <c r="Q6268" s="380"/>
    </row>
    <row r="6269" spans="1:17" x14ac:dyDescent="0.2">
      <c r="A6269" s="334" t="s">
        <v>342</v>
      </c>
      <c r="B6269" s="380"/>
      <c r="C6269" s="334" t="s">
        <v>342</v>
      </c>
      <c r="D6269" s="334"/>
      <c r="E6269" s="380"/>
      <c r="F6269" s="378"/>
      <c r="G6269" s="380"/>
      <c r="H6269" s="380"/>
      <c r="I6269" s="385"/>
      <c r="J6269" s="334"/>
      <c r="K6269" s="380"/>
      <c r="L6269" s="378"/>
      <c r="M6269" s="380"/>
      <c r="N6269" s="380"/>
      <c r="O6269" s="380"/>
      <c r="P6269" s="380"/>
      <c r="Q6269" s="380"/>
    </row>
    <row r="6270" spans="1:17" x14ac:dyDescent="0.2">
      <c r="A6270" s="334" t="s">
        <v>1723</v>
      </c>
      <c r="B6270" s="380"/>
      <c r="C6270" s="334" t="s">
        <v>1880</v>
      </c>
      <c r="D6270" s="334" t="s">
        <v>181</v>
      </c>
      <c r="E6270" s="380"/>
      <c r="F6270" s="378"/>
      <c r="G6270" s="380"/>
      <c r="H6270" s="380"/>
      <c r="I6270" s="382"/>
      <c r="J6270" s="334" t="s">
        <v>181</v>
      </c>
      <c r="K6270" s="380"/>
      <c r="L6270" s="378"/>
      <c r="M6270" s="380"/>
      <c r="N6270" s="380"/>
      <c r="O6270" s="380"/>
      <c r="P6270" s="380"/>
      <c r="Q6270" s="380"/>
    </row>
    <row r="6271" spans="1:17" x14ac:dyDescent="0.2">
      <c r="A6271" s="380"/>
      <c r="B6271" s="380"/>
      <c r="C6271" s="380"/>
      <c r="D6271" s="380"/>
      <c r="E6271" s="380"/>
      <c r="F6271" s="378"/>
      <c r="G6271" s="380"/>
      <c r="H6271" s="380"/>
      <c r="I6271" s="382"/>
      <c r="J6271" s="380"/>
      <c r="K6271" s="380"/>
      <c r="L6271" s="378"/>
      <c r="M6271" s="380"/>
      <c r="N6271" s="380"/>
      <c r="O6271" s="380"/>
      <c r="P6271" s="380"/>
      <c r="Q6271" s="380"/>
    </row>
    <row r="6272" spans="1:17" x14ac:dyDescent="0.2">
      <c r="A6272" s="405" t="s">
        <v>1743</v>
      </c>
      <c r="B6272" s="380"/>
      <c r="C6272" s="334" t="s">
        <v>1886</v>
      </c>
      <c r="D6272" s="380"/>
      <c r="E6272" s="380"/>
      <c r="F6272" s="378"/>
      <c r="G6272" s="380"/>
      <c r="H6272" s="380"/>
      <c r="I6272" s="399"/>
      <c r="J6272" s="380"/>
      <c r="K6272" s="380"/>
      <c r="L6272" s="378"/>
      <c r="M6272" s="380"/>
      <c r="N6272" s="380"/>
      <c r="O6272" s="380"/>
      <c r="P6272" s="380"/>
      <c r="Q6272" s="380"/>
    </row>
    <row r="6273" spans="1:17" x14ac:dyDescent="0.2">
      <c r="A6273" s="334" t="s">
        <v>1724</v>
      </c>
      <c r="B6273" s="380"/>
      <c r="C6273" s="334" t="s">
        <v>1881</v>
      </c>
      <c r="D6273" s="377">
        <v>250</v>
      </c>
      <c r="E6273" s="380"/>
      <c r="F6273" s="378"/>
      <c r="G6273" s="380"/>
      <c r="H6273" s="380"/>
      <c r="I6273" s="399"/>
      <c r="J6273" s="377">
        <v>250</v>
      </c>
      <c r="K6273" s="380"/>
      <c r="L6273" s="378"/>
      <c r="M6273" s="380"/>
      <c r="N6273" s="380"/>
      <c r="O6273" s="380"/>
      <c r="P6273" s="380"/>
      <c r="Q6273" s="380"/>
    </row>
    <row r="6274" spans="1:17" x14ac:dyDescent="0.2">
      <c r="A6274" s="334" t="s">
        <v>1961</v>
      </c>
      <c r="B6274" s="380"/>
      <c r="C6274" s="334" t="s">
        <v>9</v>
      </c>
      <c r="D6274" s="377"/>
      <c r="E6274" s="380"/>
      <c r="F6274" s="378"/>
      <c r="G6274" s="380"/>
      <c r="H6274" s="380"/>
      <c r="I6274" s="399"/>
      <c r="J6274" s="377"/>
      <c r="K6274" s="380"/>
      <c r="L6274" s="378"/>
      <c r="M6274" s="380"/>
      <c r="N6274" s="380"/>
      <c r="O6274" s="380"/>
      <c r="P6274" s="380"/>
      <c r="Q6274" s="380"/>
    </row>
    <row r="6275" spans="1:17" x14ac:dyDescent="0.2">
      <c r="A6275" s="334" t="s">
        <v>1736</v>
      </c>
      <c r="B6275" s="380"/>
      <c r="C6275" s="334" t="s">
        <v>1747</v>
      </c>
      <c r="D6275" s="377"/>
      <c r="E6275" s="380"/>
      <c r="F6275" s="378"/>
      <c r="G6275" s="380"/>
      <c r="H6275" s="380"/>
      <c r="I6275" s="399"/>
      <c r="J6275" s="377"/>
      <c r="K6275" s="380"/>
      <c r="L6275" s="378"/>
      <c r="M6275" s="380"/>
      <c r="N6275" s="380"/>
      <c r="O6275" s="380"/>
      <c r="P6275" s="380"/>
      <c r="Q6275" s="380"/>
    </row>
    <row r="6276" spans="1:17" x14ac:dyDescent="0.2">
      <c r="A6276" s="334" t="s">
        <v>1744</v>
      </c>
      <c r="B6276" s="380"/>
      <c r="C6276" s="334" t="s">
        <v>1254</v>
      </c>
      <c r="D6276" s="377"/>
      <c r="E6276" s="380"/>
      <c r="F6276" s="378"/>
      <c r="G6276" s="380"/>
      <c r="H6276" s="380"/>
      <c r="I6276" s="399"/>
      <c r="J6276" s="377"/>
      <c r="K6276" s="380"/>
      <c r="L6276" s="378"/>
      <c r="M6276" s="380"/>
      <c r="N6276" s="380"/>
      <c r="O6276" s="380"/>
      <c r="P6276" s="380"/>
      <c r="Q6276" s="380"/>
    </row>
    <row r="6277" spans="1:17" x14ac:dyDescent="0.2">
      <c r="A6277" s="334" t="s">
        <v>1582</v>
      </c>
      <c r="B6277" s="380"/>
      <c r="C6277" s="334" t="s">
        <v>3135</v>
      </c>
      <c r="D6277" s="377"/>
      <c r="E6277" s="380"/>
      <c r="F6277" s="378"/>
      <c r="G6277" s="380"/>
      <c r="H6277" s="380"/>
      <c r="I6277" s="399"/>
      <c r="J6277" s="377"/>
      <c r="K6277" s="380"/>
      <c r="L6277" s="378"/>
      <c r="M6277" s="380"/>
      <c r="N6277" s="380"/>
      <c r="O6277" s="380"/>
      <c r="P6277" s="380"/>
      <c r="Q6277" s="380"/>
    </row>
    <row r="6278" spans="1:17" x14ac:dyDescent="0.2">
      <c r="A6278" s="384" t="s">
        <v>1725</v>
      </c>
      <c r="B6278" s="380"/>
      <c r="C6278" s="334" t="s">
        <v>1890</v>
      </c>
      <c r="D6278" s="377"/>
      <c r="E6278" s="380"/>
      <c r="F6278" s="378"/>
      <c r="G6278" s="380"/>
      <c r="H6278" s="380"/>
      <c r="I6278" s="399"/>
      <c r="J6278" s="377"/>
      <c r="K6278" s="380"/>
      <c r="L6278" s="378"/>
      <c r="M6278" s="380"/>
      <c r="N6278" s="380"/>
      <c r="O6278" s="380"/>
      <c r="P6278" s="380"/>
      <c r="Q6278" s="380"/>
    </row>
    <row r="6279" spans="1:17" x14ac:dyDescent="0.2">
      <c r="A6279" s="334" t="s">
        <v>1745</v>
      </c>
      <c r="B6279" s="380"/>
      <c r="C6279" s="334" t="s">
        <v>1887</v>
      </c>
      <c r="D6279" s="377"/>
      <c r="E6279" s="380"/>
      <c r="F6279" s="378"/>
      <c r="G6279" s="380"/>
      <c r="H6279" s="380"/>
      <c r="I6279" s="399"/>
      <c r="J6279" s="377"/>
      <c r="K6279" s="380"/>
      <c r="L6279" s="378"/>
      <c r="M6279" s="380"/>
      <c r="N6279" s="380"/>
      <c r="O6279" s="380"/>
      <c r="P6279" s="380"/>
      <c r="Q6279" s="380"/>
    </row>
    <row r="6280" spans="1:17" x14ac:dyDescent="0.2">
      <c r="A6280" s="334" t="s">
        <v>1906</v>
      </c>
      <c r="B6280" s="380"/>
      <c r="C6280" s="334" t="s">
        <v>39</v>
      </c>
      <c r="D6280" s="377"/>
      <c r="E6280" s="380"/>
      <c r="F6280" s="378"/>
      <c r="G6280" s="380"/>
      <c r="H6280" s="380"/>
      <c r="I6280" s="399"/>
      <c r="J6280" s="377"/>
      <c r="K6280" s="380"/>
      <c r="L6280" s="378"/>
      <c r="M6280" s="380"/>
      <c r="N6280" s="380"/>
      <c r="O6280" s="380"/>
      <c r="P6280" s="380"/>
      <c r="Q6280" s="380"/>
    </row>
    <row r="6281" spans="1:17" x14ac:dyDescent="0.2">
      <c r="A6281" s="384" t="s">
        <v>1565</v>
      </c>
      <c r="B6281" s="380"/>
      <c r="C6281" s="334" t="s">
        <v>1927</v>
      </c>
      <c r="D6281" s="377">
        <v>1000</v>
      </c>
      <c r="E6281" s="380"/>
      <c r="F6281" s="378"/>
      <c r="G6281" s="380"/>
      <c r="H6281" s="380"/>
      <c r="I6281" s="399"/>
      <c r="J6281" s="377"/>
      <c r="K6281" s="380"/>
      <c r="L6281" s="378"/>
      <c r="M6281" s="380"/>
      <c r="N6281" s="380"/>
      <c r="O6281" s="380"/>
      <c r="P6281" s="380"/>
      <c r="Q6281" s="380"/>
    </row>
    <row r="6282" spans="1:17" x14ac:dyDescent="0.2">
      <c r="A6282" s="334" t="s">
        <v>1737</v>
      </c>
      <c r="B6282" s="380"/>
      <c r="C6282" s="334" t="s">
        <v>1984</v>
      </c>
      <c r="D6282" s="377"/>
      <c r="E6282" s="380"/>
      <c r="F6282" s="378"/>
      <c r="G6282" s="380"/>
      <c r="H6282" s="380"/>
      <c r="I6282" s="399"/>
      <c r="J6282" s="377">
        <v>1000</v>
      </c>
      <c r="K6282" s="380"/>
      <c r="L6282" s="378"/>
      <c r="M6282" s="380"/>
      <c r="N6282" s="380"/>
      <c r="O6282" s="380"/>
      <c r="P6282" s="380"/>
      <c r="Q6282" s="380"/>
    </row>
    <row r="6283" spans="1:17" x14ac:dyDescent="0.2">
      <c r="A6283" s="384" t="s">
        <v>1726</v>
      </c>
      <c r="B6283" s="380"/>
      <c r="C6283" s="334" t="s">
        <v>1117</v>
      </c>
      <c r="D6283" s="377"/>
      <c r="E6283" s="380"/>
      <c r="F6283" s="378"/>
      <c r="G6283" s="380"/>
      <c r="H6283" s="380"/>
      <c r="I6283" s="399"/>
      <c r="J6283" s="377"/>
      <c r="K6283" s="380"/>
      <c r="L6283" s="378"/>
      <c r="M6283" s="380"/>
      <c r="N6283" s="380"/>
      <c r="O6283" s="380"/>
      <c r="P6283" s="380"/>
      <c r="Q6283" s="380"/>
    </row>
    <row r="6284" spans="1:17" x14ac:dyDescent="0.2">
      <c r="A6284" s="405" t="s">
        <v>1661</v>
      </c>
      <c r="B6284" s="380"/>
      <c r="C6284" s="334" t="s">
        <v>3136</v>
      </c>
      <c r="D6284" s="377"/>
      <c r="E6284" s="380"/>
      <c r="F6284" s="378"/>
      <c r="G6284" s="380"/>
      <c r="H6284" s="380"/>
      <c r="I6284" s="399"/>
      <c r="J6284" s="377"/>
      <c r="K6284" s="380"/>
      <c r="L6284" s="378"/>
      <c r="M6284" s="380"/>
      <c r="N6284" s="380"/>
      <c r="O6284" s="380"/>
      <c r="P6284" s="380"/>
      <c r="Q6284" s="380"/>
    </row>
    <row r="6285" spans="1:17" x14ac:dyDescent="0.2">
      <c r="A6285" s="384" t="s">
        <v>1751</v>
      </c>
      <c r="B6285" s="380"/>
      <c r="C6285" s="334" t="s">
        <v>3138</v>
      </c>
      <c r="D6285" s="377"/>
      <c r="E6285" s="380"/>
      <c r="F6285" s="378"/>
      <c r="G6285" s="380"/>
      <c r="H6285" s="380"/>
      <c r="I6285" s="399"/>
      <c r="J6285" s="377"/>
      <c r="K6285" s="380"/>
      <c r="L6285" s="378"/>
      <c r="M6285" s="380"/>
      <c r="N6285" s="380"/>
      <c r="O6285" s="380"/>
      <c r="P6285" s="380"/>
      <c r="Q6285" s="380"/>
    </row>
    <row r="6286" spans="1:17" x14ac:dyDescent="0.2">
      <c r="A6286" s="334" t="s">
        <v>1752</v>
      </c>
      <c r="B6286" s="380"/>
      <c r="C6286" s="334" t="s">
        <v>367</v>
      </c>
      <c r="D6286" s="377"/>
      <c r="E6286" s="380"/>
      <c r="F6286" s="378"/>
      <c r="G6286" s="380"/>
      <c r="H6286" s="380"/>
      <c r="I6286" s="399"/>
      <c r="J6286" s="377"/>
      <c r="K6286" s="380"/>
      <c r="L6286" s="378"/>
      <c r="M6286" s="380"/>
      <c r="N6286" s="380"/>
      <c r="O6286" s="380"/>
      <c r="P6286" s="380"/>
      <c r="Q6286" s="380"/>
    </row>
    <row r="6287" spans="1:17" x14ac:dyDescent="0.2">
      <c r="A6287" s="384" t="s">
        <v>1957</v>
      </c>
      <c r="B6287" s="380"/>
      <c r="C6287" s="334" t="s">
        <v>49</v>
      </c>
      <c r="D6287" s="377"/>
      <c r="E6287" s="380"/>
      <c r="F6287" s="378"/>
      <c r="G6287" s="380"/>
      <c r="H6287" s="380"/>
      <c r="I6287" s="399"/>
      <c r="J6287" s="377"/>
      <c r="K6287" s="380"/>
      <c r="L6287" s="378"/>
      <c r="M6287" s="380"/>
      <c r="N6287" s="380"/>
      <c r="O6287" s="380"/>
      <c r="P6287" s="380"/>
      <c r="Q6287" s="380"/>
    </row>
    <row r="6288" spans="1:17" x14ac:dyDescent="0.2">
      <c r="A6288" s="334" t="s">
        <v>1734</v>
      </c>
      <c r="B6288" s="380"/>
      <c r="C6288" s="334" t="s">
        <v>1746</v>
      </c>
      <c r="D6288" s="377"/>
      <c r="E6288" s="380"/>
      <c r="F6288" s="378"/>
      <c r="G6288" s="380"/>
      <c r="H6288" s="380"/>
      <c r="I6288" s="399"/>
      <c r="J6288" s="377"/>
      <c r="K6288" s="380"/>
      <c r="L6288" s="378"/>
      <c r="M6288" s="380"/>
      <c r="N6288" s="380"/>
      <c r="O6288" s="380"/>
      <c r="P6288" s="380"/>
      <c r="Q6288" s="380"/>
    </row>
    <row r="6289" spans="1:17" x14ac:dyDescent="0.2">
      <c r="A6289" s="334" t="s">
        <v>1578</v>
      </c>
      <c r="B6289" s="380"/>
      <c r="C6289" s="334" t="s">
        <v>22</v>
      </c>
      <c r="D6289" s="377"/>
      <c r="E6289" s="380"/>
      <c r="F6289" s="378"/>
      <c r="G6289" s="380"/>
      <c r="H6289" s="380"/>
      <c r="I6289" s="399"/>
      <c r="J6289" s="377"/>
      <c r="K6289" s="380"/>
      <c r="L6289" s="378"/>
      <c r="M6289" s="380"/>
      <c r="N6289" s="380"/>
      <c r="O6289" s="380"/>
      <c r="P6289" s="380"/>
      <c r="Q6289" s="380"/>
    </row>
    <row r="6290" spans="1:17" x14ac:dyDescent="0.2">
      <c r="A6290" s="334" t="s">
        <v>1738</v>
      </c>
      <c r="B6290" s="380"/>
      <c r="C6290" s="334" t="s">
        <v>1591</v>
      </c>
      <c r="D6290" s="377"/>
      <c r="E6290" s="380"/>
      <c r="F6290" s="378"/>
      <c r="G6290" s="380"/>
      <c r="H6290" s="380"/>
      <c r="I6290" s="399"/>
      <c r="J6290" s="377"/>
      <c r="K6290" s="380"/>
      <c r="L6290" s="378"/>
      <c r="M6290" s="380"/>
      <c r="N6290" s="380"/>
      <c r="O6290" s="380"/>
      <c r="P6290" s="380"/>
      <c r="Q6290" s="380"/>
    </row>
    <row r="6291" spans="1:17" x14ac:dyDescent="0.2">
      <c r="A6291" s="334" t="s">
        <v>1727</v>
      </c>
      <c r="B6291" s="380"/>
      <c r="C6291" s="334" t="s">
        <v>307</v>
      </c>
      <c r="D6291" s="377"/>
      <c r="E6291" s="380"/>
      <c r="F6291" s="378"/>
      <c r="G6291" s="380"/>
      <c r="H6291" s="380"/>
      <c r="I6291" s="399"/>
      <c r="J6291" s="377"/>
      <c r="K6291" s="380"/>
      <c r="L6291" s="378"/>
      <c r="M6291" s="380"/>
      <c r="N6291" s="380"/>
      <c r="O6291" s="380"/>
      <c r="P6291" s="380"/>
      <c r="Q6291" s="380"/>
    </row>
    <row r="6292" spans="1:17" x14ac:dyDescent="0.2">
      <c r="A6292" s="334" t="s">
        <v>1728</v>
      </c>
      <c r="B6292" s="380"/>
      <c r="C6292" s="334" t="s">
        <v>310</v>
      </c>
      <c r="D6292" s="377"/>
      <c r="E6292" s="380"/>
      <c r="F6292" s="378"/>
      <c r="G6292" s="380"/>
      <c r="H6292" s="380"/>
      <c r="I6292" s="399"/>
      <c r="J6292" s="377"/>
      <c r="K6292" s="380"/>
      <c r="L6292" s="378"/>
      <c r="M6292" s="380"/>
      <c r="N6292" s="380"/>
      <c r="O6292" s="380"/>
      <c r="P6292" s="380"/>
      <c r="Q6292" s="380"/>
    </row>
    <row r="6293" spans="1:17" x14ac:dyDescent="0.2">
      <c r="A6293" s="334" t="s">
        <v>1729</v>
      </c>
      <c r="B6293" s="380"/>
      <c r="C6293" s="380" t="s">
        <v>1551</v>
      </c>
      <c r="D6293" s="377">
        <v>-900</v>
      </c>
      <c r="E6293" s="380"/>
      <c r="F6293" s="378"/>
      <c r="G6293" s="380"/>
      <c r="H6293" s="380"/>
      <c r="I6293" s="399"/>
      <c r="J6293" s="377"/>
      <c r="K6293" s="380"/>
      <c r="L6293" s="378"/>
      <c r="M6293" s="380"/>
      <c r="N6293" s="380"/>
      <c r="O6293" s="380"/>
      <c r="P6293" s="380"/>
      <c r="Q6293" s="380"/>
    </row>
    <row r="6294" spans="1:17" x14ac:dyDescent="0.2">
      <c r="A6294" s="334" t="s">
        <v>1735</v>
      </c>
      <c r="B6294" s="380"/>
      <c r="C6294" s="380" t="s">
        <v>194</v>
      </c>
      <c r="D6294" s="377"/>
      <c r="E6294" s="380"/>
      <c r="F6294" s="378"/>
      <c r="G6294" s="380"/>
      <c r="H6294" s="380"/>
      <c r="I6294" s="399"/>
      <c r="J6294" s="377"/>
      <c r="K6294" s="380"/>
      <c r="L6294" s="378"/>
      <c r="M6294" s="380"/>
      <c r="N6294" s="380"/>
      <c r="O6294" s="380"/>
      <c r="P6294" s="380"/>
      <c r="Q6294" s="380"/>
    </row>
    <row r="6295" spans="1:17" x14ac:dyDescent="0.2">
      <c r="A6295" s="334" t="s">
        <v>1741</v>
      </c>
      <c r="B6295" s="380"/>
      <c r="C6295" s="334" t="s">
        <v>1748</v>
      </c>
      <c r="D6295" s="377"/>
      <c r="E6295" s="380"/>
      <c r="F6295" s="378"/>
      <c r="G6295" s="380"/>
      <c r="H6295" s="380"/>
      <c r="I6295" s="399"/>
      <c r="J6295" s="377"/>
      <c r="K6295" s="380"/>
      <c r="L6295" s="378"/>
      <c r="M6295" s="380"/>
      <c r="N6295" s="380"/>
      <c r="O6295" s="380"/>
      <c r="P6295" s="380"/>
      <c r="Q6295" s="380"/>
    </row>
    <row r="6296" spans="1:17" x14ac:dyDescent="0.2">
      <c r="A6296" s="334" t="s">
        <v>1742</v>
      </c>
      <c r="B6296" s="380"/>
      <c r="C6296" s="334" t="s">
        <v>1553</v>
      </c>
      <c r="D6296" s="377"/>
      <c r="E6296" s="380"/>
      <c r="F6296" s="378"/>
      <c r="G6296" s="380"/>
      <c r="H6296" s="380"/>
      <c r="I6296" s="399"/>
      <c r="J6296" s="377"/>
      <c r="K6296" s="380"/>
      <c r="L6296" s="378"/>
      <c r="M6296" s="380"/>
      <c r="N6296" s="380"/>
      <c r="O6296" s="380"/>
      <c r="P6296" s="380"/>
      <c r="Q6296" s="380"/>
    </row>
    <row r="6297" spans="1:17" x14ac:dyDescent="0.2">
      <c r="A6297" s="384" t="s">
        <v>1754</v>
      </c>
      <c r="B6297" s="380"/>
      <c r="C6297" s="334" t="s">
        <v>1929</v>
      </c>
      <c r="D6297" s="377"/>
      <c r="E6297" s="380"/>
      <c r="F6297" s="378"/>
      <c r="G6297" s="380"/>
      <c r="H6297" s="380"/>
      <c r="I6297" s="399"/>
      <c r="J6297" s="377"/>
      <c r="K6297" s="380"/>
      <c r="L6297" s="378"/>
      <c r="M6297" s="380"/>
      <c r="N6297" s="380"/>
      <c r="O6297" s="380"/>
      <c r="P6297" s="380"/>
      <c r="Q6297" s="380"/>
    </row>
    <row r="6298" spans="1:17" x14ac:dyDescent="0.2">
      <c r="A6298" s="334" t="s">
        <v>1584</v>
      </c>
      <c r="B6298" s="380"/>
      <c r="C6298" s="334" t="s">
        <v>0</v>
      </c>
      <c r="D6298" s="377"/>
      <c r="E6298" s="380"/>
      <c r="F6298" s="378"/>
      <c r="G6298" s="380"/>
      <c r="H6298" s="380"/>
      <c r="I6298" s="399"/>
      <c r="J6298" s="377"/>
      <c r="K6298" s="380"/>
      <c r="L6298" s="378"/>
      <c r="M6298" s="380"/>
      <c r="N6298" s="380"/>
      <c r="O6298" s="380"/>
      <c r="P6298" s="380"/>
      <c r="Q6298" s="380"/>
    </row>
    <row r="6299" spans="1:17" x14ac:dyDescent="0.2">
      <c r="A6299" s="334" t="s">
        <v>1730</v>
      </c>
      <c r="B6299" s="380"/>
      <c r="C6299" s="334" t="s">
        <v>1985</v>
      </c>
      <c r="D6299" s="377">
        <v>3250</v>
      </c>
      <c r="E6299" s="380"/>
      <c r="F6299" s="378"/>
      <c r="G6299" s="380"/>
      <c r="H6299" s="380"/>
      <c r="I6299" s="399"/>
      <c r="J6299" s="377">
        <v>3250</v>
      </c>
      <c r="K6299" s="380"/>
      <c r="L6299" s="378"/>
      <c r="M6299" s="380"/>
      <c r="N6299" s="380"/>
      <c r="O6299" s="380"/>
      <c r="P6299" s="380"/>
      <c r="Q6299" s="380"/>
    </row>
    <row r="6300" spans="1:17" x14ac:dyDescent="0.2">
      <c r="A6300" s="334" t="s">
        <v>1566</v>
      </c>
      <c r="B6300" s="380"/>
      <c r="C6300" s="334" t="s">
        <v>366</v>
      </c>
      <c r="D6300" s="377"/>
      <c r="E6300" s="380"/>
      <c r="F6300" s="378"/>
      <c r="G6300" s="380"/>
      <c r="H6300" s="380"/>
      <c r="I6300" s="399"/>
      <c r="J6300" s="377"/>
      <c r="K6300" s="380"/>
      <c r="L6300" s="378"/>
      <c r="M6300" s="380"/>
      <c r="N6300" s="380"/>
      <c r="O6300" s="380"/>
      <c r="P6300" s="380"/>
      <c r="Q6300" s="380"/>
    </row>
    <row r="6301" spans="1:17" x14ac:dyDescent="0.2">
      <c r="A6301" s="334" t="s">
        <v>1587</v>
      </c>
      <c r="B6301" s="380"/>
      <c r="C6301" s="334" t="s">
        <v>34</v>
      </c>
      <c r="D6301" s="377"/>
      <c r="E6301" s="380"/>
      <c r="F6301" s="378"/>
      <c r="G6301" s="380"/>
      <c r="H6301" s="380"/>
      <c r="I6301" s="399"/>
      <c r="J6301" s="377"/>
      <c r="K6301" s="380"/>
      <c r="L6301" s="378"/>
      <c r="M6301" s="380"/>
      <c r="N6301" s="380"/>
      <c r="O6301" s="380"/>
      <c r="P6301" s="380"/>
      <c r="Q6301" s="380"/>
    </row>
    <row r="6302" spans="1:17" x14ac:dyDescent="0.2">
      <c r="A6302" s="334" t="s">
        <v>1903</v>
      </c>
      <c r="B6302" s="380"/>
      <c r="C6302" s="334" t="s">
        <v>35</v>
      </c>
      <c r="D6302" s="377"/>
      <c r="E6302" s="380"/>
      <c r="F6302" s="378"/>
      <c r="G6302" s="380"/>
      <c r="H6302" s="380"/>
      <c r="I6302" s="399"/>
      <c r="J6302" s="377"/>
      <c r="K6302" s="380"/>
      <c r="L6302" s="378"/>
      <c r="M6302" s="380"/>
      <c r="N6302" s="380"/>
      <c r="O6302" s="380"/>
      <c r="P6302" s="380"/>
      <c r="Q6302" s="380"/>
    </row>
    <row r="6303" spans="1:17" x14ac:dyDescent="0.2">
      <c r="A6303" s="334" t="s">
        <v>1962</v>
      </c>
      <c r="B6303" s="380"/>
      <c r="C6303" s="380" t="s">
        <v>572</v>
      </c>
      <c r="D6303" s="377"/>
      <c r="E6303" s="380"/>
      <c r="F6303" s="378"/>
      <c r="G6303" s="380"/>
      <c r="H6303" s="380"/>
      <c r="I6303" s="399"/>
      <c r="J6303" s="377"/>
      <c r="K6303" s="380"/>
      <c r="L6303" s="378"/>
      <c r="M6303" s="380"/>
      <c r="N6303" s="380"/>
      <c r="O6303" s="380"/>
      <c r="P6303" s="380"/>
      <c r="Q6303" s="380"/>
    </row>
    <row r="6304" spans="1:17" x14ac:dyDescent="0.2">
      <c r="A6304" s="334" t="s">
        <v>1567</v>
      </c>
      <c r="B6304" s="380"/>
      <c r="C6304" s="334" t="s">
        <v>3142</v>
      </c>
      <c r="D6304" s="377"/>
      <c r="E6304" s="380"/>
      <c r="F6304" s="378"/>
      <c r="G6304" s="380"/>
      <c r="H6304" s="380"/>
      <c r="I6304" s="399"/>
      <c r="J6304" s="377"/>
      <c r="K6304" s="380"/>
      <c r="L6304" s="378"/>
      <c r="M6304" s="380"/>
      <c r="N6304" s="380"/>
      <c r="O6304" s="380"/>
      <c r="P6304" s="380"/>
      <c r="Q6304" s="380"/>
    </row>
    <row r="6305" spans="1:17" x14ac:dyDescent="0.2">
      <c r="A6305" s="380"/>
      <c r="B6305" s="380"/>
      <c r="C6305" s="380"/>
      <c r="D6305" s="394"/>
      <c r="E6305" s="380"/>
      <c r="F6305" s="378"/>
      <c r="G6305" s="380"/>
      <c r="H6305" s="380"/>
      <c r="I6305" s="385"/>
      <c r="J6305" s="394"/>
      <c r="K6305" s="380"/>
      <c r="L6305" s="378"/>
      <c r="M6305" s="380"/>
      <c r="N6305" s="380"/>
      <c r="O6305" s="380"/>
      <c r="P6305" s="380"/>
      <c r="Q6305" s="380"/>
    </row>
    <row r="6306" spans="1:17" ht="15.75" thickBot="1" x14ac:dyDescent="0.25">
      <c r="A6306" s="380"/>
      <c r="B6306" s="380"/>
      <c r="C6306" s="380"/>
      <c r="D6306" s="411">
        <f>SUM(D6272:D6304)</f>
        <v>3600</v>
      </c>
      <c r="E6306" s="380"/>
      <c r="F6306" s="378"/>
      <c r="G6306" s="380"/>
      <c r="H6306" s="380"/>
      <c r="I6306" s="382"/>
      <c r="J6306" s="411">
        <f>SUM(J6272:J6304)</f>
        <v>4500</v>
      </c>
      <c r="K6306" s="380"/>
      <c r="L6306" s="378"/>
      <c r="M6306" s="380"/>
      <c r="N6306" s="380"/>
      <c r="O6306" s="380"/>
      <c r="P6306" s="380"/>
      <c r="Q6306" s="380"/>
    </row>
    <row r="6307" spans="1:17" x14ac:dyDescent="0.2">
      <c r="A6307" s="380"/>
      <c r="B6307" s="380"/>
      <c r="C6307" s="380"/>
      <c r="D6307" s="380"/>
      <c r="E6307" s="380"/>
      <c r="F6307" s="378"/>
      <c r="G6307" s="380"/>
      <c r="H6307" s="380"/>
      <c r="I6307" s="382"/>
      <c r="J6307" s="380"/>
      <c r="K6307" s="380"/>
      <c r="L6307" s="378"/>
      <c r="M6307" s="380"/>
      <c r="N6307" s="380"/>
      <c r="O6307" s="380"/>
      <c r="P6307" s="380"/>
      <c r="Q6307" s="380"/>
    </row>
    <row r="6308" spans="1:17" x14ac:dyDescent="0.2">
      <c r="A6308" s="380"/>
      <c r="B6308" s="380"/>
      <c r="C6308" s="380"/>
      <c r="D6308" s="380"/>
      <c r="E6308" s="380"/>
      <c r="F6308" s="378"/>
      <c r="G6308" s="380"/>
      <c r="H6308" s="380"/>
      <c r="I6308" s="382"/>
      <c r="J6308" s="380"/>
      <c r="K6308" s="380"/>
      <c r="L6308" s="378"/>
      <c r="M6308" s="380"/>
      <c r="N6308" s="380"/>
      <c r="O6308" s="380"/>
      <c r="P6308" s="380"/>
      <c r="Q6308" s="380"/>
    </row>
    <row r="6309" spans="1:17" x14ac:dyDescent="0.2">
      <c r="A6309" s="380"/>
      <c r="B6309" s="380"/>
      <c r="C6309" s="380"/>
      <c r="D6309" s="380"/>
      <c r="E6309" s="380"/>
      <c r="F6309" s="378"/>
      <c r="G6309" s="380"/>
      <c r="H6309" s="380"/>
      <c r="I6309" s="382"/>
      <c r="J6309" s="380"/>
      <c r="K6309" s="380"/>
      <c r="L6309" s="378"/>
      <c r="M6309" s="380"/>
      <c r="N6309" s="380"/>
      <c r="O6309" s="380"/>
      <c r="P6309" s="380"/>
      <c r="Q6309" s="380"/>
    </row>
    <row r="6310" spans="1:17" x14ac:dyDescent="0.2">
      <c r="A6310" s="380"/>
      <c r="B6310" s="380"/>
      <c r="C6310" s="380"/>
      <c r="D6310" s="380"/>
      <c r="E6310" s="380"/>
      <c r="F6310" s="378"/>
      <c r="G6310" s="380"/>
      <c r="H6310" s="380"/>
      <c r="I6310" s="382"/>
      <c r="J6310" s="380"/>
      <c r="K6310" s="380"/>
      <c r="L6310" s="378"/>
      <c r="M6310" s="380"/>
      <c r="N6310" s="380"/>
      <c r="O6310" s="380"/>
      <c r="P6310" s="380"/>
      <c r="Q6310" s="380"/>
    </row>
    <row r="6311" spans="1:17" x14ac:dyDescent="0.2">
      <c r="A6311" s="380"/>
      <c r="B6311" s="380"/>
      <c r="C6311" s="380"/>
      <c r="D6311" s="380"/>
      <c r="E6311" s="380"/>
      <c r="F6311" s="378"/>
      <c r="G6311" s="380"/>
      <c r="H6311" s="380"/>
      <c r="I6311" s="382"/>
      <c r="J6311" s="380"/>
      <c r="K6311" s="380"/>
      <c r="L6311" s="378"/>
      <c r="M6311" s="380"/>
      <c r="N6311" s="380"/>
      <c r="O6311" s="380"/>
      <c r="P6311" s="380"/>
      <c r="Q6311" s="380"/>
    </row>
    <row r="6312" spans="1:17" x14ac:dyDescent="0.2">
      <c r="A6312" s="380"/>
      <c r="B6312" s="380"/>
      <c r="C6312" s="380"/>
      <c r="D6312" s="380"/>
      <c r="E6312" s="380"/>
      <c r="F6312" s="378"/>
      <c r="G6312" s="380"/>
      <c r="H6312" s="380"/>
      <c r="I6312" s="382"/>
      <c r="J6312" s="380"/>
      <c r="K6312" s="380"/>
      <c r="L6312" s="378"/>
      <c r="M6312" s="380"/>
      <c r="N6312" s="380"/>
      <c r="O6312" s="380"/>
      <c r="P6312" s="380"/>
      <c r="Q6312" s="380"/>
    </row>
    <row r="6313" spans="1:17" x14ac:dyDescent="0.2">
      <c r="A6313" s="380"/>
      <c r="B6313" s="380"/>
      <c r="C6313" s="380"/>
      <c r="D6313" s="380"/>
      <c r="E6313" s="380"/>
      <c r="F6313" s="378"/>
      <c r="G6313" s="380"/>
      <c r="H6313" s="380"/>
      <c r="I6313" s="382"/>
      <c r="J6313" s="380"/>
      <c r="K6313" s="380"/>
      <c r="L6313" s="378"/>
      <c r="M6313" s="380"/>
      <c r="N6313" s="380"/>
      <c r="O6313" s="380"/>
      <c r="P6313" s="380"/>
      <c r="Q6313" s="380"/>
    </row>
    <row r="6314" spans="1:17" x14ac:dyDescent="0.2">
      <c r="A6314" s="380"/>
      <c r="B6314" s="380"/>
      <c r="C6314" s="380"/>
      <c r="D6314" s="380"/>
      <c r="E6314" s="380"/>
      <c r="F6314" s="378"/>
      <c r="G6314" s="380"/>
      <c r="H6314" s="380"/>
      <c r="I6314" s="382"/>
      <c r="J6314" s="380"/>
      <c r="K6314" s="380"/>
      <c r="L6314" s="378"/>
      <c r="M6314" s="380"/>
      <c r="N6314" s="380"/>
      <c r="O6314" s="380"/>
      <c r="P6314" s="380"/>
      <c r="Q6314" s="380"/>
    </row>
    <row r="6315" spans="1:17" x14ac:dyDescent="0.2">
      <c r="A6315" s="380"/>
      <c r="B6315" s="380"/>
      <c r="C6315" s="380"/>
      <c r="D6315" s="380"/>
      <c r="E6315" s="380"/>
      <c r="F6315" s="378"/>
      <c r="G6315" s="380"/>
      <c r="H6315" s="380"/>
      <c r="I6315" s="385"/>
      <c r="J6315" s="380"/>
      <c r="K6315" s="380"/>
      <c r="L6315" s="378"/>
      <c r="M6315" s="380"/>
      <c r="N6315" s="380"/>
      <c r="O6315" s="380"/>
      <c r="P6315" s="380"/>
      <c r="Q6315" s="380"/>
    </row>
    <row r="6316" spans="1:17" x14ac:dyDescent="0.2">
      <c r="A6316" s="455" t="s">
        <v>2032</v>
      </c>
      <c r="B6316" s="466"/>
      <c r="C6316" s="466"/>
      <c r="D6316" s="334"/>
      <c r="E6316" s="380"/>
      <c r="F6316" s="378"/>
      <c r="G6316" s="380"/>
      <c r="H6316" s="380"/>
      <c r="I6316" s="424"/>
      <c r="J6316" s="334"/>
      <c r="K6316" s="380"/>
      <c r="L6316" s="378"/>
      <c r="M6316" s="380"/>
      <c r="N6316" s="380"/>
      <c r="O6316" s="380"/>
      <c r="P6316" s="380"/>
      <c r="Q6316" s="380"/>
    </row>
    <row r="6317" spans="1:17" x14ac:dyDescent="0.2">
      <c r="A6317" s="334" t="s">
        <v>342</v>
      </c>
      <c r="B6317" s="380"/>
      <c r="C6317" s="334"/>
      <c r="D6317" s="384" t="s">
        <v>2033</v>
      </c>
      <c r="E6317" s="380"/>
      <c r="F6317" s="378"/>
      <c r="G6317" s="380"/>
      <c r="H6317" s="380"/>
      <c r="I6317" s="385"/>
      <c r="J6317" s="384" t="s">
        <v>2033</v>
      </c>
      <c r="K6317" s="380"/>
      <c r="L6317" s="378"/>
      <c r="M6317" s="380"/>
      <c r="N6317" s="380"/>
      <c r="O6317" s="380"/>
      <c r="P6317" s="380"/>
      <c r="Q6317" s="380"/>
    </row>
    <row r="6318" spans="1:17" x14ac:dyDescent="0.2">
      <c r="A6318" s="334" t="s">
        <v>342</v>
      </c>
      <c r="B6318" s="380"/>
      <c r="C6318" s="334" t="s">
        <v>342</v>
      </c>
      <c r="D6318" s="334"/>
      <c r="E6318" s="380"/>
      <c r="F6318" s="378"/>
      <c r="G6318" s="380"/>
      <c r="H6318" s="380"/>
      <c r="I6318" s="385"/>
      <c r="J6318" s="334"/>
      <c r="K6318" s="380"/>
      <c r="L6318" s="378"/>
      <c r="M6318" s="380"/>
      <c r="N6318" s="380"/>
      <c r="O6318" s="380"/>
      <c r="P6318" s="380"/>
      <c r="Q6318" s="380"/>
    </row>
    <row r="6319" spans="1:17" x14ac:dyDescent="0.2">
      <c r="A6319" s="334" t="s">
        <v>1723</v>
      </c>
      <c r="B6319" s="380"/>
      <c r="C6319" s="334" t="s">
        <v>1880</v>
      </c>
      <c r="D6319" s="334" t="s">
        <v>181</v>
      </c>
      <c r="E6319" s="380"/>
      <c r="F6319" s="378"/>
      <c r="G6319" s="380"/>
      <c r="H6319" s="380"/>
      <c r="I6319" s="382"/>
      <c r="J6319" s="334" t="s">
        <v>181</v>
      </c>
      <c r="K6319" s="380"/>
      <c r="L6319" s="378"/>
      <c r="M6319" s="380"/>
      <c r="N6319" s="380"/>
      <c r="O6319" s="380"/>
      <c r="P6319" s="380"/>
      <c r="Q6319" s="380"/>
    </row>
    <row r="6320" spans="1:17" x14ac:dyDescent="0.2">
      <c r="A6320" s="380"/>
      <c r="B6320" s="380"/>
      <c r="C6320" s="380"/>
      <c r="D6320" s="380"/>
      <c r="E6320" s="380"/>
      <c r="F6320" s="378"/>
      <c r="G6320" s="380"/>
      <c r="H6320" s="380"/>
      <c r="I6320" s="399"/>
      <c r="J6320" s="380"/>
      <c r="K6320" s="380"/>
      <c r="L6320" s="378"/>
      <c r="M6320" s="380"/>
      <c r="N6320" s="380"/>
      <c r="O6320" s="380"/>
      <c r="P6320" s="380"/>
      <c r="Q6320" s="380"/>
    </row>
    <row r="6321" spans="1:17" x14ac:dyDescent="0.2">
      <c r="A6321" s="384" t="s">
        <v>1953</v>
      </c>
      <c r="B6321" s="380"/>
      <c r="C6321" s="334" t="s">
        <v>193</v>
      </c>
      <c r="D6321" s="377">
        <v>25000</v>
      </c>
      <c r="E6321" s="380"/>
      <c r="F6321" s="378"/>
      <c r="G6321" s="380"/>
      <c r="H6321" s="380"/>
      <c r="I6321" s="399"/>
      <c r="J6321" s="377">
        <v>75000</v>
      </c>
      <c r="K6321" s="380"/>
      <c r="L6321" s="378"/>
      <c r="M6321" s="380"/>
      <c r="N6321" s="380"/>
      <c r="O6321" s="380"/>
      <c r="P6321" s="380"/>
      <c r="Q6321" s="380"/>
    </row>
    <row r="6322" spans="1:17" x14ac:dyDescent="0.2">
      <c r="A6322" s="334" t="s">
        <v>1724</v>
      </c>
      <c r="B6322" s="380"/>
      <c r="C6322" s="334" t="s">
        <v>1881</v>
      </c>
      <c r="D6322" s="377">
        <v>5000</v>
      </c>
      <c r="E6322" s="380"/>
      <c r="F6322" s="378"/>
      <c r="G6322" s="380"/>
      <c r="H6322" s="380"/>
      <c r="I6322" s="399"/>
      <c r="J6322" s="377">
        <v>5000</v>
      </c>
      <c r="K6322" s="380"/>
      <c r="L6322" s="378"/>
      <c r="M6322" s="380"/>
      <c r="N6322" s="380"/>
      <c r="O6322" s="380"/>
      <c r="P6322" s="380"/>
      <c r="Q6322" s="380"/>
    </row>
    <row r="6323" spans="1:17" x14ac:dyDescent="0.2">
      <c r="A6323" s="334" t="s">
        <v>1961</v>
      </c>
      <c r="B6323" s="380"/>
      <c r="C6323" s="334" t="s">
        <v>9</v>
      </c>
      <c r="D6323" s="377"/>
      <c r="E6323" s="380"/>
      <c r="F6323" s="378"/>
      <c r="G6323" s="380"/>
      <c r="H6323" s="380"/>
      <c r="I6323" s="399"/>
      <c r="J6323" s="377"/>
      <c r="K6323" s="380"/>
      <c r="L6323" s="378"/>
      <c r="M6323" s="380"/>
      <c r="N6323" s="380"/>
      <c r="O6323" s="380"/>
      <c r="P6323" s="380"/>
      <c r="Q6323" s="380"/>
    </row>
    <row r="6324" spans="1:17" x14ac:dyDescent="0.2">
      <c r="A6324" s="334" t="s">
        <v>1736</v>
      </c>
      <c r="B6324" s="380"/>
      <c r="C6324" s="334" t="s">
        <v>1747</v>
      </c>
      <c r="D6324" s="377"/>
      <c r="E6324" s="380"/>
      <c r="F6324" s="378"/>
      <c r="G6324" s="380"/>
      <c r="H6324" s="380"/>
      <c r="I6324" s="399"/>
      <c r="J6324" s="377"/>
      <c r="K6324" s="380"/>
      <c r="L6324" s="378"/>
      <c r="M6324" s="380"/>
      <c r="N6324" s="380"/>
      <c r="O6324" s="380"/>
      <c r="P6324" s="380"/>
      <c r="Q6324" s="380"/>
    </row>
    <row r="6325" spans="1:17" x14ac:dyDescent="0.2">
      <c r="A6325" s="334" t="s">
        <v>1744</v>
      </c>
      <c r="B6325" s="380"/>
      <c r="C6325" s="334" t="s">
        <v>1254</v>
      </c>
      <c r="D6325" s="377"/>
      <c r="E6325" s="380"/>
      <c r="F6325" s="378"/>
      <c r="G6325" s="380"/>
      <c r="H6325" s="380"/>
      <c r="I6325" s="399"/>
      <c r="J6325" s="377">
        <v>1000</v>
      </c>
      <c r="K6325" s="380"/>
      <c r="L6325" s="378"/>
      <c r="M6325" s="380"/>
      <c r="N6325" s="380"/>
      <c r="O6325" s="380"/>
      <c r="P6325" s="380"/>
      <c r="Q6325" s="380"/>
    </row>
    <row r="6326" spans="1:17" x14ac:dyDescent="0.2">
      <c r="A6326" s="334" t="s">
        <v>1582</v>
      </c>
      <c r="B6326" s="380"/>
      <c r="C6326" s="334" t="s">
        <v>3135</v>
      </c>
      <c r="D6326" s="377"/>
      <c r="E6326" s="380"/>
      <c r="F6326" s="378"/>
      <c r="G6326" s="380"/>
      <c r="H6326" s="380"/>
      <c r="I6326" s="399"/>
      <c r="J6326" s="377"/>
      <c r="K6326" s="380"/>
      <c r="L6326" s="378"/>
      <c r="M6326" s="380"/>
      <c r="N6326" s="380"/>
      <c r="O6326" s="380"/>
      <c r="P6326" s="380"/>
      <c r="Q6326" s="380"/>
    </row>
    <row r="6327" spans="1:17" x14ac:dyDescent="0.2">
      <c r="A6327" s="384" t="s">
        <v>1725</v>
      </c>
      <c r="B6327" s="380"/>
      <c r="C6327" s="334" t="s">
        <v>1890</v>
      </c>
      <c r="D6327" s="377"/>
      <c r="E6327" s="380"/>
      <c r="F6327" s="378"/>
      <c r="G6327" s="380"/>
      <c r="H6327" s="380"/>
      <c r="I6327" s="399"/>
      <c r="J6327" s="377"/>
      <c r="K6327" s="380"/>
      <c r="L6327" s="378"/>
      <c r="M6327" s="380"/>
      <c r="N6327" s="380"/>
      <c r="O6327" s="380"/>
      <c r="P6327" s="380"/>
      <c r="Q6327" s="380"/>
    </row>
    <row r="6328" spans="1:17" x14ac:dyDescent="0.2">
      <c r="A6328" s="334" t="s">
        <v>1745</v>
      </c>
      <c r="B6328" s="380"/>
      <c r="C6328" s="334" t="s">
        <v>1887</v>
      </c>
      <c r="D6328" s="377"/>
      <c r="E6328" s="380"/>
      <c r="F6328" s="378"/>
      <c r="G6328" s="380"/>
      <c r="H6328" s="380"/>
      <c r="I6328" s="399"/>
      <c r="J6328" s="377"/>
      <c r="K6328" s="380"/>
      <c r="L6328" s="378"/>
      <c r="M6328" s="380"/>
      <c r="N6328" s="380"/>
      <c r="O6328" s="380"/>
      <c r="P6328" s="380"/>
      <c r="Q6328" s="380"/>
    </row>
    <row r="6329" spans="1:17" x14ac:dyDescent="0.2">
      <c r="A6329" s="334" t="s">
        <v>1906</v>
      </c>
      <c r="B6329" s="380"/>
      <c r="C6329" s="334" t="s">
        <v>39</v>
      </c>
      <c r="D6329" s="377"/>
      <c r="E6329" s="380"/>
      <c r="F6329" s="378"/>
      <c r="G6329" s="380"/>
      <c r="H6329" s="380"/>
      <c r="I6329" s="399"/>
      <c r="J6329" s="377"/>
      <c r="K6329" s="380"/>
      <c r="L6329" s="378"/>
      <c r="M6329" s="380"/>
      <c r="N6329" s="380"/>
      <c r="O6329" s="380"/>
      <c r="P6329" s="380"/>
      <c r="Q6329" s="380"/>
    </row>
    <row r="6330" spans="1:17" x14ac:dyDescent="0.2">
      <c r="A6330" s="334" t="s">
        <v>1576</v>
      </c>
      <c r="B6330" s="380"/>
      <c r="C6330" s="334" t="s">
        <v>1590</v>
      </c>
      <c r="D6330" s="377"/>
      <c r="E6330" s="380"/>
      <c r="F6330" s="378"/>
      <c r="G6330" s="380"/>
      <c r="H6330" s="380"/>
      <c r="I6330" s="399"/>
      <c r="J6330" s="377"/>
      <c r="K6330" s="380"/>
      <c r="L6330" s="378"/>
      <c r="M6330" s="380"/>
      <c r="N6330" s="380"/>
      <c r="O6330" s="380"/>
      <c r="P6330" s="380"/>
      <c r="Q6330" s="380"/>
    </row>
    <row r="6331" spans="1:17" x14ac:dyDescent="0.2">
      <c r="A6331" s="334" t="s">
        <v>1737</v>
      </c>
      <c r="B6331" s="380"/>
      <c r="C6331" s="334" t="s">
        <v>1984</v>
      </c>
      <c r="D6331" s="377"/>
      <c r="E6331" s="380"/>
      <c r="F6331" s="378"/>
      <c r="G6331" s="380"/>
      <c r="H6331" s="380"/>
      <c r="I6331" s="399"/>
      <c r="J6331" s="377"/>
      <c r="K6331" s="380"/>
      <c r="L6331" s="378"/>
      <c r="M6331" s="380"/>
      <c r="N6331" s="380"/>
      <c r="O6331" s="380"/>
      <c r="P6331" s="380"/>
      <c r="Q6331" s="380"/>
    </row>
    <row r="6332" spans="1:17" x14ac:dyDescent="0.2">
      <c r="A6332" s="403" t="s">
        <v>2940</v>
      </c>
      <c r="B6332" s="380"/>
      <c r="C6332" s="334" t="s">
        <v>693</v>
      </c>
      <c r="D6332" s="377"/>
      <c r="E6332" s="380"/>
      <c r="F6332" s="378"/>
      <c r="G6332" s="380"/>
      <c r="H6332" s="380"/>
      <c r="I6332" s="399"/>
      <c r="J6332" s="377">
        <v>200</v>
      </c>
      <c r="K6332" s="380"/>
      <c r="L6332" s="378"/>
      <c r="M6332" s="380"/>
      <c r="N6332" s="380"/>
      <c r="O6332" s="380"/>
      <c r="P6332" s="380"/>
      <c r="Q6332" s="380"/>
    </row>
    <row r="6333" spans="1:17" x14ac:dyDescent="0.2">
      <c r="A6333" s="384" t="s">
        <v>1726</v>
      </c>
      <c r="B6333" s="380"/>
      <c r="C6333" s="334" t="s">
        <v>1117</v>
      </c>
      <c r="D6333" s="377"/>
      <c r="E6333" s="380"/>
      <c r="F6333" s="378"/>
      <c r="G6333" s="380"/>
      <c r="H6333" s="380"/>
      <c r="I6333" s="399"/>
      <c r="J6333" s="377"/>
      <c r="K6333" s="380"/>
      <c r="L6333" s="378"/>
      <c r="M6333" s="380"/>
      <c r="N6333" s="380"/>
      <c r="O6333" s="380"/>
      <c r="P6333" s="380"/>
      <c r="Q6333" s="380"/>
    </row>
    <row r="6334" spans="1:17" x14ac:dyDescent="0.2">
      <c r="A6334" s="405" t="s">
        <v>1661</v>
      </c>
      <c r="B6334" s="380"/>
      <c r="C6334" s="334" t="s">
        <v>3136</v>
      </c>
      <c r="D6334" s="377">
        <v>2500</v>
      </c>
      <c r="E6334" s="380"/>
      <c r="F6334" s="378"/>
      <c r="G6334" s="380"/>
      <c r="H6334" s="380"/>
      <c r="I6334" s="399"/>
      <c r="J6334" s="377">
        <v>2500</v>
      </c>
      <c r="K6334" s="380"/>
      <c r="L6334" s="378"/>
      <c r="M6334" s="380"/>
      <c r="N6334" s="380"/>
      <c r="O6334" s="380"/>
      <c r="P6334" s="380"/>
      <c r="Q6334" s="380"/>
    </row>
    <row r="6335" spans="1:17" x14ac:dyDescent="0.2">
      <c r="A6335" s="384" t="s">
        <v>1751</v>
      </c>
      <c r="B6335" s="380"/>
      <c r="C6335" s="334" t="s">
        <v>3138</v>
      </c>
      <c r="D6335" s="377">
        <v>2000</v>
      </c>
      <c r="E6335" s="380"/>
      <c r="F6335" s="378"/>
      <c r="G6335" s="380"/>
      <c r="H6335" s="380"/>
      <c r="I6335" s="399"/>
      <c r="J6335" s="377">
        <v>2000</v>
      </c>
      <c r="K6335" s="380"/>
      <c r="L6335" s="378"/>
      <c r="M6335" s="380"/>
      <c r="N6335" s="380"/>
      <c r="O6335" s="380"/>
      <c r="P6335" s="380"/>
      <c r="Q6335" s="380"/>
    </row>
    <row r="6336" spans="1:17" x14ac:dyDescent="0.2">
      <c r="A6336" s="384" t="s">
        <v>1956</v>
      </c>
      <c r="B6336" s="380"/>
      <c r="C6336" s="334" t="s">
        <v>2034</v>
      </c>
      <c r="D6336" s="377">
        <v>6000</v>
      </c>
      <c r="E6336" s="380"/>
      <c r="F6336" s="378"/>
      <c r="G6336" s="380"/>
      <c r="H6336" s="380"/>
      <c r="I6336" s="399"/>
      <c r="J6336" s="377">
        <v>6000</v>
      </c>
      <c r="K6336" s="380"/>
      <c r="L6336" s="378"/>
      <c r="M6336" s="380"/>
      <c r="N6336" s="380"/>
      <c r="O6336" s="380"/>
      <c r="P6336" s="380"/>
      <c r="Q6336" s="380"/>
    </row>
    <row r="6337" spans="1:17" x14ac:dyDescent="0.2">
      <c r="A6337" s="384" t="s">
        <v>1957</v>
      </c>
      <c r="B6337" s="380"/>
      <c r="C6337" s="334" t="s">
        <v>49</v>
      </c>
      <c r="D6337" s="377">
        <v>2800</v>
      </c>
      <c r="E6337" s="380"/>
      <c r="F6337" s="378"/>
      <c r="G6337" s="380"/>
      <c r="H6337" s="380"/>
      <c r="I6337" s="399"/>
      <c r="J6337" s="377">
        <v>2800</v>
      </c>
      <c r="K6337" s="380"/>
      <c r="L6337" s="378"/>
      <c r="M6337" s="380"/>
      <c r="N6337" s="380"/>
      <c r="O6337" s="380"/>
      <c r="P6337" s="380"/>
      <c r="Q6337" s="380"/>
    </row>
    <row r="6338" spans="1:17" x14ac:dyDescent="0.2">
      <c r="A6338" s="384" t="s">
        <v>1577</v>
      </c>
      <c r="B6338" s="380"/>
      <c r="C6338" s="334" t="s">
        <v>1815</v>
      </c>
      <c r="D6338" s="377">
        <v>3000</v>
      </c>
      <c r="E6338" s="380"/>
      <c r="F6338" s="378"/>
      <c r="G6338" s="380"/>
      <c r="H6338" s="380"/>
      <c r="I6338" s="399"/>
      <c r="J6338" s="377">
        <v>6000</v>
      </c>
      <c r="K6338" s="380"/>
      <c r="L6338" s="378"/>
      <c r="M6338" s="380"/>
      <c r="N6338" s="380"/>
      <c r="O6338" s="380"/>
      <c r="P6338" s="380"/>
      <c r="Q6338" s="380"/>
    </row>
    <row r="6339" spans="1:17" x14ac:dyDescent="0.2">
      <c r="A6339" s="403" t="s">
        <v>1753</v>
      </c>
      <c r="B6339" s="380"/>
      <c r="C6339" s="334" t="s">
        <v>1816</v>
      </c>
      <c r="D6339" s="377">
        <v>2000</v>
      </c>
      <c r="E6339" s="380"/>
      <c r="F6339" s="378"/>
      <c r="G6339" s="380"/>
      <c r="H6339" s="380"/>
      <c r="I6339" s="399"/>
      <c r="J6339" s="377"/>
      <c r="K6339" s="380"/>
      <c r="L6339" s="378"/>
      <c r="M6339" s="380"/>
      <c r="N6339" s="380"/>
      <c r="O6339" s="380"/>
      <c r="P6339" s="380"/>
      <c r="Q6339" s="380"/>
    </row>
    <row r="6340" spans="1:17" x14ac:dyDescent="0.2">
      <c r="A6340" s="334" t="s">
        <v>1578</v>
      </c>
      <c r="B6340" s="380"/>
      <c r="C6340" s="334" t="s">
        <v>22</v>
      </c>
      <c r="D6340" s="377"/>
      <c r="E6340" s="380"/>
      <c r="F6340" s="378"/>
      <c r="G6340" s="380"/>
      <c r="H6340" s="380"/>
      <c r="I6340" s="399"/>
      <c r="J6340" s="377"/>
      <c r="K6340" s="380"/>
      <c r="L6340" s="378"/>
      <c r="M6340" s="380"/>
      <c r="N6340" s="380"/>
      <c r="O6340" s="380"/>
      <c r="P6340" s="380"/>
      <c r="Q6340" s="380"/>
    </row>
    <row r="6341" spans="1:17" x14ac:dyDescent="0.2">
      <c r="A6341" s="334" t="s">
        <v>1738</v>
      </c>
      <c r="B6341" s="380"/>
      <c r="C6341" s="334" t="s">
        <v>1591</v>
      </c>
      <c r="D6341" s="377"/>
      <c r="E6341" s="380"/>
      <c r="F6341" s="378"/>
      <c r="G6341" s="380"/>
      <c r="H6341" s="380"/>
      <c r="I6341" s="399"/>
      <c r="J6341" s="377"/>
      <c r="K6341" s="380"/>
      <c r="L6341" s="378"/>
      <c r="M6341" s="380"/>
      <c r="N6341" s="380"/>
      <c r="O6341" s="380"/>
      <c r="P6341" s="380"/>
      <c r="Q6341" s="380"/>
    </row>
    <row r="6342" spans="1:17" x14ac:dyDescent="0.2">
      <c r="A6342" s="334" t="s">
        <v>1727</v>
      </c>
      <c r="B6342" s="380"/>
      <c r="C6342" s="334" t="s">
        <v>307</v>
      </c>
      <c r="D6342" s="377"/>
      <c r="E6342" s="380"/>
      <c r="F6342" s="378"/>
      <c r="G6342" s="380"/>
      <c r="H6342" s="380"/>
      <c r="I6342" s="399"/>
      <c r="J6342" s="377"/>
      <c r="K6342" s="380"/>
      <c r="L6342" s="378"/>
      <c r="M6342" s="380"/>
      <c r="N6342" s="380"/>
      <c r="O6342" s="380"/>
      <c r="P6342" s="380"/>
      <c r="Q6342" s="380"/>
    </row>
    <row r="6343" spans="1:17" x14ac:dyDescent="0.2">
      <c r="A6343" s="334" t="s">
        <v>1728</v>
      </c>
      <c r="B6343" s="380"/>
      <c r="C6343" s="334" t="s">
        <v>310</v>
      </c>
      <c r="D6343" s="377">
        <v>1200</v>
      </c>
      <c r="E6343" s="380"/>
      <c r="F6343" s="378"/>
      <c r="G6343" s="380"/>
      <c r="H6343" s="380"/>
      <c r="I6343" s="399"/>
      <c r="J6343" s="377">
        <v>2000</v>
      </c>
      <c r="K6343" s="380"/>
      <c r="L6343" s="378"/>
      <c r="M6343" s="380"/>
      <c r="N6343" s="380"/>
      <c r="O6343" s="380"/>
      <c r="P6343" s="380"/>
      <c r="Q6343" s="380"/>
    </row>
    <row r="6344" spans="1:17" x14ac:dyDescent="0.2">
      <c r="A6344" s="334" t="s">
        <v>1729</v>
      </c>
      <c r="B6344" s="380"/>
      <c r="C6344" s="380" t="s">
        <v>1551</v>
      </c>
      <c r="D6344" s="377">
        <v>-11200</v>
      </c>
      <c r="E6344" s="380"/>
      <c r="F6344" s="378"/>
      <c r="G6344" s="380"/>
      <c r="H6344" s="380"/>
      <c r="I6344" s="399"/>
      <c r="J6344" s="377"/>
      <c r="K6344" s="380"/>
      <c r="L6344" s="378"/>
      <c r="M6344" s="380"/>
      <c r="N6344" s="380"/>
      <c r="O6344" s="380"/>
      <c r="P6344" s="380"/>
      <c r="Q6344" s="380"/>
    </row>
    <row r="6345" spans="1:17" x14ac:dyDescent="0.2">
      <c r="A6345" s="334" t="s">
        <v>1735</v>
      </c>
      <c r="B6345" s="380"/>
      <c r="C6345" s="380" t="s">
        <v>194</v>
      </c>
      <c r="D6345" s="377"/>
      <c r="E6345" s="380"/>
      <c r="F6345" s="378"/>
      <c r="G6345" s="380"/>
      <c r="H6345" s="380"/>
      <c r="I6345" s="399"/>
      <c r="J6345" s="377">
        <v>500</v>
      </c>
      <c r="K6345" s="380"/>
      <c r="L6345" s="378"/>
      <c r="M6345" s="380"/>
      <c r="N6345" s="380"/>
      <c r="O6345" s="380"/>
      <c r="P6345" s="380"/>
      <c r="Q6345" s="380"/>
    </row>
    <row r="6346" spans="1:17" x14ac:dyDescent="0.2">
      <c r="A6346" s="334" t="s">
        <v>1741</v>
      </c>
      <c r="B6346" s="380"/>
      <c r="C6346" s="334" t="s">
        <v>1748</v>
      </c>
      <c r="D6346" s="377"/>
      <c r="E6346" s="380"/>
      <c r="F6346" s="378"/>
      <c r="G6346" s="380"/>
      <c r="H6346" s="380"/>
      <c r="I6346" s="399"/>
      <c r="J6346" s="377"/>
      <c r="K6346" s="380"/>
      <c r="L6346" s="378"/>
      <c r="M6346" s="380"/>
      <c r="N6346" s="380"/>
      <c r="O6346" s="380"/>
      <c r="P6346" s="380"/>
      <c r="Q6346" s="380"/>
    </row>
    <row r="6347" spans="1:17" x14ac:dyDescent="0.2">
      <c r="A6347" s="334" t="s">
        <v>1742</v>
      </c>
      <c r="B6347" s="380"/>
      <c r="C6347" s="334" t="s">
        <v>1553</v>
      </c>
      <c r="D6347" s="377"/>
      <c r="E6347" s="380"/>
      <c r="F6347" s="378"/>
      <c r="G6347" s="380"/>
      <c r="H6347" s="380"/>
      <c r="I6347" s="399"/>
      <c r="J6347" s="377"/>
      <c r="K6347" s="380"/>
      <c r="L6347" s="378"/>
      <c r="M6347" s="380"/>
      <c r="N6347" s="380"/>
      <c r="O6347" s="380"/>
      <c r="P6347" s="380"/>
      <c r="Q6347" s="380"/>
    </row>
    <row r="6348" spans="1:17" x14ac:dyDescent="0.2">
      <c r="A6348" s="384" t="s">
        <v>1754</v>
      </c>
      <c r="B6348" s="380"/>
      <c r="C6348" s="334" t="s">
        <v>1929</v>
      </c>
      <c r="D6348" s="377">
        <v>500</v>
      </c>
      <c r="E6348" s="380"/>
      <c r="F6348" s="378"/>
      <c r="G6348" s="380"/>
      <c r="H6348" s="380"/>
      <c r="I6348" s="399"/>
      <c r="J6348" s="377"/>
      <c r="K6348" s="380"/>
      <c r="L6348" s="378"/>
      <c r="M6348" s="380"/>
      <c r="N6348" s="380"/>
      <c r="O6348" s="380"/>
      <c r="P6348" s="380"/>
      <c r="Q6348" s="380"/>
    </row>
    <row r="6349" spans="1:17" x14ac:dyDescent="0.2">
      <c r="A6349" s="334" t="s">
        <v>1584</v>
      </c>
      <c r="B6349" s="380"/>
      <c r="C6349" s="334" t="s">
        <v>0</v>
      </c>
      <c r="D6349" s="377"/>
      <c r="E6349" s="380"/>
      <c r="F6349" s="378"/>
      <c r="G6349" s="380"/>
      <c r="H6349" s="380"/>
      <c r="I6349" s="399"/>
      <c r="J6349" s="377"/>
      <c r="K6349" s="380"/>
      <c r="L6349" s="378"/>
      <c r="M6349" s="380"/>
      <c r="N6349" s="380"/>
      <c r="O6349" s="380"/>
      <c r="P6349" s="380"/>
      <c r="Q6349" s="380"/>
    </row>
    <row r="6350" spans="1:17" x14ac:dyDescent="0.2">
      <c r="A6350" s="334" t="s">
        <v>1730</v>
      </c>
      <c r="B6350" s="380"/>
      <c r="C6350" s="334" t="s">
        <v>1985</v>
      </c>
      <c r="D6350" s="377">
        <v>2000</v>
      </c>
      <c r="E6350" s="380"/>
      <c r="F6350" s="378"/>
      <c r="G6350" s="380"/>
      <c r="H6350" s="380"/>
      <c r="I6350" s="399"/>
      <c r="J6350" s="377">
        <v>1500</v>
      </c>
      <c r="K6350" s="380"/>
      <c r="L6350" s="378"/>
      <c r="M6350" s="380"/>
      <c r="N6350" s="380"/>
      <c r="O6350" s="380"/>
      <c r="P6350" s="380"/>
      <c r="Q6350" s="380"/>
    </row>
    <row r="6351" spans="1:17" x14ac:dyDescent="0.2">
      <c r="A6351" s="334" t="s">
        <v>1566</v>
      </c>
      <c r="B6351" s="380"/>
      <c r="C6351" s="334" t="s">
        <v>366</v>
      </c>
      <c r="D6351" s="377"/>
      <c r="E6351" s="380"/>
      <c r="F6351" s="378"/>
      <c r="G6351" s="380"/>
      <c r="H6351" s="380"/>
      <c r="I6351" s="399"/>
      <c r="J6351" s="377"/>
      <c r="K6351" s="380"/>
      <c r="L6351" s="378"/>
      <c r="M6351" s="380"/>
      <c r="N6351" s="380"/>
      <c r="O6351" s="380"/>
      <c r="P6351" s="380"/>
      <c r="Q6351" s="380"/>
    </row>
    <row r="6352" spans="1:17" x14ac:dyDescent="0.2">
      <c r="A6352" s="384" t="s">
        <v>1946</v>
      </c>
      <c r="B6352" s="380"/>
      <c r="C6352" s="392" t="s">
        <v>931</v>
      </c>
      <c r="D6352" s="377">
        <v>4000</v>
      </c>
      <c r="E6352" s="380"/>
      <c r="F6352" s="378"/>
      <c r="G6352" s="380"/>
      <c r="H6352" s="380"/>
      <c r="I6352" s="399"/>
      <c r="J6352" s="377">
        <v>4000</v>
      </c>
      <c r="K6352" s="380"/>
      <c r="L6352" s="378"/>
      <c r="M6352" s="380"/>
      <c r="N6352" s="380"/>
      <c r="O6352" s="380"/>
      <c r="P6352" s="380"/>
      <c r="Q6352" s="380"/>
    </row>
    <row r="6353" spans="1:17" x14ac:dyDescent="0.2">
      <c r="A6353" s="334" t="s">
        <v>1903</v>
      </c>
      <c r="B6353" s="380"/>
      <c r="C6353" s="334" t="s">
        <v>35</v>
      </c>
      <c r="D6353" s="377"/>
      <c r="E6353" s="380"/>
      <c r="F6353" s="378"/>
      <c r="G6353" s="380"/>
      <c r="H6353" s="380"/>
      <c r="I6353" s="399"/>
      <c r="J6353" s="377"/>
      <c r="K6353" s="380"/>
      <c r="L6353" s="378"/>
      <c r="M6353" s="380"/>
      <c r="N6353" s="380"/>
      <c r="O6353" s="380"/>
      <c r="P6353" s="380"/>
      <c r="Q6353" s="380"/>
    </row>
    <row r="6354" spans="1:17" x14ac:dyDescent="0.2">
      <c r="A6354" s="334" t="s">
        <v>1962</v>
      </c>
      <c r="B6354" s="380"/>
      <c r="C6354" s="380" t="s">
        <v>572</v>
      </c>
      <c r="D6354" s="377"/>
      <c r="E6354" s="380"/>
      <c r="F6354" s="378"/>
      <c r="G6354" s="380"/>
      <c r="H6354" s="380"/>
      <c r="I6354" s="399"/>
      <c r="J6354" s="377"/>
      <c r="K6354" s="380"/>
      <c r="L6354" s="378"/>
      <c r="M6354" s="380"/>
      <c r="N6354" s="380"/>
      <c r="O6354" s="380"/>
      <c r="P6354" s="380"/>
      <c r="Q6354" s="380"/>
    </row>
    <row r="6355" spans="1:17" x14ac:dyDescent="0.2">
      <c r="A6355" s="334" t="s">
        <v>1567</v>
      </c>
      <c r="B6355" s="380"/>
      <c r="C6355" s="334" t="s">
        <v>3142</v>
      </c>
      <c r="D6355" s="377"/>
      <c r="E6355" s="380"/>
      <c r="F6355" s="378"/>
      <c r="G6355" s="380"/>
      <c r="H6355" s="380"/>
      <c r="I6355" s="399"/>
      <c r="J6355" s="377"/>
      <c r="K6355" s="380"/>
      <c r="L6355" s="378"/>
      <c r="M6355" s="380"/>
      <c r="N6355" s="380"/>
      <c r="O6355" s="380"/>
      <c r="P6355" s="380"/>
      <c r="Q6355" s="380"/>
    </row>
    <row r="6356" spans="1:17" x14ac:dyDescent="0.2">
      <c r="A6356" s="380"/>
      <c r="B6356" s="380"/>
      <c r="C6356" s="380"/>
      <c r="D6356" s="394"/>
      <c r="E6356" s="380"/>
      <c r="F6356" s="378"/>
      <c r="G6356" s="380"/>
      <c r="H6356" s="380"/>
      <c r="I6356" s="385"/>
      <c r="J6356" s="394"/>
      <c r="K6356" s="380"/>
      <c r="L6356" s="378"/>
      <c r="M6356" s="380"/>
      <c r="N6356" s="380"/>
      <c r="O6356" s="380"/>
      <c r="P6356" s="380"/>
      <c r="Q6356" s="380"/>
    </row>
    <row r="6357" spans="1:17" ht="15.75" thickBot="1" x14ac:dyDescent="0.25">
      <c r="A6357" s="380"/>
      <c r="B6357" s="380"/>
      <c r="C6357" s="380"/>
      <c r="D6357" s="411">
        <f>SUM(D6321:D6355)</f>
        <v>44800</v>
      </c>
      <c r="E6357" s="380"/>
      <c r="F6357" s="378"/>
      <c r="G6357" s="380"/>
      <c r="H6357" s="380"/>
      <c r="I6357" s="382"/>
      <c r="J6357" s="411">
        <f>SUM(J6321:J6355)</f>
        <v>108500</v>
      </c>
      <c r="K6357" s="380"/>
      <c r="L6357" s="378"/>
      <c r="M6357" s="380"/>
      <c r="N6357" s="380"/>
      <c r="O6357" s="380"/>
      <c r="P6357" s="380"/>
      <c r="Q6357" s="380"/>
    </row>
    <row r="6358" spans="1:17" x14ac:dyDescent="0.2">
      <c r="A6358" s="380"/>
      <c r="B6358" s="380"/>
      <c r="C6358" s="380"/>
      <c r="D6358" s="380"/>
      <c r="E6358" s="380"/>
      <c r="F6358" s="378"/>
      <c r="G6358" s="380"/>
      <c r="H6358" s="380"/>
      <c r="I6358" s="382"/>
      <c r="J6358" s="380"/>
      <c r="K6358" s="380"/>
      <c r="L6358" s="378"/>
      <c r="M6358" s="380"/>
      <c r="N6358" s="380"/>
      <c r="O6358" s="380"/>
      <c r="P6358" s="380"/>
      <c r="Q6358" s="380"/>
    </row>
    <row r="6359" spans="1:17" x14ac:dyDescent="0.2">
      <c r="A6359" s="380"/>
      <c r="B6359" s="380"/>
      <c r="C6359" s="380"/>
      <c r="D6359" s="380"/>
      <c r="E6359" s="380"/>
      <c r="F6359" s="378"/>
      <c r="G6359" s="380"/>
      <c r="H6359" s="380"/>
      <c r="I6359" s="382"/>
      <c r="J6359" s="380"/>
      <c r="K6359" s="380"/>
      <c r="L6359" s="378"/>
      <c r="M6359" s="380"/>
      <c r="N6359" s="380"/>
      <c r="O6359" s="380"/>
      <c r="P6359" s="380"/>
      <c r="Q6359" s="380"/>
    </row>
    <row r="6360" spans="1:17" x14ac:dyDescent="0.2">
      <c r="A6360" s="380"/>
      <c r="B6360" s="380"/>
      <c r="C6360" s="380"/>
      <c r="D6360" s="380"/>
      <c r="E6360" s="380"/>
      <c r="F6360" s="378"/>
      <c r="G6360" s="380"/>
      <c r="H6360" s="380"/>
      <c r="I6360" s="382"/>
      <c r="J6360" s="380"/>
      <c r="K6360" s="380"/>
      <c r="L6360" s="378"/>
      <c r="M6360" s="380"/>
      <c r="N6360" s="380"/>
      <c r="O6360" s="380"/>
      <c r="P6360" s="380"/>
      <c r="Q6360" s="380"/>
    </row>
    <row r="6361" spans="1:17" x14ac:dyDescent="0.2">
      <c r="A6361" s="380"/>
      <c r="B6361" s="380"/>
      <c r="C6361" s="380"/>
      <c r="D6361" s="380"/>
      <c r="E6361" s="380"/>
      <c r="F6361" s="378"/>
      <c r="G6361" s="380"/>
      <c r="H6361" s="380"/>
      <c r="I6361" s="382"/>
      <c r="J6361" s="380"/>
      <c r="K6361" s="380"/>
      <c r="L6361" s="378"/>
      <c r="M6361" s="380"/>
      <c r="N6361" s="380"/>
      <c r="O6361" s="380"/>
      <c r="P6361" s="380"/>
      <c r="Q6361" s="380"/>
    </row>
    <row r="6362" spans="1:17" x14ac:dyDescent="0.2">
      <c r="A6362" s="380"/>
      <c r="B6362" s="380"/>
      <c r="C6362" s="380"/>
      <c r="D6362" s="380"/>
      <c r="E6362" s="380"/>
      <c r="F6362" s="378"/>
      <c r="G6362" s="380"/>
      <c r="H6362" s="380"/>
      <c r="I6362" s="382"/>
      <c r="J6362" s="380"/>
      <c r="K6362" s="380"/>
      <c r="L6362" s="378"/>
      <c r="M6362" s="380"/>
      <c r="N6362" s="380"/>
      <c r="O6362" s="380"/>
      <c r="P6362" s="380"/>
      <c r="Q6362" s="380"/>
    </row>
    <row r="6363" spans="1:17" x14ac:dyDescent="0.2">
      <c r="A6363" s="380"/>
      <c r="B6363" s="380"/>
      <c r="C6363" s="380"/>
      <c r="D6363" s="380"/>
      <c r="E6363" s="377"/>
      <c r="F6363" s="378"/>
      <c r="G6363" s="377"/>
      <c r="H6363" s="377"/>
      <c r="I6363" s="385"/>
      <c r="J6363" s="380"/>
      <c r="K6363" s="377"/>
      <c r="L6363" s="378"/>
      <c r="M6363" s="377"/>
      <c r="N6363" s="377"/>
      <c r="O6363" s="380"/>
      <c r="P6363" s="380"/>
      <c r="Q6363" s="380"/>
    </row>
    <row r="6364" spans="1:17" x14ac:dyDescent="0.2">
      <c r="A6364" s="334" t="s">
        <v>2722</v>
      </c>
      <c r="B6364" s="377"/>
      <c r="C6364" s="377"/>
      <c r="D6364" s="334" t="s">
        <v>342</v>
      </c>
      <c r="E6364" s="380"/>
      <c r="F6364" s="378"/>
      <c r="G6364" s="380"/>
      <c r="H6364" s="380"/>
      <c r="I6364" s="382"/>
      <c r="J6364" s="334" t="s">
        <v>342</v>
      </c>
      <c r="K6364" s="380"/>
      <c r="L6364" s="378"/>
      <c r="M6364" s="380"/>
      <c r="N6364" s="380"/>
      <c r="O6364" s="380"/>
      <c r="P6364" s="380"/>
      <c r="Q6364" s="380"/>
    </row>
    <row r="6365" spans="1:17" x14ac:dyDescent="0.2">
      <c r="A6365" s="334" t="s">
        <v>342</v>
      </c>
      <c r="B6365" s="380"/>
      <c r="C6365" s="403" t="s">
        <v>2864</v>
      </c>
      <c r="D6365" s="380"/>
      <c r="E6365" s="380"/>
      <c r="F6365" s="378"/>
      <c r="G6365" s="380"/>
      <c r="H6365" s="380"/>
      <c r="I6365" s="382"/>
      <c r="J6365" s="380"/>
      <c r="K6365" s="380"/>
      <c r="L6365" s="378"/>
      <c r="M6365" s="380"/>
      <c r="N6365" s="380"/>
      <c r="O6365" s="380"/>
      <c r="P6365" s="380"/>
      <c r="Q6365" s="380"/>
    </row>
    <row r="6366" spans="1:17" x14ac:dyDescent="0.2">
      <c r="A6366" s="380"/>
      <c r="B6366" s="380"/>
      <c r="C6366" s="380"/>
      <c r="D6366" s="380"/>
      <c r="E6366" s="380"/>
      <c r="F6366" s="378"/>
      <c r="G6366" s="380"/>
      <c r="H6366" s="380"/>
      <c r="I6366" s="385"/>
      <c r="J6366" s="380"/>
      <c r="K6366" s="380"/>
      <c r="L6366" s="378"/>
      <c r="M6366" s="380"/>
      <c r="N6366" s="380"/>
      <c r="O6366" s="380"/>
      <c r="P6366" s="380"/>
      <c r="Q6366" s="380"/>
    </row>
    <row r="6367" spans="1:17" x14ac:dyDescent="0.2">
      <c r="A6367" s="334" t="s">
        <v>1723</v>
      </c>
      <c r="B6367" s="380"/>
      <c r="C6367" s="334" t="s">
        <v>1880</v>
      </c>
      <c r="D6367" s="334" t="s">
        <v>181</v>
      </c>
      <c r="E6367" s="380"/>
      <c r="F6367" s="378"/>
      <c r="G6367" s="380"/>
      <c r="H6367" s="380"/>
      <c r="I6367" s="385"/>
      <c r="J6367" s="334" t="s">
        <v>181</v>
      </c>
      <c r="K6367" s="380"/>
      <c r="L6367" s="378"/>
      <c r="M6367" s="380"/>
      <c r="N6367" s="380"/>
      <c r="O6367" s="380"/>
      <c r="P6367" s="380"/>
      <c r="Q6367" s="380"/>
    </row>
    <row r="6368" spans="1:17" x14ac:dyDescent="0.2">
      <c r="A6368" s="334"/>
      <c r="B6368" s="380"/>
      <c r="C6368" s="334"/>
      <c r="D6368" s="334"/>
      <c r="E6368" s="380"/>
      <c r="F6368" s="378"/>
      <c r="G6368" s="380"/>
      <c r="H6368" s="380"/>
      <c r="I6368" s="399"/>
      <c r="J6368" s="334"/>
      <c r="K6368" s="380"/>
      <c r="L6368" s="378"/>
      <c r="M6368" s="380"/>
      <c r="N6368" s="380"/>
      <c r="O6368" s="380"/>
      <c r="P6368" s="380"/>
      <c r="Q6368" s="380"/>
    </row>
    <row r="6369" spans="1:17" x14ac:dyDescent="0.2">
      <c r="A6369" s="334" t="s">
        <v>1724</v>
      </c>
      <c r="B6369" s="380"/>
      <c r="C6369" s="380" t="s">
        <v>1881</v>
      </c>
      <c r="D6369" s="377">
        <v>50</v>
      </c>
      <c r="E6369" s="380"/>
      <c r="F6369" s="378"/>
      <c r="G6369" s="380"/>
      <c r="H6369" s="380"/>
      <c r="I6369" s="399"/>
      <c r="J6369" s="377">
        <v>200</v>
      </c>
      <c r="K6369" s="380"/>
      <c r="L6369" s="378"/>
      <c r="M6369" s="380"/>
      <c r="N6369" s="380"/>
      <c r="O6369" s="380"/>
      <c r="P6369" s="380"/>
      <c r="Q6369" s="380"/>
    </row>
    <row r="6370" spans="1:17" x14ac:dyDescent="0.2">
      <c r="A6370" s="334" t="s">
        <v>1736</v>
      </c>
      <c r="B6370" s="380"/>
      <c r="C6370" s="380" t="s">
        <v>1747</v>
      </c>
      <c r="D6370" s="377"/>
      <c r="E6370" s="380"/>
      <c r="F6370" s="378"/>
      <c r="G6370" s="380"/>
      <c r="H6370" s="380"/>
      <c r="I6370" s="399"/>
      <c r="J6370" s="377"/>
      <c r="K6370" s="380"/>
      <c r="L6370" s="378"/>
      <c r="M6370" s="380"/>
      <c r="N6370" s="380"/>
      <c r="O6370" s="380"/>
      <c r="P6370" s="380"/>
      <c r="Q6370" s="380"/>
    </row>
    <row r="6371" spans="1:17" x14ac:dyDescent="0.2">
      <c r="A6371" s="334" t="s">
        <v>1582</v>
      </c>
      <c r="B6371" s="380"/>
      <c r="C6371" s="334" t="s">
        <v>3135</v>
      </c>
      <c r="D6371" s="377"/>
      <c r="E6371" s="380"/>
      <c r="F6371" s="378"/>
      <c r="G6371" s="380"/>
      <c r="H6371" s="380"/>
      <c r="I6371" s="399"/>
      <c r="J6371" s="377"/>
      <c r="K6371" s="380"/>
      <c r="L6371" s="378"/>
      <c r="M6371" s="380"/>
      <c r="N6371" s="380"/>
      <c r="O6371" s="380"/>
      <c r="P6371" s="380"/>
      <c r="Q6371" s="380"/>
    </row>
    <row r="6372" spans="1:17" x14ac:dyDescent="0.2">
      <c r="A6372" s="334" t="s">
        <v>1725</v>
      </c>
      <c r="B6372" s="380"/>
      <c r="C6372" s="334" t="s">
        <v>1890</v>
      </c>
      <c r="D6372" s="377"/>
      <c r="E6372" s="380"/>
      <c r="F6372" s="378"/>
      <c r="G6372" s="380"/>
      <c r="H6372" s="380"/>
      <c r="I6372" s="399"/>
      <c r="J6372" s="377"/>
      <c r="K6372" s="380"/>
      <c r="L6372" s="378"/>
      <c r="M6372" s="380"/>
      <c r="N6372" s="380"/>
      <c r="O6372" s="380"/>
      <c r="P6372" s="380"/>
      <c r="Q6372" s="380"/>
    </row>
    <row r="6373" spans="1:17" x14ac:dyDescent="0.2">
      <c r="A6373" s="384" t="s">
        <v>1745</v>
      </c>
      <c r="B6373" s="380"/>
      <c r="C6373" s="334" t="s">
        <v>1887</v>
      </c>
      <c r="D6373" s="377"/>
      <c r="E6373" s="380"/>
      <c r="F6373" s="378"/>
      <c r="G6373" s="380"/>
      <c r="H6373" s="380"/>
      <c r="I6373" s="399"/>
      <c r="J6373" s="377"/>
      <c r="K6373" s="380"/>
      <c r="L6373" s="378"/>
      <c r="M6373" s="380"/>
      <c r="N6373" s="380"/>
      <c r="O6373" s="380"/>
      <c r="P6373" s="380"/>
      <c r="Q6373" s="380"/>
    </row>
    <row r="6374" spans="1:17" x14ac:dyDescent="0.2">
      <c r="A6374" s="384" t="s">
        <v>1737</v>
      </c>
      <c r="B6374" s="380"/>
      <c r="C6374" s="334" t="s">
        <v>1984</v>
      </c>
      <c r="D6374" s="377"/>
      <c r="E6374" s="380"/>
      <c r="F6374" s="378"/>
      <c r="G6374" s="380"/>
      <c r="H6374" s="380"/>
      <c r="I6374" s="399"/>
      <c r="J6374" s="377"/>
      <c r="K6374" s="380"/>
      <c r="L6374" s="378"/>
      <c r="M6374" s="380"/>
      <c r="N6374" s="380"/>
      <c r="O6374" s="380"/>
      <c r="P6374" s="380"/>
      <c r="Q6374" s="380"/>
    </row>
    <row r="6375" spans="1:17" x14ac:dyDescent="0.2">
      <c r="A6375" s="384" t="s">
        <v>1751</v>
      </c>
      <c r="B6375" s="380"/>
      <c r="C6375" s="334" t="s">
        <v>3138</v>
      </c>
      <c r="D6375" s="377">
        <v>200</v>
      </c>
      <c r="E6375" s="380"/>
      <c r="F6375" s="378"/>
      <c r="G6375" s="380"/>
      <c r="H6375" s="380"/>
      <c r="I6375" s="399"/>
      <c r="J6375" s="377"/>
      <c r="K6375" s="380"/>
      <c r="L6375" s="378"/>
      <c r="M6375" s="380"/>
      <c r="N6375" s="380"/>
      <c r="O6375" s="380"/>
      <c r="P6375" s="380"/>
      <c r="Q6375" s="380"/>
    </row>
    <row r="6376" spans="1:17" x14ac:dyDescent="0.2">
      <c r="A6376" s="334" t="s">
        <v>1738</v>
      </c>
      <c r="B6376" s="380"/>
      <c r="C6376" s="334" t="s">
        <v>1591</v>
      </c>
      <c r="D6376" s="377">
        <v>100</v>
      </c>
      <c r="E6376" s="380"/>
      <c r="F6376" s="378"/>
      <c r="G6376" s="380"/>
      <c r="H6376" s="380"/>
      <c r="I6376" s="399"/>
      <c r="J6376" s="377">
        <v>100</v>
      </c>
      <c r="K6376" s="380"/>
      <c r="L6376" s="378"/>
      <c r="M6376" s="380"/>
      <c r="N6376" s="380"/>
      <c r="O6376" s="380"/>
      <c r="P6376" s="380"/>
      <c r="Q6376" s="380"/>
    </row>
    <row r="6377" spans="1:17" x14ac:dyDescent="0.2">
      <c r="A6377" s="334" t="s">
        <v>1727</v>
      </c>
      <c r="B6377" s="380"/>
      <c r="C6377" s="334" t="s">
        <v>307</v>
      </c>
      <c r="D6377" s="377">
        <v>50</v>
      </c>
      <c r="E6377" s="380"/>
      <c r="F6377" s="378"/>
      <c r="G6377" s="380"/>
      <c r="H6377" s="380"/>
      <c r="I6377" s="399"/>
      <c r="J6377" s="377">
        <v>100</v>
      </c>
      <c r="K6377" s="380"/>
      <c r="L6377" s="378"/>
      <c r="M6377" s="380"/>
      <c r="N6377" s="380"/>
      <c r="O6377" s="380"/>
      <c r="P6377" s="380"/>
      <c r="Q6377" s="380"/>
    </row>
    <row r="6378" spans="1:17" x14ac:dyDescent="0.2">
      <c r="A6378" s="334" t="s">
        <v>1728</v>
      </c>
      <c r="B6378" s="380"/>
      <c r="C6378" s="334" t="s">
        <v>310</v>
      </c>
      <c r="D6378" s="377">
        <v>100</v>
      </c>
      <c r="E6378" s="380"/>
      <c r="F6378" s="378"/>
      <c r="G6378" s="380"/>
      <c r="H6378" s="380"/>
      <c r="I6378" s="399"/>
      <c r="J6378" s="377">
        <v>200</v>
      </c>
      <c r="K6378" s="380"/>
      <c r="L6378" s="378"/>
      <c r="M6378" s="380"/>
      <c r="N6378" s="380"/>
      <c r="O6378" s="380"/>
      <c r="P6378" s="380"/>
      <c r="Q6378" s="380"/>
    </row>
    <row r="6379" spans="1:17" x14ac:dyDescent="0.2">
      <c r="A6379" s="334" t="s">
        <v>1729</v>
      </c>
      <c r="B6379" s="380"/>
      <c r="C6379" s="380" t="s">
        <v>1551</v>
      </c>
      <c r="D6379" s="377"/>
      <c r="E6379" s="380"/>
      <c r="F6379" s="378"/>
      <c r="G6379" s="380"/>
      <c r="H6379" s="380"/>
      <c r="I6379" s="399"/>
      <c r="J6379" s="377"/>
      <c r="K6379" s="380"/>
      <c r="L6379" s="378"/>
      <c r="M6379" s="380"/>
      <c r="N6379" s="380"/>
      <c r="O6379" s="380"/>
      <c r="P6379" s="380"/>
      <c r="Q6379" s="380"/>
    </row>
    <row r="6380" spans="1:17" x14ac:dyDescent="0.2">
      <c r="A6380" s="334" t="s">
        <v>1735</v>
      </c>
      <c r="B6380" s="380"/>
      <c r="C6380" s="380" t="s">
        <v>194</v>
      </c>
      <c r="D6380" s="377"/>
      <c r="E6380" s="380"/>
      <c r="F6380" s="378"/>
      <c r="G6380" s="380"/>
      <c r="H6380" s="380"/>
      <c r="I6380" s="399"/>
      <c r="J6380" s="377"/>
      <c r="K6380" s="380"/>
      <c r="L6380" s="378"/>
      <c r="M6380" s="380"/>
      <c r="N6380" s="380"/>
      <c r="O6380" s="380"/>
      <c r="P6380" s="380"/>
      <c r="Q6380" s="380"/>
    </row>
    <row r="6381" spans="1:17" x14ac:dyDescent="0.2">
      <c r="A6381" s="334" t="s">
        <v>1742</v>
      </c>
      <c r="B6381" s="380"/>
      <c r="C6381" s="334" t="s">
        <v>1553</v>
      </c>
      <c r="D6381" s="377"/>
      <c r="E6381" s="380"/>
      <c r="F6381" s="378"/>
      <c r="G6381" s="380"/>
      <c r="H6381" s="380"/>
      <c r="I6381" s="399"/>
      <c r="J6381" s="377"/>
      <c r="K6381" s="380"/>
      <c r="L6381" s="378"/>
      <c r="M6381" s="380"/>
      <c r="N6381" s="380"/>
      <c r="O6381" s="380"/>
      <c r="P6381" s="380"/>
      <c r="Q6381" s="380"/>
    </row>
    <row r="6382" spans="1:17" x14ac:dyDescent="0.2">
      <c r="A6382" s="334" t="s">
        <v>1580</v>
      </c>
      <c r="B6382" s="380"/>
      <c r="C6382" s="334" t="s">
        <v>1935</v>
      </c>
      <c r="D6382" s="377"/>
      <c r="E6382" s="380"/>
      <c r="F6382" s="378"/>
      <c r="G6382" s="380"/>
      <c r="H6382" s="380"/>
      <c r="I6382" s="399"/>
      <c r="J6382" s="377"/>
      <c r="K6382" s="380"/>
      <c r="L6382" s="378"/>
      <c r="M6382" s="380"/>
      <c r="N6382" s="380"/>
      <c r="O6382" s="380"/>
      <c r="P6382" s="380"/>
      <c r="Q6382" s="380"/>
    </row>
    <row r="6383" spans="1:17" x14ac:dyDescent="0.2">
      <c r="A6383" s="334" t="s">
        <v>1572</v>
      </c>
      <c r="B6383" s="380"/>
      <c r="C6383" s="334" t="s">
        <v>3134</v>
      </c>
      <c r="D6383" s="377"/>
      <c r="E6383" s="380"/>
      <c r="F6383" s="378"/>
      <c r="G6383" s="380"/>
      <c r="H6383" s="380"/>
      <c r="I6383" s="399"/>
      <c r="J6383" s="377"/>
      <c r="K6383" s="380"/>
      <c r="L6383" s="378"/>
      <c r="M6383" s="380"/>
      <c r="N6383" s="380"/>
      <c r="O6383" s="380"/>
      <c r="P6383" s="380"/>
      <c r="Q6383" s="380"/>
    </row>
    <row r="6384" spans="1:17" x14ac:dyDescent="0.2">
      <c r="A6384" s="391" t="s">
        <v>1566</v>
      </c>
      <c r="B6384" s="380"/>
      <c r="C6384" s="334" t="s">
        <v>366</v>
      </c>
      <c r="D6384" s="377">
        <v>500</v>
      </c>
      <c r="E6384" s="380"/>
      <c r="F6384" s="378"/>
      <c r="G6384" s="380"/>
      <c r="H6384" s="380"/>
      <c r="I6384" s="399"/>
      <c r="J6384" s="377">
        <v>1400</v>
      </c>
      <c r="K6384" s="380"/>
      <c r="L6384" s="378"/>
      <c r="M6384" s="380"/>
      <c r="N6384" s="380"/>
      <c r="O6384" s="380"/>
      <c r="P6384" s="380"/>
      <c r="Q6384" s="380"/>
    </row>
    <row r="6385" spans="1:17" x14ac:dyDescent="0.2">
      <c r="A6385" s="384" t="s">
        <v>1755</v>
      </c>
      <c r="B6385" s="380"/>
      <c r="C6385" s="334" t="s">
        <v>1552</v>
      </c>
      <c r="D6385" s="377"/>
      <c r="E6385" s="380"/>
      <c r="F6385" s="378"/>
      <c r="G6385" s="380"/>
      <c r="H6385" s="380"/>
      <c r="I6385" s="385"/>
      <c r="J6385" s="377"/>
      <c r="K6385" s="380"/>
      <c r="L6385" s="378"/>
      <c r="M6385" s="380"/>
      <c r="N6385" s="380"/>
      <c r="O6385" s="380"/>
      <c r="P6385" s="380"/>
      <c r="Q6385" s="380"/>
    </row>
    <row r="6386" spans="1:17" x14ac:dyDescent="0.2">
      <c r="A6386" s="380"/>
      <c r="B6386" s="380"/>
      <c r="C6386" s="380"/>
      <c r="D6386" s="410" t="s">
        <v>342</v>
      </c>
      <c r="E6386" s="380"/>
      <c r="F6386" s="378"/>
      <c r="G6386" s="380"/>
      <c r="H6386" s="380"/>
      <c r="I6386" s="385"/>
      <c r="J6386" s="410" t="s">
        <v>342</v>
      </c>
      <c r="K6386" s="380"/>
      <c r="L6386" s="378"/>
      <c r="M6386" s="380"/>
      <c r="N6386" s="380"/>
      <c r="O6386" s="380"/>
      <c r="P6386" s="380"/>
      <c r="Q6386" s="380"/>
    </row>
    <row r="6387" spans="1:17" x14ac:dyDescent="0.2">
      <c r="A6387" s="380"/>
      <c r="B6387" s="380"/>
      <c r="C6387" s="380"/>
      <c r="D6387" s="334">
        <f>SUM(D6369:D6385)</f>
        <v>1000</v>
      </c>
      <c r="E6387" s="380"/>
      <c r="F6387" s="378"/>
      <c r="G6387" s="380"/>
      <c r="H6387" s="380"/>
      <c r="I6387" s="399"/>
      <c r="J6387" s="334">
        <f>SUM(J6369:J6385)</f>
        <v>2000</v>
      </c>
      <c r="K6387" s="380"/>
      <c r="L6387" s="378"/>
      <c r="M6387" s="380"/>
      <c r="N6387" s="380"/>
      <c r="O6387" s="380"/>
      <c r="P6387" s="380"/>
      <c r="Q6387" s="380"/>
    </row>
    <row r="6388" spans="1:17" ht="15.75" thickTop="1" x14ac:dyDescent="0.2">
      <c r="A6388" s="380"/>
      <c r="B6388" s="380"/>
      <c r="C6388" s="380"/>
      <c r="D6388" s="395"/>
      <c r="E6388" s="380"/>
      <c r="F6388" s="378"/>
      <c r="G6388" s="380"/>
      <c r="H6388" s="380"/>
      <c r="I6388" s="382"/>
      <c r="J6388" s="395"/>
      <c r="K6388" s="380"/>
      <c r="L6388" s="378"/>
      <c r="M6388" s="380"/>
      <c r="N6388" s="380"/>
      <c r="O6388" s="380"/>
      <c r="P6388" s="380"/>
      <c r="Q6388" s="380"/>
    </row>
    <row r="6389" spans="1:17" x14ac:dyDescent="0.2">
      <c r="A6389" s="380"/>
      <c r="B6389" s="380"/>
      <c r="C6389" s="380"/>
      <c r="D6389" s="380"/>
      <c r="E6389" s="377"/>
      <c r="F6389" s="378"/>
      <c r="G6389" s="377"/>
      <c r="H6389" s="377"/>
      <c r="I6389" s="385"/>
      <c r="J6389" s="380"/>
      <c r="K6389" s="377"/>
      <c r="L6389" s="378"/>
      <c r="M6389" s="377"/>
      <c r="N6389" s="377"/>
      <c r="O6389" s="380"/>
      <c r="P6389" s="380"/>
      <c r="Q6389" s="380"/>
    </row>
    <row r="6390" spans="1:17" x14ac:dyDescent="0.2">
      <c r="A6390" s="334"/>
      <c r="B6390" s="380"/>
      <c r="C6390" s="334"/>
      <c r="D6390" s="385"/>
      <c r="E6390" s="377"/>
      <c r="F6390" s="378"/>
      <c r="G6390" s="377"/>
      <c r="H6390" s="377"/>
      <c r="I6390" s="385"/>
      <c r="J6390" s="385"/>
      <c r="K6390" s="377"/>
      <c r="L6390" s="378"/>
      <c r="M6390" s="377"/>
      <c r="N6390" s="377"/>
      <c r="O6390" s="380"/>
      <c r="P6390" s="380"/>
      <c r="Q6390" s="380"/>
    </row>
    <row r="6391" spans="1:17" x14ac:dyDescent="0.2">
      <c r="A6391" s="334" t="s">
        <v>551</v>
      </c>
      <c r="B6391" s="380"/>
      <c r="C6391" s="334"/>
      <c r="D6391" s="385"/>
      <c r="E6391" s="377"/>
      <c r="F6391" s="378"/>
      <c r="G6391" s="377"/>
      <c r="H6391" s="377"/>
      <c r="I6391" s="385"/>
      <c r="J6391" s="385"/>
      <c r="K6391" s="377"/>
      <c r="L6391" s="378"/>
      <c r="M6391" s="377"/>
      <c r="N6391" s="377"/>
      <c r="O6391" s="380"/>
      <c r="P6391" s="380"/>
      <c r="Q6391" s="380"/>
    </row>
    <row r="6392" spans="1:17" x14ac:dyDescent="0.2">
      <c r="A6392" s="334"/>
      <c r="B6392" s="380"/>
      <c r="C6392" s="334"/>
      <c r="D6392" s="385"/>
      <c r="E6392" s="377"/>
      <c r="F6392" s="378"/>
      <c r="G6392" s="377"/>
      <c r="H6392" s="377"/>
      <c r="I6392" s="482"/>
      <c r="J6392" s="385"/>
      <c r="K6392" s="377"/>
      <c r="L6392" s="378"/>
      <c r="M6392" s="377"/>
      <c r="N6392" s="377"/>
      <c r="O6392" s="380"/>
      <c r="P6392" s="380"/>
      <c r="Q6392" s="380"/>
    </row>
    <row r="6393" spans="1:17" x14ac:dyDescent="0.2">
      <c r="A6393" s="334"/>
      <c r="B6393" s="380"/>
      <c r="C6393" s="334"/>
      <c r="D6393" s="482" t="s">
        <v>301</v>
      </c>
      <c r="E6393" s="377"/>
      <c r="F6393" s="378"/>
      <c r="G6393" s="377"/>
      <c r="H6393" s="377"/>
      <c r="I6393" s="385"/>
      <c r="J6393" s="482" t="s">
        <v>301</v>
      </c>
      <c r="K6393" s="377"/>
      <c r="L6393" s="378"/>
      <c r="M6393" s="377"/>
      <c r="N6393" s="377"/>
      <c r="O6393" s="380"/>
      <c r="P6393" s="380"/>
      <c r="Q6393" s="380"/>
    </row>
    <row r="6394" spans="1:17" x14ac:dyDescent="0.2">
      <c r="A6394" s="334"/>
      <c r="B6394" s="380"/>
      <c r="C6394" s="334"/>
      <c r="D6394" s="385" t="s">
        <v>1224</v>
      </c>
      <c r="E6394" s="377"/>
      <c r="F6394" s="378"/>
      <c r="G6394" s="377"/>
      <c r="H6394" s="377"/>
      <c r="I6394" s="385"/>
      <c r="J6394" s="385" t="s">
        <v>1224</v>
      </c>
      <c r="K6394" s="377"/>
      <c r="L6394" s="378"/>
      <c r="M6394" s="377"/>
      <c r="N6394" s="377"/>
      <c r="O6394" s="380"/>
      <c r="P6394" s="380"/>
      <c r="Q6394" s="380"/>
    </row>
    <row r="6395" spans="1:17" x14ac:dyDescent="0.2">
      <c r="A6395" s="334" t="s">
        <v>1723</v>
      </c>
      <c r="B6395" s="380"/>
      <c r="C6395" s="334" t="s">
        <v>1880</v>
      </c>
      <c r="D6395" s="385" t="s">
        <v>181</v>
      </c>
      <c r="E6395" s="377"/>
      <c r="F6395" s="378"/>
      <c r="G6395" s="377"/>
      <c r="H6395" s="377"/>
      <c r="I6395" s="385"/>
      <c r="J6395" s="385" t="s">
        <v>181</v>
      </c>
      <c r="K6395" s="377"/>
      <c r="L6395" s="378"/>
      <c r="M6395" s="377"/>
      <c r="N6395" s="377"/>
      <c r="O6395" s="380"/>
      <c r="P6395" s="380"/>
      <c r="Q6395" s="380"/>
    </row>
    <row r="6396" spans="1:17" x14ac:dyDescent="0.2">
      <c r="A6396" s="334" t="s">
        <v>1729</v>
      </c>
      <c r="B6396" s="380"/>
      <c r="C6396" s="380" t="s">
        <v>1551</v>
      </c>
      <c r="D6396" s="483">
        <v>-80</v>
      </c>
      <c r="E6396" s="377"/>
      <c r="F6396" s="378"/>
      <c r="G6396" s="377"/>
      <c r="H6396" s="377"/>
      <c r="I6396" s="399"/>
      <c r="J6396" s="385"/>
      <c r="K6396" s="377"/>
      <c r="L6396" s="378"/>
      <c r="M6396" s="377"/>
      <c r="N6396" s="377"/>
      <c r="O6396" s="380"/>
      <c r="P6396" s="380"/>
      <c r="Q6396" s="380"/>
    </row>
    <row r="6397" spans="1:17" x14ac:dyDescent="0.2">
      <c r="A6397" s="384" t="s">
        <v>942</v>
      </c>
      <c r="B6397" s="380"/>
      <c r="C6397" s="392" t="s">
        <v>943</v>
      </c>
      <c r="D6397" s="440">
        <v>400</v>
      </c>
      <c r="E6397" s="377"/>
      <c r="F6397" s="378"/>
      <c r="G6397" s="377"/>
      <c r="H6397" s="377"/>
      <c r="I6397" s="385"/>
      <c r="J6397" s="377">
        <v>400</v>
      </c>
      <c r="K6397" s="377"/>
      <c r="L6397" s="378"/>
      <c r="M6397" s="377"/>
      <c r="N6397" s="377"/>
      <c r="O6397" s="380"/>
      <c r="P6397" s="380"/>
      <c r="Q6397" s="380"/>
    </row>
    <row r="6398" spans="1:17" x14ac:dyDescent="0.2">
      <c r="A6398" s="334"/>
      <c r="B6398" s="380"/>
      <c r="C6398" s="334"/>
      <c r="D6398" s="484"/>
      <c r="E6398" s="377"/>
      <c r="F6398" s="378"/>
      <c r="G6398" s="377"/>
      <c r="H6398" s="377"/>
      <c r="I6398" s="385"/>
      <c r="J6398" s="485"/>
      <c r="K6398" s="377"/>
      <c r="L6398" s="378"/>
      <c r="M6398" s="377"/>
      <c r="N6398" s="377"/>
      <c r="O6398" s="380"/>
      <c r="P6398" s="380"/>
      <c r="Q6398" s="380"/>
    </row>
    <row r="6399" spans="1:17" ht="15.75" thickBot="1" x14ac:dyDescent="0.25">
      <c r="A6399" s="334"/>
      <c r="B6399" s="380"/>
      <c r="C6399" s="334"/>
      <c r="D6399" s="411">
        <f>SUM(D6396:D6398)</f>
        <v>320</v>
      </c>
      <c r="E6399" s="377"/>
      <c r="F6399" s="378"/>
      <c r="G6399" s="377"/>
      <c r="H6399" s="377"/>
      <c r="I6399" s="385"/>
      <c r="J6399" s="411">
        <f>J6397</f>
        <v>400</v>
      </c>
      <c r="K6399" s="377"/>
      <c r="L6399" s="378"/>
      <c r="M6399" s="377"/>
      <c r="N6399" s="377"/>
      <c r="O6399" s="380"/>
      <c r="P6399" s="380"/>
      <c r="Q6399" s="380"/>
    </row>
    <row r="6400" spans="1:17" x14ac:dyDescent="0.2">
      <c r="A6400" s="334"/>
      <c r="B6400" s="380"/>
      <c r="C6400" s="334"/>
      <c r="D6400" s="385"/>
      <c r="E6400" s="377"/>
      <c r="F6400" s="378"/>
      <c r="G6400" s="377"/>
      <c r="H6400" s="377"/>
      <c r="I6400" s="385"/>
      <c r="J6400" s="385"/>
      <c r="K6400" s="377"/>
      <c r="L6400" s="378"/>
      <c r="M6400" s="377"/>
      <c r="N6400" s="377"/>
      <c r="O6400" s="380"/>
      <c r="P6400" s="380"/>
      <c r="Q6400" s="380"/>
    </row>
    <row r="6401" spans="1:17" x14ac:dyDescent="0.2">
      <c r="A6401" s="334"/>
      <c r="B6401" s="380"/>
      <c r="C6401" s="334"/>
      <c r="D6401" s="385"/>
      <c r="E6401" s="377"/>
      <c r="F6401" s="378"/>
      <c r="G6401" s="377"/>
      <c r="H6401" s="377"/>
      <c r="I6401" s="385"/>
      <c r="J6401" s="385"/>
      <c r="K6401" s="377"/>
      <c r="L6401" s="378"/>
      <c r="M6401" s="377"/>
      <c r="N6401" s="377"/>
      <c r="O6401" s="380"/>
      <c r="P6401" s="380"/>
      <c r="Q6401" s="380"/>
    </row>
    <row r="6402" spans="1:17" x14ac:dyDescent="0.2">
      <c r="A6402" s="334" t="s">
        <v>551</v>
      </c>
      <c r="B6402" s="380"/>
      <c r="C6402" s="334"/>
      <c r="D6402" s="385"/>
      <c r="E6402" s="377"/>
      <c r="F6402" s="378"/>
      <c r="G6402" s="377"/>
      <c r="H6402" s="377"/>
      <c r="I6402" s="385"/>
      <c r="J6402" s="385"/>
      <c r="K6402" s="377"/>
      <c r="L6402" s="378"/>
      <c r="M6402" s="377"/>
      <c r="N6402" s="377"/>
      <c r="O6402" s="380"/>
      <c r="P6402" s="380"/>
      <c r="Q6402" s="380"/>
    </row>
    <row r="6403" spans="1:17" x14ac:dyDescent="0.2">
      <c r="A6403" s="334"/>
      <c r="B6403" s="380"/>
      <c r="C6403" s="334"/>
      <c r="D6403" s="385"/>
      <c r="E6403" s="377"/>
      <c r="F6403" s="378"/>
      <c r="G6403" s="377"/>
      <c r="H6403" s="377"/>
      <c r="I6403" s="482"/>
      <c r="J6403" s="385"/>
      <c r="K6403" s="377"/>
      <c r="L6403" s="378"/>
      <c r="M6403" s="377"/>
      <c r="N6403" s="377"/>
      <c r="O6403" s="380"/>
      <c r="P6403" s="380"/>
      <c r="Q6403" s="380"/>
    </row>
    <row r="6404" spans="1:17" x14ac:dyDescent="0.2">
      <c r="A6404" s="334"/>
      <c r="B6404" s="380"/>
      <c r="C6404" s="334"/>
      <c r="D6404" s="482" t="s">
        <v>477</v>
      </c>
      <c r="E6404" s="377"/>
      <c r="F6404" s="378"/>
      <c r="G6404" s="377"/>
      <c r="H6404" s="377"/>
      <c r="I6404" s="385"/>
      <c r="J6404" s="482" t="s">
        <v>477</v>
      </c>
      <c r="K6404" s="377"/>
      <c r="L6404" s="378"/>
      <c r="M6404" s="377"/>
      <c r="N6404" s="377"/>
      <c r="O6404" s="380"/>
      <c r="P6404" s="380"/>
      <c r="Q6404" s="380"/>
    </row>
    <row r="6405" spans="1:17" x14ac:dyDescent="0.2">
      <c r="A6405" s="334"/>
      <c r="B6405" s="380"/>
      <c r="C6405" s="334"/>
      <c r="D6405" s="385" t="s">
        <v>1222</v>
      </c>
      <c r="E6405" s="377"/>
      <c r="F6405" s="378"/>
      <c r="G6405" s="377"/>
      <c r="H6405" s="377"/>
      <c r="I6405" s="385"/>
      <c r="J6405" s="385" t="s">
        <v>1222</v>
      </c>
      <c r="K6405" s="377"/>
      <c r="L6405" s="378"/>
      <c r="M6405" s="377"/>
      <c r="N6405" s="377"/>
      <c r="O6405" s="380"/>
      <c r="P6405" s="380"/>
      <c r="Q6405" s="380"/>
    </row>
    <row r="6406" spans="1:17" x14ac:dyDescent="0.2">
      <c r="A6406" s="334" t="s">
        <v>1723</v>
      </c>
      <c r="B6406" s="380"/>
      <c r="C6406" s="334" t="s">
        <v>1880</v>
      </c>
      <c r="D6406" s="385" t="s">
        <v>181</v>
      </c>
      <c r="E6406" s="377"/>
      <c r="F6406" s="378"/>
      <c r="G6406" s="377"/>
      <c r="H6406" s="377"/>
      <c r="I6406" s="385"/>
      <c r="J6406" s="385" t="s">
        <v>181</v>
      </c>
      <c r="K6406" s="377"/>
      <c r="L6406" s="378"/>
      <c r="M6406" s="377"/>
      <c r="N6406" s="377"/>
      <c r="O6406" s="380"/>
      <c r="P6406" s="380"/>
      <c r="Q6406" s="380"/>
    </row>
    <row r="6407" spans="1:17" x14ac:dyDescent="0.2">
      <c r="A6407" s="334" t="s">
        <v>1729</v>
      </c>
      <c r="B6407" s="380"/>
      <c r="C6407" s="380" t="s">
        <v>1551</v>
      </c>
      <c r="D6407" s="483">
        <v>-80</v>
      </c>
      <c r="E6407" s="377"/>
      <c r="F6407" s="378"/>
      <c r="G6407" s="377"/>
      <c r="H6407" s="377"/>
      <c r="I6407" s="399"/>
      <c r="J6407" s="385"/>
      <c r="K6407" s="377"/>
      <c r="L6407" s="378"/>
      <c r="M6407" s="377"/>
      <c r="N6407" s="377"/>
      <c r="O6407" s="380"/>
      <c r="P6407" s="380"/>
      <c r="Q6407" s="380"/>
    </row>
    <row r="6408" spans="1:17" x14ac:dyDescent="0.2">
      <c r="A6408" s="384" t="s">
        <v>942</v>
      </c>
      <c r="B6408" s="380"/>
      <c r="C6408" s="392" t="s">
        <v>943</v>
      </c>
      <c r="D6408" s="440">
        <v>400</v>
      </c>
      <c r="E6408" s="377"/>
      <c r="F6408" s="378"/>
      <c r="G6408" s="377"/>
      <c r="H6408" s="377"/>
      <c r="I6408" s="385"/>
      <c r="J6408" s="377">
        <v>400</v>
      </c>
      <c r="K6408" s="377"/>
      <c r="L6408" s="378"/>
      <c r="M6408" s="377"/>
      <c r="N6408" s="377"/>
      <c r="O6408" s="380"/>
      <c r="P6408" s="380"/>
      <c r="Q6408" s="380"/>
    </row>
    <row r="6409" spans="1:17" x14ac:dyDescent="0.2">
      <c r="A6409" s="334"/>
      <c r="B6409" s="380"/>
      <c r="C6409" s="334"/>
      <c r="D6409" s="485"/>
      <c r="E6409" s="377"/>
      <c r="F6409" s="378"/>
      <c r="G6409" s="377"/>
      <c r="H6409" s="377"/>
      <c r="I6409" s="385"/>
      <c r="J6409" s="485"/>
      <c r="K6409" s="377"/>
      <c r="L6409" s="378"/>
      <c r="M6409" s="377"/>
      <c r="N6409" s="377"/>
      <c r="O6409" s="380"/>
      <c r="P6409" s="380"/>
      <c r="Q6409" s="380"/>
    </row>
    <row r="6410" spans="1:17" ht="15.75" thickBot="1" x14ac:dyDescent="0.25">
      <c r="A6410" s="334"/>
      <c r="B6410" s="380"/>
      <c r="C6410" s="334"/>
      <c r="D6410" s="411">
        <f>SUM(D6407:D6409)</f>
        <v>320</v>
      </c>
      <c r="E6410" s="377"/>
      <c r="F6410" s="378"/>
      <c r="G6410" s="377"/>
      <c r="H6410" s="377"/>
      <c r="I6410" s="385"/>
      <c r="J6410" s="411">
        <f>J6408</f>
        <v>400</v>
      </c>
      <c r="K6410" s="377"/>
      <c r="L6410" s="378"/>
      <c r="M6410" s="377"/>
      <c r="N6410" s="377"/>
      <c r="O6410" s="380"/>
      <c r="P6410" s="380"/>
      <c r="Q6410" s="380"/>
    </row>
    <row r="6411" spans="1:17" x14ac:dyDescent="0.2">
      <c r="A6411" s="334"/>
      <c r="B6411" s="380"/>
      <c r="C6411" s="334"/>
      <c r="D6411" s="385"/>
      <c r="E6411" s="380"/>
      <c r="F6411" s="378"/>
      <c r="G6411" s="380"/>
      <c r="H6411" s="380"/>
      <c r="I6411" s="382"/>
      <c r="J6411" s="385"/>
      <c r="K6411" s="380"/>
      <c r="L6411" s="378"/>
      <c r="M6411" s="380"/>
      <c r="N6411" s="380"/>
      <c r="O6411" s="380"/>
      <c r="P6411" s="380"/>
      <c r="Q6411" s="380"/>
    </row>
    <row r="6412" spans="1:17" x14ac:dyDescent="0.2">
      <c r="A6412" s="380"/>
      <c r="B6412" s="380"/>
      <c r="C6412" s="380"/>
      <c r="D6412" s="380"/>
      <c r="E6412" s="334" t="s">
        <v>342</v>
      </c>
      <c r="F6412" s="378"/>
      <c r="G6412" s="377"/>
      <c r="H6412" s="334" t="s">
        <v>342</v>
      </c>
      <c r="I6412" s="399"/>
      <c r="J6412" s="380"/>
      <c r="K6412" s="334" t="s">
        <v>342</v>
      </c>
      <c r="L6412" s="378"/>
      <c r="M6412" s="377"/>
      <c r="N6412" s="334" t="s">
        <v>342</v>
      </c>
      <c r="O6412" s="380"/>
      <c r="P6412" s="380"/>
      <c r="Q6412" s="380"/>
    </row>
    <row r="6413" spans="1:17" x14ac:dyDescent="0.2">
      <c r="A6413" s="377"/>
      <c r="B6413" s="377"/>
      <c r="C6413" s="377"/>
      <c r="D6413" s="377"/>
      <c r="E6413" s="380"/>
      <c r="F6413" s="378"/>
      <c r="G6413" s="380"/>
      <c r="H6413" s="334" t="s">
        <v>342</v>
      </c>
      <c r="I6413" s="382"/>
      <c r="J6413" s="377"/>
      <c r="K6413" s="380"/>
      <c r="L6413" s="378"/>
      <c r="M6413" s="380"/>
      <c r="N6413" s="334" t="s">
        <v>342</v>
      </c>
      <c r="O6413" s="380"/>
      <c r="P6413" s="380"/>
      <c r="Q6413" s="380"/>
    </row>
    <row r="6414" spans="1:17" x14ac:dyDescent="0.2">
      <c r="A6414" s="380"/>
      <c r="B6414" s="380"/>
      <c r="C6414" s="380"/>
      <c r="D6414" s="380"/>
      <c r="E6414" s="334"/>
      <c r="F6414" s="412"/>
      <c r="G6414" s="334"/>
      <c r="H6414" s="334"/>
      <c r="I6414" s="382"/>
      <c r="J6414" s="380"/>
      <c r="K6414" s="334"/>
      <c r="L6414" s="412"/>
      <c r="M6414" s="334"/>
      <c r="N6414" s="334"/>
      <c r="O6414" s="380"/>
      <c r="P6414" s="380"/>
      <c r="Q6414" s="380"/>
    </row>
    <row r="6415" spans="1:17" x14ac:dyDescent="0.2">
      <c r="A6415" s="334" t="s">
        <v>504</v>
      </c>
      <c r="B6415" s="380"/>
      <c r="C6415" s="380"/>
      <c r="D6415" s="380"/>
      <c r="E6415" s="380"/>
      <c r="F6415" s="378"/>
      <c r="G6415" s="380"/>
      <c r="H6415" s="380"/>
      <c r="I6415" s="456"/>
      <c r="J6415" s="380"/>
      <c r="K6415" s="382"/>
      <c r="L6415" s="380"/>
      <c r="M6415" s="380"/>
      <c r="N6415" s="380"/>
      <c r="O6415" s="380"/>
      <c r="P6415" s="380"/>
      <c r="Q6415" s="380"/>
    </row>
    <row r="6416" spans="1:17" x14ac:dyDescent="0.2">
      <c r="A6416" s="334"/>
      <c r="B6416" s="380"/>
      <c r="C6416" s="334"/>
      <c r="D6416" s="403" t="s">
        <v>3704</v>
      </c>
      <c r="E6416" s="403" t="s">
        <v>2925</v>
      </c>
      <c r="F6416" s="421" t="s">
        <v>2933</v>
      </c>
      <c r="G6416" s="403"/>
      <c r="H6416" s="403" t="s">
        <v>2145</v>
      </c>
      <c r="I6416" s="385"/>
      <c r="J6416" s="403" t="s">
        <v>3704</v>
      </c>
      <c r="K6416" s="403" t="s">
        <v>2925</v>
      </c>
      <c r="L6416" s="421" t="s">
        <v>2933</v>
      </c>
      <c r="M6416" s="403"/>
      <c r="N6416" s="403" t="s">
        <v>2145</v>
      </c>
      <c r="O6416" s="380"/>
      <c r="P6416" s="380"/>
      <c r="Q6416" s="380"/>
    </row>
    <row r="6417" spans="1:17" x14ac:dyDescent="0.2">
      <c r="A6417" s="380"/>
      <c r="B6417" s="380"/>
      <c r="C6417" s="380"/>
      <c r="D6417" s="334" t="s">
        <v>1222</v>
      </c>
      <c r="E6417" s="334" t="s">
        <v>1221</v>
      </c>
      <c r="F6417" s="412" t="s">
        <v>1220</v>
      </c>
      <c r="G6417" s="334"/>
      <c r="H6417" s="334" t="s">
        <v>1062</v>
      </c>
      <c r="I6417" s="385"/>
      <c r="J6417" s="334" t="s">
        <v>1222</v>
      </c>
      <c r="K6417" s="334" t="s">
        <v>1221</v>
      </c>
      <c r="L6417" s="412" t="s">
        <v>1220</v>
      </c>
      <c r="M6417" s="334"/>
      <c r="N6417" s="334" t="s">
        <v>1062</v>
      </c>
      <c r="O6417" s="380"/>
      <c r="P6417" s="380"/>
      <c r="Q6417" s="380"/>
    </row>
    <row r="6418" spans="1:17" x14ac:dyDescent="0.2">
      <c r="A6418" s="334" t="s">
        <v>1574</v>
      </c>
      <c r="B6418" s="380"/>
      <c r="C6418" s="334" t="s">
        <v>1880</v>
      </c>
      <c r="D6418" s="334" t="s">
        <v>181</v>
      </c>
      <c r="E6418" s="334" t="s">
        <v>181</v>
      </c>
      <c r="F6418" s="412" t="s">
        <v>181</v>
      </c>
      <c r="G6418" s="334"/>
      <c r="H6418" s="334" t="s">
        <v>181</v>
      </c>
      <c r="I6418" s="385"/>
      <c r="J6418" s="334" t="s">
        <v>181</v>
      </c>
      <c r="K6418" s="334" t="s">
        <v>181</v>
      </c>
      <c r="L6418" s="412" t="s">
        <v>181</v>
      </c>
      <c r="M6418" s="334"/>
      <c r="N6418" s="334" t="s">
        <v>181</v>
      </c>
      <c r="O6418" s="380"/>
      <c r="P6418" s="380"/>
      <c r="Q6418" s="380"/>
    </row>
    <row r="6419" spans="1:17" x14ac:dyDescent="0.2">
      <c r="A6419" s="380"/>
      <c r="B6419" s="380"/>
      <c r="C6419" s="380"/>
      <c r="D6419" s="334"/>
      <c r="E6419" s="334"/>
      <c r="F6419" s="412"/>
      <c r="G6419" s="334"/>
      <c r="H6419" s="334"/>
      <c r="I6419" s="385"/>
      <c r="J6419" s="334" t="s">
        <v>342</v>
      </c>
      <c r="K6419" s="382"/>
      <c r="L6419" s="380"/>
      <c r="M6419" s="380"/>
      <c r="N6419" s="380"/>
      <c r="O6419" s="380"/>
      <c r="P6419" s="380"/>
      <c r="Q6419" s="380"/>
    </row>
    <row r="6420" spans="1:17" x14ac:dyDescent="0.2">
      <c r="A6420" s="334" t="s">
        <v>1724</v>
      </c>
      <c r="B6420" s="380"/>
      <c r="C6420" s="380" t="s">
        <v>1881</v>
      </c>
      <c r="D6420" s="487">
        <v>500</v>
      </c>
      <c r="E6420" s="487">
        <v>500</v>
      </c>
      <c r="F6420" s="488">
        <v>500</v>
      </c>
      <c r="G6420" s="487"/>
      <c r="H6420" s="487">
        <v>500</v>
      </c>
      <c r="I6420" s="385"/>
      <c r="J6420" s="334">
        <v>500</v>
      </c>
      <c r="K6420" s="334">
        <v>500</v>
      </c>
      <c r="L6420" s="412">
        <v>500</v>
      </c>
      <c r="M6420" s="334"/>
      <c r="N6420" s="334">
        <v>500</v>
      </c>
      <c r="O6420" s="380"/>
      <c r="P6420" s="380"/>
      <c r="Q6420" s="380"/>
    </row>
    <row r="6421" spans="1:17" x14ac:dyDescent="0.2">
      <c r="A6421" s="384" t="s">
        <v>1744</v>
      </c>
      <c r="B6421" s="380"/>
      <c r="C6421" s="334" t="s">
        <v>1254</v>
      </c>
      <c r="D6421" s="334"/>
      <c r="E6421" s="334"/>
      <c r="F6421" s="412"/>
      <c r="G6421" s="334"/>
      <c r="H6421" s="334"/>
      <c r="I6421" s="385"/>
      <c r="J6421" s="334"/>
      <c r="K6421" s="334"/>
      <c r="L6421" s="412"/>
      <c r="M6421" s="334"/>
      <c r="N6421" s="334"/>
      <c r="O6421" s="380"/>
      <c r="P6421" s="380"/>
      <c r="Q6421" s="380"/>
    </row>
    <row r="6422" spans="1:17" x14ac:dyDescent="0.2">
      <c r="A6422" s="384" t="s">
        <v>1582</v>
      </c>
      <c r="B6422" s="380"/>
      <c r="C6422" s="334" t="s">
        <v>3135</v>
      </c>
      <c r="D6422" s="334"/>
      <c r="E6422" s="334"/>
      <c r="F6422" s="412"/>
      <c r="G6422" s="334"/>
      <c r="H6422" s="334"/>
      <c r="I6422" s="385"/>
      <c r="J6422" s="334"/>
      <c r="K6422" s="334"/>
      <c r="L6422" s="412"/>
      <c r="M6422" s="334"/>
      <c r="N6422" s="334"/>
      <c r="O6422" s="380"/>
      <c r="P6422" s="380"/>
      <c r="Q6422" s="380"/>
    </row>
    <row r="6423" spans="1:17" x14ac:dyDescent="0.2">
      <c r="A6423" s="334" t="s">
        <v>1725</v>
      </c>
      <c r="B6423" s="380"/>
      <c r="C6423" s="334" t="s">
        <v>1890</v>
      </c>
      <c r="D6423" s="334"/>
      <c r="E6423" s="334"/>
      <c r="F6423" s="412"/>
      <c r="G6423" s="334"/>
      <c r="H6423" s="334"/>
      <c r="I6423" s="385"/>
      <c r="J6423" s="334"/>
      <c r="K6423" s="334"/>
      <c r="L6423" s="412"/>
      <c r="M6423" s="334"/>
      <c r="N6423" s="334"/>
      <c r="O6423" s="380"/>
      <c r="P6423" s="380"/>
      <c r="Q6423" s="380"/>
    </row>
    <row r="6424" spans="1:17" x14ac:dyDescent="0.2">
      <c r="A6424" s="384" t="s">
        <v>1734</v>
      </c>
      <c r="B6424" s="380"/>
      <c r="C6424" s="334" t="s">
        <v>1746</v>
      </c>
      <c r="D6424" s="334"/>
      <c r="E6424" s="334"/>
      <c r="F6424" s="412"/>
      <c r="G6424" s="334"/>
      <c r="H6424" s="334"/>
      <c r="I6424" s="385"/>
      <c r="J6424" s="334"/>
      <c r="K6424" s="334"/>
      <c r="L6424" s="412"/>
      <c r="M6424" s="334"/>
      <c r="N6424" s="334"/>
      <c r="O6424" s="380"/>
      <c r="P6424" s="380"/>
      <c r="Q6424" s="380"/>
    </row>
    <row r="6425" spans="1:17" x14ac:dyDescent="0.2">
      <c r="A6425" s="384" t="s">
        <v>1578</v>
      </c>
      <c r="B6425" s="380"/>
      <c r="C6425" s="334" t="s">
        <v>22</v>
      </c>
      <c r="D6425" s="334"/>
      <c r="E6425" s="334"/>
      <c r="F6425" s="412"/>
      <c r="G6425" s="334"/>
      <c r="H6425" s="334"/>
      <c r="I6425" s="385"/>
      <c r="J6425" s="334"/>
      <c r="K6425" s="334"/>
      <c r="L6425" s="412"/>
      <c r="M6425" s="334"/>
      <c r="N6425" s="334"/>
      <c r="O6425" s="380"/>
      <c r="P6425" s="380"/>
      <c r="Q6425" s="380"/>
    </row>
    <row r="6426" spans="1:17" x14ac:dyDescent="0.2">
      <c r="A6426" s="334" t="s">
        <v>1738</v>
      </c>
      <c r="B6426" s="380"/>
      <c r="C6426" s="334" t="s">
        <v>1591</v>
      </c>
      <c r="D6426" s="334"/>
      <c r="E6426" s="334"/>
      <c r="F6426" s="412"/>
      <c r="G6426" s="334"/>
      <c r="H6426" s="334"/>
      <c r="I6426" s="385"/>
      <c r="J6426" s="334"/>
      <c r="K6426" s="334"/>
      <c r="L6426" s="412"/>
      <c r="M6426" s="334"/>
      <c r="N6426" s="334"/>
      <c r="O6426" s="380"/>
      <c r="P6426" s="380"/>
      <c r="Q6426" s="380"/>
    </row>
    <row r="6427" spans="1:17" x14ac:dyDescent="0.2">
      <c r="A6427" s="334" t="s">
        <v>1727</v>
      </c>
      <c r="B6427" s="380"/>
      <c r="C6427" s="334" t="s">
        <v>307</v>
      </c>
      <c r="D6427" s="334"/>
      <c r="E6427" s="334"/>
      <c r="F6427" s="412"/>
      <c r="G6427" s="334"/>
      <c r="H6427" s="334"/>
      <c r="I6427" s="385"/>
      <c r="J6427" s="334"/>
      <c r="K6427" s="334"/>
      <c r="L6427" s="412"/>
      <c r="M6427" s="334"/>
      <c r="N6427" s="334"/>
      <c r="O6427" s="380"/>
      <c r="P6427" s="380"/>
      <c r="Q6427" s="380"/>
    </row>
    <row r="6428" spans="1:17" x14ac:dyDescent="0.2">
      <c r="A6428" s="334" t="s">
        <v>1728</v>
      </c>
      <c r="B6428" s="380"/>
      <c r="C6428" s="334" t="s">
        <v>310</v>
      </c>
      <c r="D6428" s="334"/>
      <c r="E6428" s="334"/>
      <c r="F6428" s="412"/>
      <c r="G6428" s="334"/>
      <c r="H6428" s="334"/>
      <c r="I6428" s="385"/>
      <c r="J6428" s="334"/>
      <c r="K6428" s="334"/>
      <c r="L6428" s="412"/>
      <c r="M6428" s="334"/>
      <c r="N6428" s="334"/>
      <c r="O6428" s="380"/>
      <c r="P6428" s="380"/>
      <c r="Q6428" s="380"/>
    </row>
    <row r="6429" spans="1:17" x14ac:dyDescent="0.2">
      <c r="A6429" s="384" t="s">
        <v>1729</v>
      </c>
      <c r="B6429" s="380"/>
      <c r="C6429" s="380" t="s">
        <v>1551</v>
      </c>
      <c r="D6429" s="334">
        <v>-100</v>
      </c>
      <c r="E6429" s="334">
        <v>-100</v>
      </c>
      <c r="F6429" s="412">
        <v>-100</v>
      </c>
      <c r="G6429" s="334"/>
      <c r="H6429" s="334"/>
      <c r="I6429" s="385"/>
      <c r="J6429" s="334"/>
      <c r="K6429" s="334"/>
      <c r="L6429" s="412"/>
      <c r="M6429" s="334"/>
      <c r="N6429" s="334"/>
      <c r="O6429" s="380"/>
      <c r="P6429" s="380"/>
      <c r="Q6429" s="380"/>
    </row>
    <row r="6430" spans="1:17" x14ac:dyDescent="0.2">
      <c r="A6430" s="384" t="s">
        <v>1735</v>
      </c>
      <c r="B6430" s="380"/>
      <c r="C6430" s="380" t="s">
        <v>194</v>
      </c>
      <c r="D6430" s="334"/>
      <c r="E6430" s="334"/>
      <c r="F6430" s="412"/>
      <c r="G6430" s="334"/>
      <c r="H6430" s="334"/>
      <c r="I6430" s="385"/>
      <c r="J6430" s="334"/>
      <c r="K6430" s="334"/>
      <c r="L6430" s="412"/>
      <c r="M6430" s="334"/>
      <c r="N6430" s="334"/>
      <c r="O6430" s="380"/>
      <c r="P6430" s="380"/>
      <c r="Q6430" s="380"/>
    </row>
    <row r="6431" spans="1:17" x14ac:dyDescent="0.2">
      <c r="A6431" s="384" t="s">
        <v>1741</v>
      </c>
      <c r="B6431" s="380"/>
      <c r="C6431" s="334" t="s">
        <v>1748</v>
      </c>
      <c r="D6431" s="334"/>
      <c r="E6431" s="334"/>
      <c r="F6431" s="412"/>
      <c r="G6431" s="334"/>
      <c r="H6431" s="334"/>
      <c r="I6431" s="385"/>
      <c r="J6431" s="334"/>
      <c r="K6431" s="334"/>
      <c r="L6431" s="412"/>
      <c r="M6431" s="334"/>
      <c r="N6431" s="334"/>
      <c r="O6431" s="380"/>
      <c r="P6431" s="380"/>
      <c r="Q6431" s="380"/>
    </row>
    <row r="6432" spans="1:17" x14ac:dyDescent="0.2">
      <c r="A6432" s="334" t="s">
        <v>1730</v>
      </c>
      <c r="B6432" s="380"/>
      <c r="C6432" s="334" t="s">
        <v>1985</v>
      </c>
      <c r="D6432" s="334"/>
      <c r="E6432" s="380"/>
      <c r="F6432" s="378"/>
      <c r="G6432" s="380"/>
      <c r="H6432" s="380"/>
      <c r="I6432" s="385"/>
      <c r="J6432" s="334"/>
      <c r="K6432" s="382"/>
      <c r="L6432" s="380"/>
      <c r="M6432" s="380"/>
      <c r="N6432" s="380"/>
      <c r="O6432" s="380"/>
      <c r="P6432" s="380"/>
      <c r="Q6432" s="380"/>
    </row>
    <row r="6433" spans="1:17" x14ac:dyDescent="0.2">
      <c r="A6433" s="384" t="s">
        <v>1566</v>
      </c>
      <c r="B6433" s="380"/>
      <c r="C6433" s="334" t="s">
        <v>366</v>
      </c>
      <c r="D6433" s="334"/>
      <c r="E6433" s="334"/>
      <c r="F6433" s="412"/>
      <c r="G6433" s="334"/>
      <c r="H6433" s="334"/>
      <c r="I6433" s="385"/>
      <c r="J6433" s="334"/>
      <c r="K6433" s="334"/>
      <c r="L6433" s="412"/>
      <c r="M6433" s="334"/>
      <c r="N6433" s="334"/>
      <c r="O6433" s="380"/>
      <c r="P6433" s="380"/>
      <c r="Q6433" s="380"/>
    </row>
    <row r="6434" spans="1:17" x14ac:dyDescent="0.2">
      <c r="A6434" s="380"/>
      <c r="B6434" s="380"/>
      <c r="C6434" s="380"/>
      <c r="D6434" s="410" t="s">
        <v>342</v>
      </c>
      <c r="E6434" s="410" t="s">
        <v>342</v>
      </c>
      <c r="F6434" s="445" t="s">
        <v>342</v>
      </c>
      <c r="G6434" s="410"/>
      <c r="H6434" s="410" t="s">
        <v>342</v>
      </c>
      <c r="I6434" s="385"/>
      <c r="J6434" s="410" t="s">
        <v>342</v>
      </c>
      <c r="K6434" s="410" t="s">
        <v>342</v>
      </c>
      <c r="L6434" s="445" t="s">
        <v>342</v>
      </c>
      <c r="M6434" s="410"/>
      <c r="N6434" s="410" t="s">
        <v>342</v>
      </c>
      <c r="O6434" s="380"/>
      <c r="P6434" s="380"/>
      <c r="Q6434" s="380"/>
    </row>
    <row r="6435" spans="1:17" x14ac:dyDescent="0.2">
      <c r="A6435" s="380"/>
      <c r="B6435" s="380"/>
      <c r="C6435" s="380"/>
      <c r="D6435" s="334">
        <f>SUM(D6420:D6433)</f>
        <v>400</v>
      </c>
      <c r="E6435" s="334">
        <f>SUM(E6419:E6433)</f>
        <v>400</v>
      </c>
      <c r="F6435" s="412">
        <f>SUM(F6419:F6433)</f>
        <v>400</v>
      </c>
      <c r="G6435" s="334"/>
      <c r="H6435" s="334">
        <f>SUM(H6419:H6433)</f>
        <v>500</v>
      </c>
      <c r="I6435" s="385"/>
      <c r="J6435" s="334">
        <f>SUM(J6420:J6433)</f>
        <v>500</v>
      </c>
      <c r="K6435" s="334">
        <f>SUM(K6420:K6433)</f>
        <v>500</v>
      </c>
      <c r="L6435" s="412">
        <f>SUM(L6420:L6433)</f>
        <v>500</v>
      </c>
      <c r="M6435" s="334"/>
      <c r="N6435" s="334">
        <f>SUM(N6420:N6433)</f>
        <v>500</v>
      </c>
      <c r="O6435" s="380"/>
      <c r="P6435" s="380"/>
      <c r="Q6435" s="380"/>
    </row>
    <row r="6436" spans="1:17" ht="15.75" thickTop="1" x14ac:dyDescent="0.2">
      <c r="A6436" s="334" t="s">
        <v>342</v>
      </c>
      <c r="B6436" s="380"/>
      <c r="C6436" s="334" t="s">
        <v>342</v>
      </c>
      <c r="D6436" s="400" t="s">
        <v>342</v>
      </c>
      <c r="E6436" s="395"/>
      <c r="F6436" s="401"/>
      <c r="G6436" s="395"/>
      <c r="H6436" s="395"/>
      <c r="I6436" s="385"/>
      <c r="J6436" s="400" t="s">
        <v>342</v>
      </c>
      <c r="K6436" s="395"/>
      <c r="L6436" s="401"/>
      <c r="M6436" s="395"/>
      <c r="N6436" s="395"/>
      <c r="O6436" s="380"/>
      <c r="P6436" s="380"/>
      <c r="Q6436" s="380"/>
    </row>
    <row r="6437" spans="1:17" x14ac:dyDescent="0.2">
      <c r="A6437" s="385"/>
      <c r="B6437" s="382"/>
      <c r="C6437" s="385"/>
      <c r="D6437" s="385"/>
      <c r="E6437" s="334" t="s">
        <v>342</v>
      </c>
      <c r="F6437" s="378"/>
      <c r="G6437" s="377"/>
      <c r="H6437" s="334" t="s">
        <v>342</v>
      </c>
      <c r="I6437" s="399"/>
      <c r="J6437" s="385"/>
      <c r="K6437" s="334" t="s">
        <v>342</v>
      </c>
      <c r="L6437" s="378"/>
      <c r="M6437" s="377"/>
      <c r="N6437" s="334" t="s">
        <v>342</v>
      </c>
      <c r="O6437" s="380"/>
      <c r="P6437" s="380"/>
      <c r="Q6437" s="380"/>
    </row>
    <row r="6438" spans="1:17" x14ac:dyDescent="0.2">
      <c r="A6438" s="377"/>
      <c r="B6438" s="377"/>
      <c r="C6438" s="377"/>
      <c r="D6438" s="377"/>
      <c r="E6438" s="380"/>
      <c r="F6438" s="378"/>
      <c r="G6438" s="380"/>
      <c r="H6438" s="334" t="s">
        <v>342</v>
      </c>
      <c r="I6438" s="382"/>
      <c r="J6438" s="377"/>
      <c r="K6438" s="380"/>
      <c r="L6438" s="378"/>
      <c r="M6438" s="380"/>
      <c r="N6438" s="334" t="s">
        <v>342</v>
      </c>
      <c r="O6438" s="380"/>
      <c r="P6438" s="380"/>
      <c r="Q6438" s="380"/>
    </row>
    <row r="6439" spans="1:17" x14ac:dyDescent="0.2">
      <c r="A6439" s="380"/>
      <c r="B6439" s="380"/>
      <c r="C6439" s="380"/>
      <c r="D6439" s="380"/>
      <c r="E6439" s="334"/>
      <c r="F6439" s="412"/>
      <c r="G6439" s="334"/>
      <c r="H6439" s="334"/>
      <c r="I6439" s="382"/>
      <c r="J6439" s="380"/>
      <c r="K6439" s="334"/>
      <c r="L6439" s="412"/>
      <c r="M6439" s="334"/>
      <c r="N6439" s="334"/>
      <c r="O6439" s="380"/>
      <c r="P6439" s="380"/>
      <c r="Q6439" s="380"/>
    </row>
    <row r="6440" spans="1:17" x14ac:dyDescent="0.2">
      <c r="A6440" s="334" t="s">
        <v>504</v>
      </c>
      <c r="B6440" s="380"/>
      <c r="C6440" s="380"/>
      <c r="D6440" s="380"/>
      <c r="E6440" s="403"/>
      <c r="F6440" s="421"/>
      <c r="G6440" s="403"/>
      <c r="H6440" s="403"/>
      <c r="I6440" s="456"/>
      <c r="J6440" s="380"/>
      <c r="K6440" s="403"/>
      <c r="L6440" s="421"/>
      <c r="M6440" s="403"/>
      <c r="N6440" s="403"/>
      <c r="O6440" s="380"/>
      <c r="P6440" s="380"/>
      <c r="Q6440" s="380"/>
    </row>
    <row r="6441" spans="1:17" x14ac:dyDescent="0.2">
      <c r="A6441" s="334"/>
      <c r="B6441" s="380"/>
      <c r="C6441" s="334"/>
      <c r="D6441" s="403" t="s">
        <v>3719</v>
      </c>
      <c r="E6441" s="334"/>
      <c r="F6441" s="412"/>
      <c r="G6441" s="334"/>
      <c r="H6441" s="334"/>
      <c r="I6441" s="385"/>
      <c r="J6441" s="403" t="s">
        <v>3719</v>
      </c>
      <c r="K6441" s="334"/>
      <c r="L6441" s="412"/>
      <c r="M6441" s="334"/>
      <c r="N6441" s="334"/>
      <c r="O6441" s="380"/>
      <c r="P6441" s="380"/>
      <c r="Q6441" s="380"/>
    </row>
    <row r="6442" spans="1:17" x14ac:dyDescent="0.2">
      <c r="A6442" s="380"/>
      <c r="B6442" s="380"/>
      <c r="C6442" s="380"/>
      <c r="D6442" s="334" t="s">
        <v>2733</v>
      </c>
      <c r="E6442" s="380"/>
      <c r="F6442" s="378"/>
      <c r="G6442" s="380"/>
      <c r="H6442" s="380"/>
      <c r="I6442" s="385"/>
      <c r="J6442" s="334" t="s">
        <v>2733</v>
      </c>
      <c r="K6442" s="382"/>
      <c r="L6442" s="380"/>
      <c r="M6442" s="380"/>
      <c r="N6442" s="380"/>
      <c r="O6442" s="380"/>
      <c r="P6442" s="380"/>
      <c r="Q6442" s="380"/>
    </row>
    <row r="6443" spans="1:17" x14ac:dyDescent="0.2">
      <c r="A6443" s="334" t="s">
        <v>1574</v>
      </c>
      <c r="B6443" s="380"/>
      <c r="C6443" s="334" t="s">
        <v>1880</v>
      </c>
      <c r="D6443" s="334" t="s">
        <v>181</v>
      </c>
      <c r="E6443" s="334" t="s">
        <v>181</v>
      </c>
      <c r="F6443" s="412" t="s">
        <v>181</v>
      </c>
      <c r="G6443" s="334"/>
      <c r="H6443" s="334" t="s">
        <v>181</v>
      </c>
      <c r="I6443" s="385"/>
      <c r="J6443" s="334" t="s">
        <v>181</v>
      </c>
      <c r="K6443" s="334" t="s">
        <v>181</v>
      </c>
      <c r="L6443" s="412" t="s">
        <v>181</v>
      </c>
      <c r="M6443" s="334"/>
      <c r="N6443" s="334" t="s">
        <v>181</v>
      </c>
      <c r="O6443" s="380"/>
      <c r="P6443" s="380"/>
      <c r="Q6443" s="380"/>
    </row>
    <row r="6444" spans="1:17" x14ac:dyDescent="0.2">
      <c r="A6444" s="380"/>
      <c r="B6444" s="380"/>
      <c r="C6444" s="380"/>
      <c r="D6444" s="334" t="s">
        <v>342</v>
      </c>
      <c r="E6444" s="334"/>
      <c r="F6444" s="412"/>
      <c r="G6444" s="334"/>
      <c r="H6444" s="334"/>
      <c r="I6444" s="385"/>
      <c r="J6444" s="334" t="s">
        <v>342</v>
      </c>
      <c r="K6444" s="334"/>
      <c r="L6444" s="412"/>
      <c r="M6444" s="334"/>
      <c r="N6444" s="334"/>
      <c r="O6444" s="380"/>
      <c r="P6444" s="380"/>
      <c r="Q6444" s="380"/>
    </row>
    <row r="6445" spans="1:17" x14ac:dyDescent="0.2">
      <c r="A6445" s="334" t="s">
        <v>1724</v>
      </c>
      <c r="B6445" s="380"/>
      <c r="C6445" s="380" t="s">
        <v>1881</v>
      </c>
      <c r="D6445" s="487">
        <v>500</v>
      </c>
      <c r="E6445" s="334"/>
      <c r="F6445" s="412"/>
      <c r="G6445" s="334"/>
      <c r="H6445" s="334"/>
      <c r="I6445" s="385"/>
      <c r="J6445" s="334">
        <v>500</v>
      </c>
      <c r="K6445" s="334"/>
      <c r="L6445" s="412"/>
      <c r="M6445" s="334"/>
      <c r="N6445" s="334"/>
      <c r="O6445" s="380"/>
      <c r="P6445" s="380"/>
      <c r="Q6445" s="380"/>
    </row>
    <row r="6446" spans="1:17" x14ac:dyDescent="0.2">
      <c r="A6446" s="384" t="s">
        <v>1744</v>
      </c>
      <c r="B6446" s="380"/>
      <c r="C6446" s="334" t="s">
        <v>1254</v>
      </c>
      <c r="D6446" s="334"/>
      <c r="E6446" s="334"/>
      <c r="F6446" s="412"/>
      <c r="G6446" s="334"/>
      <c r="H6446" s="334"/>
      <c r="I6446" s="385"/>
      <c r="J6446" s="334"/>
      <c r="K6446" s="334"/>
      <c r="L6446" s="412"/>
      <c r="M6446" s="334"/>
      <c r="N6446" s="334"/>
      <c r="O6446" s="380"/>
      <c r="P6446" s="380"/>
      <c r="Q6446" s="380"/>
    </row>
    <row r="6447" spans="1:17" x14ac:dyDescent="0.2">
      <c r="A6447" s="384" t="s">
        <v>1582</v>
      </c>
      <c r="B6447" s="380"/>
      <c r="C6447" s="334" t="s">
        <v>3135</v>
      </c>
      <c r="D6447" s="334"/>
      <c r="E6447" s="334"/>
      <c r="F6447" s="412"/>
      <c r="G6447" s="334"/>
      <c r="H6447" s="334"/>
      <c r="I6447" s="385"/>
      <c r="J6447" s="334"/>
      <c r="K6447" s="334"/>
      <c r="L6447" s="412"/>
      <c r="M6447" s="334"/>
      <c r="N6447" s="334"/>
      <c r="O6447" s="380"/>
      <c r="P6447" s="380"/>
      <c r="Q6447" s="380"/>
    </row>
    <row r="6448" spans="1:17" x14ac:dyDescent="0.2">
      <c r="A6448" s="334" t="s">
        <v>1725</v>
      </c>
      <c r="B6448" s="380"/>
      <c r="C6448" s="334" t="s">
        <v>1890</v>
      </c>
      <c r="D6448" s="334"/>
      <c r="E6448" s="334"/>
      <c r="F6448" s="412"/>
      <c r="G6448" s="334"/>
      <c r="H6448" s="334"/>
      <c r="I6448" s="385"/>
      <c r="J6448" s="334"/>
      <c r="K6448" s="334"/>
      <c r="L6448" s="412"/>
      <c r="M6448" s="334"/>
      <c r="N6448" s="334"/>
      <c r="O6448" s="380"/>
      <c r="P6448" s="380"/>
      <c r="Q6448" s="380"/>
    </row>
    <row r="6449" spans="1:17" x14ac:dyDescent="0.2">
      <c r="A6449" s="384" t="s">
        <v>1734</v>
      </c>
      <c r="B6449" s="380"/>
      <c r="C6449" s="334" t="s">
        <v>1746</v>
      </c>
      <c r="D6449" s="334"/>
      <c r="E6449" s="334"/>
      <c r="F6449" s="412"/>
      <c r="G6449" s="334"/>
      <c r="H6449" s="334"/>
      <c r="I6449" s="385"/>
      <c r="J6449" s="334"/>
      <c r="K6449" s="334"/>
      <c r="L6449" s="412"/>
      <c r="M6449" s="334"/>
      <c r="N6449" s="334"/>
      <c r="O6449" s="380"/>
      <c r="P6449" s="380"/>
      <c r="Q6449" s="380"/>
    </row>
    <row r="6450" spans="1:17" x14ac:dyDescent="0.2">
      <c r="A6450" s="384" t="s">
        <v>1578</v>
      </c>
      <c r="B6450" s="380"/>
      <c r="C6450" s="334" t="s">
        <v>22</v>
      </c>
      <c r="D6450" s="334"/>
      <c r="E6450" s="334"/>
      <c r="F6450" s="412"/>
      <c r="G6450" s="334"/>
      <c r="H6450" s="334"/>
      <c r="I6450" s="385"/>
      <c r="J6450" s="334"/>
      <c r="K6450" s="334"/>
      <c r="L6450" s="412"/>
      <c r="M6450" s="334"/>
      <c r="N6450" s="334"/>
      <c r="O6450" s="380"/>
      <c r="P6450" s="380"/>
      <c r="Q6450" s="380"/>
    </row>
    <row r="6451" spans="1:17" x14ac:dyDescent="0.2">
      <c r="A6451" s="334" t="s">
        <v>1738</v>
      </c>
      <c r="B6451" s="380"/>
      <c r="C6451" s="334" t="s">
        <v>1591</v>
      </c>
      <c r="D6451" s="334"/>
      <c r="E6451" s="334"/>
      <c r="F6451" s="412"/>
      <c r="G6451" s="334"/>
      <c r="H6451" s="334"/>
      <c r="I6451" s="385"/>
      <c r="J6451" s="334"/>
      <c r="K6451" s="334"/>
      <c r="L6451" s="412"/>
      <c r="M6451" s="334"/>
      <c r="N6451" s="334"/>
      <c r="O6451" s="380"/>
      <c r="P6451" s="380"/>
      <c r="Q6451" s="380"/>
    </row>
    <row r="6452" spans="1:17" x14ac:dyDescent="0.2">
      <c r="A6452" s="334" t="s">
        <v>1727</v>
      </c>
      <c r="B6452" s="380"/>
      <c r="C6452" s="334" t="s">
        <v>307</v>
      </c>
      <c r="D6452" s="334"/>
      <c r="E6452" s="334"/>
      <c r="F6452" s="412"/>
      <c r="G6452" s="334"/>
      <c r="H6452" s="334"/>
      <c r="I6452" s="385"/>
      <c r="J6452" s="334"/>
      <c r="K6452" s="334"/>
      <c r="L6452" s="412"/>
      <c r="M6452" s="334"/>
      <c r="N6452" s="334"/>
      <c r="O6452" s="380"/>
      <c r="P6452" s="380"/>
      <c r="Q6452" s="380"/>
    </row>
    <row r="6453" spans="1:17" x14ac:dyDescent="0.2">
      <c r="A6453" s="334" t="s">
        <v>1728</v>
      </c>
      <c r="B6453" s="380"/>
      <c r="C6453" s="334" t="s">
        <v>310</v>
      </c>
      <c r="D6453" s="334"/>
      <c r="E6453" s="334"/>
      <c r="F6453" s="412"/>
      <c r="G6453" s="334"/>
      <c r="H6453" s="334"/>
      <c r="I6453" s="385"/>
      <c r="J6453" s="334"/>
      <c r="K6453" s="334"/>
      <c r="L6453" s="412"/>
      <c r="M6453" s="334"/>
      <c r="N6453" s="334"/>
      <c r="O6453" s="380"/>
      <c r="P6453" s="380"/>
      <c r="Q6453" s="380"/>
    </row>
    <row r="6454" spans="1:17" x14ac:dyDescent="0.2">
      <c r="A6454" s="384" t="s">
        <v>1729</v>
      </c>
      <c r="B6454" s="380"/>
      <c r="C6454" s="380" t="s">
        <v>1551</v>
      </c>
      <c r="D6454" s="334">
        <v>-33.1</v>
      </c>
      <c r="E6454" s="334"/>
      <c r="F6454" s="412"/>
      <c r="G6454" s="334"/>
      <c r="H6454" s="334"/>
      <c r="I6454" s="385"/>
      <c r="J6454" s="334"/>
      <c r="K6454" s="334"/>
      <c r="L6454" s="412"/>
      <c r="M6454" s="334"/>
      <c r="N6454" s="334"/>
      <c r="O6454" s="380"/>
      <c r="P6454" s="380"/>
      <c r="Q6454" s="380"/>
    </row>
    <row r="6455" spans="1:17" x14ac:dyDescent="0.2">
      <c r="A6455" s="384" t="s">
        <v>1735</v>
      </c>
      <c r="B6455" s="380"/>
      <c r="C6455" s="380" t="s">
        <v>194</v>
      </c>
      <c r="D6455" s="334"/>
      <c r="E6455" s="334"/>
      <c r="F6455" s="412"/>
      <c r="G6455" s="334"/>
      <c r="H6455" s="334"/>
      <c r="I6455" s="385"/>
      <c r="J6455" s="334"/>
      <c r="K6455" s="334"/>
      <c r="L6455" s="412"/>
      <c r="M6455" s="334"/>
      <c r="N6455" s="334"/>
      <c r="O6455" s="380"/>
      <c r="P6455" s="380"/>
      <c r="Q6455" s="380"/>
    </row>
    <row r="6456" spans="1:17" x14ac:dyDescent="0.2">
      <c r="A6456" s="384" t="s">
        <v>1741</v>
      </c>
      <c r="B6456" s="380"/>
      <c r="C6456" s="334" t="s">
        <v>1748</v>
      </c>
      <c r="D6456" s="334"/>
      <c r="E6456" s="334"/>
      <c r="F6456" s="412"/>
      <c r="G6456" s="334"/>
      <c r="H6456" s="334"/>
      <c r="I6456" s="385"/>
      <c r="J6456" s="334"/>
      <c r="K6456" s="334"/>
      <c r="L6456" s="412"/>
      <c r="M6456" s="334"/>
      <c r="N6456" s="334"/>
      <c r="O6456" s="380"/>
      <c r="P6456" s="380"/>
      <c r="Q6456" s="380"/>
    </row>
    <row r="6457" spans="1:17" x14ac:dyDescent="0.2">
      <c r="A6457" s="334" t="s">
        <v>1730</v>
      </c>
      <c r="B6457" s="380"/>
      <c r="C6457" s="334" t="s">
        <v>1985</v>
      </c>
      <c r="D6457" s="334"/>
      <c r="E6457" s="380"/>
      <c r="F6457" s="378"/>
      <c r="G6457" s="380"/>
      <c r="H6457" s="380"/>
      <c r="I6457" s="385"/>
      <c r="J6457" s="334"/>
      <c r="K6457" s="382"/>
      <c r="L6457" s="380"/>
      <c r="M6457" s="380"/>
      <c r="N6457" s="380"/>
      <c r="O6457" s="380"/>
      <c r="P6457" s="380"/>
      <c r="Q6457" s="380"/>
    </row>
    <row r="6458" spans="1:17" x14ac:dyDescent="0.2">
      <c r="A6458" s="384" t="s">
        <v>1566</v>
      </c>
      <c r="B6458" s="380"/>
      <c r="C6458" s="334" t="s">
        <v>366</v>
      </c>
      <c r="D6458" s="334"/>
      <c r="E6458" s="334"/>
      <c r="F6458" s="412"/>
      <c r="G6458" s="334"/>
      <c r="H6458" s="334"/>
      <c r="I6458" s="385"/>
      <c r="J6458" s="334"/>
      <c r="K6458" s="334"/>
      <c r="L6458" s="412"/>
      <c r="M6458" s="334"/>
      <c r="N6458" s="334"/>
      <c r="O6458" s="380"/>
      <c r="P6458" s="380"/>
      <c r="Q6458" s="380"/>
    </row>
    <row r="6459" spans="1:17" x14ac:dyDescent="0.2">
      <c r="A6459" s="380"/>
      <c r="B6459" s="380"/>
      <c r="C6459" s="380"/>
      <c r="D6459" s="410" t="s">
        <v>342</v>
      </c>
      <c r="E6459" s="410" t="s">
        <v>342</v>
      </c>
      <c r="F6459" s="445" t="s">
        <v>342</v>
      </c>
      <c r="G6459" s="410"/>
      <c r="H6459" s="410" t="s">
        <v>342</v>
      </c>
      <c r="I6459" s="385"/>
      <c r="J6459" s="410" t="s">
        <v>342</v>
      </c>
      <c r="K6459" s="410" t="s">
        <v>342</v>
      </c>
      <c r="L6459" s="445" t="s">
        <v>342</v>
      </c>
      <c r="M6459" s="410"/>
      <c r="N6459" s="410" t="s">
        <v>342</v>
      </c>
      <c r="O6459" s="380"/>
      <c r="P6459" s="380"/>
      <c r="Q6459" s="380"/>
    </row>
    <row r="6460" spans="1:17" x14ac:dyDescent="0.2">
      <c r="A6460" s="380"/>
      <c r="B6460" s="380"/>
      <c r="C6460" s="380"/>
      <c r="D6460" s="334">
        <f>SUM(D6445:D6458)</f>
        <v>466.9</v>
      </c>
      <c r="E6460" s="334">
        <f>SUM(E6444:E6458)</f>
        <v>0</v>
      </c>
      <c r="F6460" s="412">
        <f>SUM(F6444:F6458)</f>
        <v>0</v>
      </c>
      <c r="G6460" s="334"/>
      <c r="H6460" s="334">
        <f>SUM(H6444:H6458)</f>
        <v>0</v>
      </c>
      <c r="I6460" s="385"/>
      <c r="J6460" s="334">
        <f>SUM(J6445:J6458)</f>
        <v>500</v>
      </c>
      <c r="K6460" s="334">
        <f>SUM(K6444:K6458)</f>
        <v>0</v>
      </c>
      <c r="L6460" s="412">
        <f>SUM(L6444:L6458)</f>
        <v>0</v>
      </c>
      <c r="M6460" s="334"/>
      <c r="N6460" s="334">
        <f>SUM(N6444:N6458)</f>
        <v>0</v>
      </c>
      <c r="O6460" s="380"/>
      <c r="P6460" s="380"/>
      <c r="Q6460" s="380"/>
    </row>
    <row r="6461" spans="1:17" ht="15.75" thickTop="1" x14ac:dyDescent="0.2">
      <c r="A6461" s="334" t="s">
        <v>342</v>
      </c>
      <c r="B6461" s="380"/>
      <c r="C6461" s="334" t="s">
        <v>342</v>
      </c>
      <c r="D6461" s="400" t="s">
        <v>342</v>
      </c>
      <c r="E6461" s="395"/>
      <c r="F6461" s="401"/>
      <c r="G6461" s="395"/>
      <c r="H6461" s="395"/>
      <c r="I6461" s="385"/>
      <c r="J6461" s="400" t="s">
        <v>342</v>
      </c>
      <c r="K6461" s="395"/>
      <c r="L6461" s="401"/>
      <c r="M6461" s="395"/>
      <c r="N6461" s="395"/>
      <c r="O6461" s="380"/>
      <c r="P6461" s="380"/>
      <c r="Q6461" s="380"/>
    </row>
    <row r="6462" spans="1:17" x14ac:dyDescent="0.2">
      <c r="A6462" s="385"/>
      <c r="B6462" s="382"/>
      <c r="C6462" s="385"/>
      <c r="D6462" s="385"/>
      <c r="E6462" s="380"/>
      <c r="F6462" s="378"/>
      <c r="G6462" s="380"/>
      <c r="H6462" s="380"/>
      <c r="I6462" s="382"/>
      <c r="J6462" s="385"/>
      <c r="K6462" s="399"/>
      <c r="L6462" s="416"/>
      <c r="M6462" s="399"/>
      <c r="N6462" s="399"/>
      <c r="O6462" s="380"/>
      <c r="P6462" s="380"/>
      <c r="Q6462" s="380"/>
    </row>
    <row r="6463" spans="1:17" x14ac:dyDescent="0.2">
      <c r="A6463" s="380"/>
      <c r="B6463" s="380"/>
      <c r="C6463" s="380"/>
      <c r="D6463" s="380"/>
      <c r="E6463" s="380"/>
      <c r="F6463" s="378"/>
      <c r="G6463" s="334"/>
      <c r="H6463" s="380"/>
      <c r="I6463" s="385"/>
      <c r="J6463" s="380"/>
      <c r="K6463" s="382"/>
      <c r="L6463" s="380"/>
      <c r="M6463" s="334"/>
      <c r="N6463" s="380"/>
      <c r="O6463" s="380"/>
      <c r="P6463" s="380"/>
      <c r="Q6463" s="380"/>
    </row>
    <row r="6464" spans="1:17" x14ac:dyDescent="0.2">
      <c r="A6464" s="334" t="s">
        <v>377</v>
      </c>
      <c r="B6464" s="380"/>
      <c r="C6464" s="380"/>
      <c r="D6464" s="334" t="s">
        <v>1224</v>
      </c>
      <c r="E6464" s="334" t="s">
        <v>1221</v>
      </c>
      <c r="F6464" s="412" t="s">
        <v>1220</v>
      </c>
      <c r="G6464" s="403"/>
      <c r="H6464" s="443"/>
      <c r="I6464" s="456"/>
      <c r="J6464" s="334" t="s">
        <v>1224</v>
      </c>
      <c r="K6464" s="334" t="s">
        <v>1221</v>
      </c>
      <c r="L6464" s="412" t="s">
        <v>1220</v>
      </c>
      <c r="M6464" s="403"/>
      <c r="N6464" s="443"/>
      <c r="O6464" s="380"/>
      <c r="P6464" s="380"/>
      <c r="Q6464" s="380"/>
    </row>
    <row r="6465" spans="1:17" x14ac:dyDescent="0.2">
      <c r="A6465" s="334" t="s">
        <v>342</v>
      </c>
      <c r="B6465" s="380"/>
      <c r="C6465" s="334"/>
      <c r="D6465" s="403" t="s">
        <v>3706</v>
      </c>
      <c r="E6465" s="403" t="s">
        <v>2925</v>
      </c>
      <c r="F6465" s="421" t="s">
        <v>2933</v>
      </c>
      <c r="G6465" s="334"/>
      <c r="H6465" s="382"/>
      <c r="I6465" s="385"/>
      <c r="J6465" s="403" t="s">
        <v>3706</v>
      </c>
      <c r="K6465" s="403" t="s">
        <v>2925</v>
      </c>
      <c r="L6465" s="421" t="s">
        <v>2933</v>
      </c>
      <c r="M6465" s="334"/>
      <c r="N6465" s="382"/>
      <c r="O6465" s="380"/>
      <c r="P6465" s="380"/>
      <c r="Q6465" s="380"/>
    </row>
    <row r="6466" spans="1:17" x14ac:dyDescent="0.2">
      <c r="A6466" s="334" t="s">
        <v>342</v>
      </c>
      <c r="B6466" s="380"/>
      <c r="C6466" s="334" t="s">
        <v>342</v>
      </c>
      <c r="D6466" s="334"/>
      <c r="E6466" s="334"/>
      <c r="F6466" s="412"/>
      <c r="G6466" s="334"/>
      <c r="H6466" s="385"/>
      <c r="I6466" s="385"/>
      <c r="J6466" s="334"/>
      <c r="K6466" s="334"/>
      <c r="L6466" s="412"/>
      <c r="M6466" s="334"/>
      <c r="N6466" s="385"/>
      <c r="O6466" s="380"/>
      <c r="P6466" s="380"/>
      <c r="Q6466" s="380"/>
    </row>
    <row r="6467" spans="1:17" x14ac:dyDescent="0.2">
      <c r="A6467" s="334" t="s">
        <v>1723</v>
      </c>
      <c r="B6467" s="380"/>
      <c r="C6467" s="334" t="s">
        <v>1880</v>
      </c>
      <c r="D6467" s="334" t="s">
        <v>181</v>
      </c>
      <c r="E6467" s="334" t="s">
        <v>181</v>
      </c>
      <c r="F6467" s="412" t="s">
        <v>181</v>
      </c>
      <c r="G6467" s="380"/>
      <c r="H6467" s="382"/>
      <c r="I6467" s="382"/>
      <c r="J6467" s="334" t="s">
        <v>181</v>
      </c>
      <c r="K6467" s="334" t="s">
        <v>181</v>
      </c>
      <c r="L6467" s="412" t="s">
        <v>181</v>
      </c>
      <c r="M6467" s="380"/>
      <c r="N6467" s="382"/>
      <c r="O6467" s="380"/>
      <c r="P6467" s="380"/>
      <c r="Q6467" s="380"/>
    </row>
    <row r="6468" spans="1:17" x14ac:dyDescent="0.2">
      <c r="A6468" s="380"/>
      <c r="B6468" s="380"/>
      <c r="C6468" s="380"/>
      <c r="D6468" s="380"/>
      <c r="E6468" s="377"/>
      <c r="F6468" s="378"/>
      <c r="G6468" s="377"/>
      <c r="H6468" s="399"/>
      <c r="I6468" s="399"/>
      <c r="J6468" s="380"/>
      <c r="K6468" s="380"/>
      <c r="L6468" s="378"/>
      <c r="M6468" s="377"/>
      <c r="N6468" s="399"/>
      <c r="O6468" s="380"/>
      <c r="P6468" s="380"/>
      <c r="Q6468" s="380"/>
    </row>
    <row r="6469" spans="1:17" x14ac:dyDescent="0.2">
      <c r="A6469" s="334" t="s">
        <v>1568</v>
      </c>
      <c r="B6469" s="380"/>
      <c r="C6469" s="380" t="s">
        <v>1817</v>
      </c>
      <c r="D6469" s="377"/>
      <c r="E6469" s="377"/>
      <c r="F6469" s="378"/>
      <c r="G6469" s="377"/>
      <c r="H6469" s="399"/>
      <c r="I6469" s="399"/>
      <c r="J6469" s="377"/>
      <c r="K6469" s="377"/>
      <c r="L6469" s="378"/>
      <c r="M6469" s="377"/>
      <c r="N6469" s="399"/>
      <c r="O6469" s="380"/>
      <c r="P6469" s="380"/>
      <c r="Q6469" s="380"/>
    </row>
    <row r="6470" spans="1:17" x14ac:dyDescent="0.2">
      <c r="A6470" s="334" t="s">
        <v>1724</v>
      </c>
      <c r="B6470" s="380"/>
      <c r="C6470" s="334" t="s">
        <v>1881</v>
      </c>
      <c r="D6470" s="440">
        <v>400</v>
      </c>
      <c r="E6470" s="440">
        <v>400</v>
      </c>
      <c r="F6470" s="474">
        <v>400</v>
      </c>
      <c r="G6470" s="377"/>
      <c r="H6470" s="399"/>
      <c r="I6470" s="399"/>
      <c r="J6470" s="377">
        <v>400</v>
      </c>
      <c r="K6470" s="377">
        <v>400</v>
      </c>
      <c r="L6470" s="378">
        <v>400</v>
      </c>
      <c r="M6470" s="377"/>
      <c r="N6470" s="399"/>
      <c r="O6470" s="380"/>
      <c r="P6470" s="380"/>
      <c r="Q6470" s="380"/>
    </row>
    <row r="6471" spans="1:17" x14ac:dyDescent="0.2">
      <c r="A6471" s="334" t="s">
        <v>1961</v>
      </c>
      <c r="B6471" s="380"/>
      <c r="C6471" s="334" t="s">
        <v>9</v>
      </c>
      <c r="D6471" s="377"/>
      <c r="E6471" s="377"/>
      <c r="F6471" s="378"/>
      <c r="G6471" s="377"/>
      <c r="H6471" s="399"/>
      <c r="I6471" s="399"/>
      <c r="J6471" s="377"/>
      <c r="K6471" s="377"/>
      <c r="L6471" s="378"/>
      <c r="M6471" s="377"/>
      <c r="N6471" s="399"/>
      <c r="O6471" s="380"/>
      <c r="P6471" s="380"/>
      <c r="Q6471" s="380"/>
    </row>
    <row r="6472" spans="1:17" x14ac:dyDescent="0.2">
      <c r="A6472" s="334" t="s">
        <v>1736</v>
      </c>
      <c r="B6472" s="380"/>
      <c r="C6472" s="334" t="s">
        <v>1747</v>
      </c>
      <c r="D6472" s="377"/>
      <c r="E6472" s="377"/>
      <c r="F6472" s="378"/>
      <c r="G6472" s="377"/>
      <c r="H6472" s="399"/>
      <c r="I6472" s="399"/>
      <c r="J6472" s="377"/>
      <c r="K6472" s="377"/>
      <c r="L6472" s="378"/>
      <c r="M6472" s="377"/>
      <c r="N6472" s="399"/>
      <c r="O6472" s="380"/>
      <c r="P6472" s="380"/>
      <c r="Q6472" s="380"/>
    </row>
    <row r="6473" spans="1:17" x14ac:dyDescent="0.2">
      <c r="A6473" s="334" t="s">
        <v>1744</v>
      </c>
      <c r="B6473" s="380"/>
      <c r="C6473" s="334" t="s">
        <v>1254</v>
      </c>
      <c r="D6473" s="377"/>
      <c r="E6473" s="377"/>
      <c r="F6473" s="378"/>
      <c r="G6473" s="377"/>
      <c r="H6473" s="399"/>
      <c r="I6473" s="399"/>
      <c r="J6473" s="377"/>
      <c r="K6473" s="377"/>
      <c r="L6473" s="378"/>
      <c r="M6473" s="377"/>
      <c r="N6473" s="399"/>
      <c r="O6473" s="380"/>
      <c r="P6473" s="380"/>
      <c r="Q6473" s="380"/>
    </row>
    <row r="6474" spans="1:17" x14ac:dyDescent="0.2">
      <c r="A6474" s="334" t="s">
        <v>1582</v>
      </c>
      <c r="B6474" s="380"/>
      <c r="C6474" s="334" t="s">
        <v>3135</v>
      </c>
      <c r="D6474" s="377"/>
      <c r="E6474" s="377"/>
      <c r="F6474" s="378"/>
      <c r="G6474" s="377"/>
      <c r="H6474" s="399"/>
      <c r="I6474" s="399"/>
      <c r="J6474" s="377"/>
      <c r="K6474" s="377"/>
      <c r="L6474" s="378"/>
      <c r="M6474" s="377"/>
      <c r="N6474" s="399"/>
      <c r="O6474" s="380"/>
      <c r="P6474" s="380"/>
      <c r="Q6474" s="380"/>
    </row>
    <row r="6475" spans="1:17" x14ac:dyDescent="0.2">
      <c r="A6475" s="334" t="s">
        <v>1745</v>
      </c>
      <c r="B6475" s="380"/>
      <c r="C6475" s="334" t="s">
        <v>1887</v>
      </c>
      <c r="D6475" s="377"/>
      <c r="E6475" s="377"/>
      <c r="F6475" s="378"/>
      <c r="G6475" s="377"/>
      <c r="H6475" s="399"/>
      <c r="I6475" s="399"/>
      <c r="J6475" s="377"/>
      <c r="K6475" s="377"/>
      <c r="L6475" s="378"/>
      <c r="M6475" s="377"/>
      <c r="N6475" s="399"/>
      <c r="O6475" s="380"/>
      <c r="P6475" s="380"/>
      <c r="Q6475" s="380"/>
    </row>
    <row r="6476" spans="1:17" x14ac:dyDescent="0.2">
      <c r="A6476" s="334" t="s">
        <v>1906</v>
      </c>
      <c r="B6476" s="380"/>
      <c r="C6476" s="334" t="s">
        <v>39</v>
      </c>
      <c r="D6476" s="377"/>
      <c r="E6476" s="377"/>
      <c r="F6476" s="378"/>
      <c r="G6476" s="377"/>
      <c r="H6476" s="399"/>
      <c r="I6476" s="399"/>
      <c r="J6476" s="377"/>
      <c r="K6476" s="377"/>
      <c r="L6476" s="378"/>
      <c r="M6476" s="377"/>
      <c r="N6476" s="399"/>
      <c r="O6476" s="380"/>
      <c r="P6476" s="380"/>
      <c r="Q6476" s="380"/>
    </row>
    <row r="6477" spans="1:17" x14ac:dyDescent="0.2">
      <c r="A6477" s="334" t="s">
        <v>1576</v>
      </c>
      <c r="B6477" s="380"/>
      <c r="C6477" s="334" t="s">
        <v>1590</v>
      </c>
      <c r="D6477" s="377"/>
      <c r="E6477" s="377"/>
      <c r="F6477" s="378"/>
      <c r="G6477" s="377"/>
      <c r="H6477" s="399"/>
      <c r="I6477" s="399"/>
      <c r="J6477" s="377"/>
      <c r="K6477" s="377"/>
      <c r="L6477" s="378"/>
      <c r="M6477" s="377"/>
      <c r="N6477" s="399"/>
      <c r="O6477" s="380"/>
      <c r="P6477" s="380"/>
      <c r="Q6477" s="380"/>
    </row>
    <row r="6478" spans="1:17" x14ac:dyDescent="0.2">
      <c r="A6478" s="334" t="s">
        <v>1737</v>
      </c>
      <c r="B6478" s="380"/>
      <c r="C6478" s="334" t="s">
        <v>1984</v>
      </c>
      <c r="D6478" s="377"/>
      <c r="E6478" s="377"/>
      <c r="F6478" s="378"/>
      <c r="G6478" s="377"/>
      <c r="H6478" s="399"/>
      <c r="I6478" s="399"/>
      <c r="J6478" s="377"/>
      <c r="K6478" s="377"/>
      <c r="L6478" s="378"/>
      <c r="M6478" s="377"/>
      <c r="N6478" s="399"/>
      <c r="O6478" s="380"/>
      <c r="P6478" s="380"/>
      <c r="Q6478" s="380"/>
    </row>
    <row r="6479" spans="1:17" x14ac:dyDescent="0.2">
      <c r="A6479" s="384" t="s">
        <v>1726</v>
      </c>
      <c r="B6479" s="380"/>
      <c r="C6479" s="334" t="s">
        <v>1117</v>
      </c>
      <c r="D6479" s="377"/>
      <c r="E6479" s="377"/>
      <c r="F6479" s="378"/>
      <c r="G6479" s="377"/>
      <c r="H6479" s="399"/>
      <c r="I6479" s="399"/>
      <c r="J6479" s="377"/>
      <c r="K6479" s="377"/>
      <c r="L6479" s="378"/>
      <c r="M6479" s="377"/>
      <c r="N6479" s="399"/>
      <c r="O6479" s="380"/>
      <c r="P6479" s="380"/>
      <c r="Q6479" s="380"/>
    </row>
    <row r="6480" spans="1:17" x14ac:dyDescent="0.2">
      <c r="A6480" s="384" t="s">
        <v>1751</v>
      </c>
      <c r="B6480" s="380"/>
      <c r="C6480" s="334" t="s">
        <v>3138</v>
      </c>
      <c r="D6480" s="377"/>
      <c r="E6480" s="377"/>
      <c r="F6480" s="378"/>
      <c r="G6480" s="377"/>
      <c r="H6480" s="399"/>
      <c r="I6480" s="399"/>
      <c r="J6480" s="377"/>
      <c r="K6480" s="377"/>
      <c r="L6480" s="378"/>
      <c r="M6480" s="377"/>
      <c r="N6480" s="399"/>
      <c r="O6480" s="380"/>
      <c r="P6480" s="380"/>
      <c r="Q6480" s="380"/>
    </row>
    <row r="6481" spans="1:17" x14ac:dyDescent="0.2">
      <c r="A6481" s="334" t="s">
        <v>1752</v>
      </c>
      <c r="B6481" s="380"/>
      <c r="C6481" s="334" t="s">
        <v>367</v>
      </c>
      <c r="D6481" s="377"/>
      <c r="E6481" s="377"/>
      <c r="F6481" s="378"/>
      <c r="G6481" s="377"/>
      <c r="H6481" s="399"/>
      <c r="I6481" s="399"/>
      <c r="J6481" s="377"/>
      <c r="K6481" s="377"/>
      <c r="L6481" s="378"/>
      <c r="M6481" s="377"/>
      <c r="N6481" s="399"/>
      <c r="O6481" s="380"/>
      <c r="P6481" s="380"/>
      <c r="Q6481" s="380"/>
    </row>
    <row r="6482" spans="1:17" x14ac:dyDescent="0.2">
      <c r="A6482" s="334" t="s">
        <v>1734</v>
      </c>
      <c r="B6482" s="380"/>
      <c r="C6482" s="334" t="s">
        <v>1746</v>
      </c>
      <c r="D6482" s="377"/>
      <c r="E6482" s="377"/>
      <c r="F6482" s="378"/>
      <c r="G6482" s="377"/>
      <c r="H6482" s="399"/>
      <c r="I6482" s="399"/>
      <c r="J6482" s="377"/>
      <c r="K6482" s="377"/>
      <c r="L6482" s="378"/>
      <c r="M6482" s="377"/>
      <c r="N6482" s="399"/>
      <c r="O6482" s="380"/>
      <c r="P6482" s="380"/>
      <c r="Q6482" s="380"/>
    </row>
    <row r="6483" spans="1:17" x14ac:dyDescent="0.2">
      <c r="A6483" s="334" t="s">
        <v>1578</v>
      </c>
      <c r="B6483" s="380"/>
      <c r="C6483" s="334" t="s">
        <v>22</v>
      </c>
      <c r="D6483" s="377"/>
      <c r="E6483" s="377"/>
      <c r="F6483" s="378"/>
      <c r="G6483" s="377"/>
      <c r="H6483" s="399"/>
      <c r="I6483" s="399"/>
      <c r="J6483" s="377"/>
      <c r="K6483" s="377"/>
      <c r="L6483" s="378"/>
      <c r="M6483" s="377"/>
      <c r="N6483" s="399"/>
      <c r="O6483" s="380"/>
      <c r="P6483" s="380"/>
      <c r="Q6483" s="380"/>
    </row>
    <row r="6484" spans="1:17" x14ac:dyDescent="0.2">
      <c r="A6484" s="334" t="s">
        <v>1738</v>
      </c>
      <c r="B6484" s="380"/>
      <c r="C6484" s="334" t="s">
        <v>1591</v>
      </c>
      <c r="D6484" s="377"/>
      <c r="E6484" s="377"/>
      <c r="F6484" s="378"/>
      <c r="G6484" s="377"/>
      <c r="H6484" s="399"/>
      <c r="I6484" s="399"/>
      <c r="J6484" s="377"/>
      <c r="K6484" s="377"/>
      <c r="L6484" s="378"/>
      <c r="M6484" s="377"/>
      <c r="N6484" s="399"/>
      <c r="O6484" s="380"/>
      <c r="P6484" s="380"/>
      <c r="Q6484" s="380"/>
    </row>
    <row r="6485" spans="1:17" x14ac:dyDescent="0.2">
      <c r="A6485" s="334" t="s">
        <v>1727</v>
      </c>
      <c r="B6485" s="380"/>
      <c r="C6485" s="334" t="s">
        <v>307</v>
      </c>
      <c r="D6485" s="377"/>
      <c r="E6485" s="377"/>
      <c r="F6485" s="378"/>
      <c r="G6485" s="377"/>
      <c r="H6485" s="399"/>
      <c r="I6485" s="399"/>
      <c r="J6485" s="377"/>
      <c r="K6485" s="377"/>
      <c r="L6485" s="378"/>
      <c r="M6485" s="377"/>
      <c r="N6485" s="399"/>
      <c r="O6485" s="380"/>
      <c r="P6485" s="380"/>
      <c r="Q6485" s="380"/>
    </row>
    <row r="6486" spans="1:17" x14ac:dyDescent="0.2">
      <c r="A6486" s="334" t="s">
        <v>1728</v>
      </c>
      <c r="B6486" s="380"/>
      <c r="C6486" s="334" t="s">
        <v>310</v>
      </c>
      <c r="D6486" s="377"/>
      <c r="E6486" s="377"/>
      <c r="F6486" s="378"/>
      <c r="G6486" s="377"/>
      <c r="H6486" s="399"/>
      <c r="I6486" s="399"/>
      <c r="J6486" s="377"/>
      <c r="K6486" s="377"/>
      <c r="L6486" s="378"/>
      <c r="M6486" s="377"/>
      <c r="N6486" s="399"/>
      <c r="O6486" s="380"/>
      <c r="P6486" s="380"/>
      <c r="Q6486" s="380"/>
    </row>
    <row r="6487" spans="1:17" x14ac:dyDescent="0.2">
      <c r="A6487" s="334" t="s">
        <v>1729</v>
      </c>
      <c r="B6487" s="380"/>
      <c r="C6487" s="380" t="s">
        <v>1551</v>
      </c>
      <c r="D6487" s="377">
        <v>-80</v>
      </c>
      <c r="E6487" s="377">
        <v>-80</v>
      </c>
      <c r="F6487" s="378">
        <v>-80</v>
      </c>
      <c r="G6487" s="377"/>
      <c r="H6487" s="399"/>
      <c r="I6487" s="399"/>
      <c r="J6487" s="377"/>
      <c r="K6487" s="377"/>
      <c r="L6487" s="378"/>
      <c r="M6487" s="377"/>
      <c r="N6487" s="399"/>
      <c r="O6487" s="380"/>
      <c r="P6487" s="380"/>
      <c r="Q6487" s="380"/>
    </row>
    <row r="6488" spans="1:17" x14ac:dyDescent="0.2">
      <c r="A6488" s="334" t="s">
        <v>1735</v>
      </c>
      <c r="B6488" s="380"/>
      <c r="C6488" s="380" t="s">
        <v>194</v>
      </c>
      <c r="D6488" s="377"/>
      <c r="E6488" s="377"/>
      <c r="F6488" s="378"/>
      <c r="G6488" s="377"/>
      <c r="H6488" s="399"/>
      <c r="I6488" s="399"/>
      <c r="J6488" s="377"/>
      <c r="K6488" s="377"/>
      <c r="L6488" s="378"/>
      <c r="M6488" s="377"/>
      <c r="N6488" s="399"/>
      <c r="O6488" s="380"/>
      <c r="P6488" s="380"/>
      <c r="Q6488" s="380"/>
    </row>
    <row r="6489" spans="1:17" x14ac:dyDescent="0.2">
      <c r="A6489" s="334" t="s">
        <v>1741</v>
      </c>
      <c r="B6489" s="380"/>
      <c r="C6489" s="334" t="s">
        <v>1748</v>
      </c>
      <c r="D6489" s="377"/>
      <c r="E6489" s="377"/>
      <c r="F6489" s="378"/>
      <c r="G6489" s="377"/>
      <c r="H6489" s="399"/>
      <c r="I6489" s="399"/>
      <c r="J6489" s="377"/>
      <c r="K6489" s="377"/>
      <c r="L6489" s="378"/>
      <c r="M6489" s="377"/>
      <c r="N6489" s="399"/>
      <c r="O6489" s="380"/>
      <c r="P6489" s="380"/>
      <c r="Q6489" s="380"/>
    </row>
    <row r="6490" spans="1:17" x14ac:dyDescent="0.2">
      <c r="A6490" s="334" t="s">
        <v>1742</v>
      </c>
      <c r="B6490" s="380"/>
      <c r="C6490" s="334" t="s">
        <v>1553</v>
      </c>
      <c r="D6490" s="377"/>
      <c r="E6490" s="377"/>
      <c r="F6490" s="378"/>
      <c r="G6490" s="377"/>
      <c r="H6490" s="399"/>
      <c r="I6490" s="399"/>
      <c r="J6490" s="377"/>
      <c r="K6490" s="377"/>
      <c r="L6490" s="378"/>
      <c r="M6490" s="377"/>
      <c r="N6490" s="399"/>
      <c r="O6490" s="380"/>
      <c r="P6490" s="380"/>
      <c r="Q6490" s="380"/>
    </row>
    <row r="6491" spans="1:17" x14ac:dyDescent="0.2">
      <c r="A6491" s="334" t="s">
        <v>1584</v>
      </c>
      <c r="B6491" s="380"/>
      <c r="C6491" s="334" t="s">
        <v>0</v>
      </c>
      <c r="D6491" s="377"/>
      <c r="E6491" s="377"/>
      <c r="F6491" s="378"/>
      <c r="G6491" s="377"/>
      <c r="H6491" s="399"/>
      <c r="I6491" s="399"/>
      <c r="J6491" s="377"/>
      <c r="K6491" s="377"/>
      <c r="L6491" s="378"/>
      <c r="M6491" s="377"/>
      <c r="N6491" s="399"/>
      <c r="O6491" s="380"/>
      <c r="P6491" s="380"/>
      <c r="Q6491" s="380"/>
    </row>
    <row r="6492" spans="1:17" x14ac:dyDescent="0.2">
      <c r="A6492" s="334" t="s">
        <v>1730</v>
      </c>
      <c r="B6492" s="380"/>
      <c r="C6492" s="334" t="s">
        <v>1985</v>
      </c>
      <c r="D6492" s="377"/>
      <c r="E6492" s="377"/>
      <c r="F6492" s="378"/>
      <c r="G6492" s="377"/>
      <c r="H6492" s="399"/>
      <c r="I6492" s="399"/>
      <c r="J6492" s="377"/>
      <c r="K6492" s="377"/>
      <c r="L6492" s="378"/>
      <c r="M6492" s="377"/>
      <c r="N6492" s="399"/>
      <c r="O6492" s="380"/>
      <c r="P6492" s="380"/>
      <c r="Q6492" s="380"/>
    </row>
    <row r="6493" spans="1:17" x14ac:dyDescent="0.2">
      <c r="A6493" s="334" t="s">
        <v>1566</v>
      </c>
      <c r="B6493" s="380"/>
      <c r="C6493" s="334" t="s">
        <v>366</v>
      </c>
      <c r="D6493" s="377"/>
      <c r="E6493" s="377"/>
      <c r="F6493" s="378"/>
      <c r="G6493" s="377"/>
      <c r="H6493" s="399"/>
      <c r="I6493" s="399"/>
      <c r="J6493" s="377"/>
      <c r="K6493" s="377"/>
      <c r="L6493" s="378"/>
      <c r="M6493" s="377"/>
      <c r="N6493" s="399"/>
      <c r="O6493" s="380"/>
      <c r="P6493" s="380"/>
      <c r="Q6493" s="380"/>
    </row>
    <row r="6494" spans="1:17" x14ac:dyDescent="0.2">
      <c r="A6494" s="334" t="s">
        <v>1587</v>
      </c>
      <c r="B6494" s="380"/>
      <c r="C6494" s="334" t="s">
        <v>34</v>
      </c>
      <c r="D6494" s="377"/>
      <c r="E6494" s="377"/>
      <c r="F6494" s="378"/>
      <c r="G6494" s="377"/>
      <c r="H6494" s="399"/>
      <c r="I6494" s="399"/>
      <c r="J6494" s="377"/>
      <c r="K6494" s="377"/>
      <c r="L6494" s="378"/>
      <c r="M6494" s="377"/>
      <c r="N6494" s="399"/>
      <c r="O6494" s="380"/>
      <c r="P6494" s="380"/>
      <c r="Q6494" s="380"/>
    </row>
    <row r="6495" spans="1:17" x14ac:dyDescent="0.2">
      <c r="A6495" s="334" t="s">
        <v>1903</v>
      </c>
      <c r="B6495" s="380"/>
      <c r="C6495" s="334" t="s">
        <v>35</v>
      </c>
      <c r="D6495" s="377"/>
      <c r="E6495" s="377"/>
      <c r="F6495" s="378"/>
      <c r="G6495" s="377"/>
      <c r="H6495" s="399"/>
      <c r="I6495" s="399"/>
      <c r="J6495" s="377"/>
      <c r="K6495" s="377"/>
      <c r="L6495" s="378"/>
      <c r="M6495" s="377"/>
      <c r="N6495" s="399"/>
      <c r="O6495" s="380"/>
      <c r="P6495" s="380"/>
      <c r="Q6495" s="380"/>
    </row>
    <row r="6496" spans="1:17" x14ac:dyDescent="0.2">
      <c r="A6496" s="334" t="s">
        <v>1962</v>
      </c>
      <c r="B6496" s="380"/>
      <c r="C6496" s="380" t="s">
        <v>572</v>
      </c>
      <c r="D6496" s="377"/>
      <c r="E6496" s="380"/>
      <c r="F6496" s="378"/>
      <c r="G6496" s="377"/>
      <c r="H6496" s="399"/>
      <c r="I6496" s="399"/>
      <c r="J6496" s="377"/>
      <c r="K6496" s="382"/>
      <c r="L6496" s="380"/>
      <c r="M6496" s="377"/>
      <c r="N6496" s="399"/>
      <c r="O6496" s="380"/>
      <c r="P6496" s="380"/>
      <c r="Q6496" s="380"/>
    </row>
    <row r="6497" spans="1:17" x14ac:dyDescent="0.2">
      <c r="A6497" s="334" t="s">
        <v>1567</v>
      </c>
      <c r="B6497" s="380"/>
      <c r="C6497" s="334" t="s">
        <v>3142</v>
      </c>
      <c r="D6497" s="377"/>
      <c r="E6497" s="377"/>
      <c r="F6497" s="378"/>
      <c r="G6497" s="399"/>
      <c r="H6497" s="399"/>
      <c r="I6497" s="399"/>
      <c r="J6497" s="377"/>
      <c r="K6497" s="377"/>
      <c r="L6497" s="378"/>
      <c r="M6497" s="399"/>
      <c r="N6497" s="399"/>
      <c r="O6497" s="380"/>
      <c r="P6497" s="380"/>
      <c r="Q6497" s="380"/>
    </row>
    <row r="6498" spans="1:17" x14ac:dyDescent="0.2">
      <c r="A6498" s="380"/>
      <c r="B6498" s="380"/>
      <c r="C6498" s="380"/>
      <c r="D6498" s="394"/>
      <c r="E6498" s="394"/>
      <c r="F6498" s="413"/>
      <c r="G6498" s="334"/>
      <c r="H6498" s="385"/>
      <c r="I6498" s="385"/>
      <c r="J6498" s="394"/>
      <c r="K6498" s="394"/>
      <c r="L6498" s="413"/>
      <c r="M6498" s="334"/>
      <c r="N6498" s="385"/>
      <c r="O6498" s="380"/>
      <c r="P6498" s="380"/>
      <c r="Q6498" s="380"/>
    </row>
    <row r="6499" spans="1:17" x14ac:dyDescent="0.2">
      <c r="A6499" s="380"/>
      <c r="B6499" s="380"/>
      <c r="C6499" s="380"/>
      <c r="D6499" s="334">
        <f>SUM(D6469:D6497)</f>
        <v>320</v>
      </c>
      <c r="E6499" s="334">
        <f>SUM(E6468:E6497)</f>
        <v>320</v>
      </c>
      <c r="F6499" s="412">
        <f>SUM(F6468:F6497)</f>
        <v>320</v>
      </c>
      <c r="G6499" s="399"/>
      <c r="H6499" s="399"/>
      <c r="I6499" s="399"/>
      <c r="J6499" s="334">
        <f>SUM(J6469:J6497)</f>
        <v>400</v>
      </c>
      <c r="K6499" s="334">
        <f>SUM(K6469:K6497)</f>
        <v>400</v>
      </c>
      <c r="L6499" s="412">
        <f>SUM(L6469:L6497)</f>
        <v>400</v>
      </c>
      <c r="M6499" s="399"/>
      <c r="N6499" s="399"/>
      <c r="O6499" s="380"/>
      <c r="P6499" s="380"/>
      <c r="Q6499" s="380"/>
    </row>
    <row r="6500" spans="1:17" ht="15.75" thickTop="1" x14ac:dyDescent="0.2">
      <c r="A6500" s="380"/>
      <c r="B6500" s="380"/>
      <c r="C6500" s="380"/>
      <c r="D6500" s="395">
        <f>D6499-D6469</f>
        <v>320</v>
      </c>
      <c r="E6500" s="395">
        <f>E6499-E6468</f>
        <v>320</v>
      </c>
      <c r="F6500" s="401">
        <f>F6499-F6468</f>
        <v>320</v>
      </c>
      <c r="G6500" s="399"/>
      <c r="H6500" s="399"/>
      <c r="I6500" s="399"/>
      <c r="J6500" s="395">
        <f>J6499-J6469</f>
        <v>400</v>
      </c>
      <c r="K6500" s="395">
        <f>K6499-K6469</f>
        <v>400</v>
      </c>
      <c r="L6500" s="401">
        <f>L6499-L6469</f>
        <v>400</v>
      </c>
      <c r="M6500" s="399"/>
      <c r="N6500" s="399"/>
      <c r="O6500" s="380"/>
      <c r="P6500" s="380"/>
      <c r="Q6500" s="380"/>
    </row>
    <row r="6501" spans="1:17" x14ac:dyDescent="0.2">
      <c r="A6501" s="380"/>
      <c r="B6501" s="380"/>
      <c r="C6501" s="380"/>
      <c r="D6501" s="399"/>
      <c r="E6501" s="380"/>
      <c r="F6501" s="378"/>
      <c r="G6501" s="380"/>
      <c r="H6501" s="380"/>
      <c r="I6501" s="382"/>
      <c r="J6501" s="399"/>
      <c r="K6501" s="380"/>
      <c r="L6501" s="378"/>
      <c r="M6501" s="380"/>
      <c r="N6501" s="380"/>
      <c r="O6501" s="380"/>
      <c r="P6501" s="380"/>
      <c r="Q6501" s="380"/>
    </row>
    <row r="6502" spans="1:17" x14ac:dyDescent="0.2">
      <c r="A6502" s="380"/>
      <c r="B6502" s="380"/>
      <c r="C6502" s="380"/>
      <c r="D6502" s="380"/>
      <c r="E6502" s="380"/>
      <c r="F6502" s="378"/>
      <c r="G6502" s="380"/>
      <c r="H6502" s="380"/>
      <c r="I6502" s="385"/>
      <c r="J6502" s="380"/>
      <c r="K6502" s="382"/>
      <c r="L6502" s="380"/>
      <c r="M6502" s="380"/>
      <c r="N6502" s="380"/>
      <c r="O6502" s="380"/>
      <c r="P6502" s="380"/>
      <c r="Q6502" s="380"/>
    </row>
    <row r="6503" spans="1:17" x14ac:dyDescent="0.2">
      <c r="A6503" s="334" t="s">
        <v>373</v>
      </c>
      <c r="B6503" s="380"/>
      <c r="C6503" s="380"/>
      <c r="D6503" s="334" t="s">
        <v>1064</v>
      </c>
      <c r="E6503" s="334" t="s">
        <v>1220</v>
      </c>
      <c r="F6503" s="412"/>
      <c r="G6503" s="334"/>
      <c r="H6503" s="380"/>
      <c r="I6503" s="456"/>
      <c r="J6503" s="334" t="s">
        <v>1064</v>
      </c>
      <c r="K6503" s="334" t="s">
        <v>1220</v>
      </c>
      <c r="L6503" s="412"/>
      <c r="M6503" s="334"/>
      <c r="N6503" s="380"/>
      <c r="O6503" s="380"/>
      <c r="P6503" s="380"/>
      <c r="Q6503" s="380"/>
    </row>
    <row r="6504" spans="1:17" x14ac:dyDescent="0.2">
      <c r="A6504" s="334" t="s">
        <v>342</v>
      </c>
      <c r="B6504" s="380"/>
      <c r="C6504" s="334"/>
      <c r="D6504" s="403" t="s">
        <v>3712</v>
      </c>
      <c r="E6504" s="403" t="s">
        <v>2933</v>
      </c>
      <c r="F6504" s="421"/>
      <c r="G6504" s="384"/>
      <c r="H6504" s="391"/>
      <c r="I6504" s="385"/>
      <c r="J6504" s="403" t="s">
        <v>3712</v>
      </c>
      <c r="K6504" s="403" t="s">
        <v>2933</v>
      </c>
      <c r="L6504" s="421"/>
      <c r="M6504" s="384"/>
      <c r="N6504" s="391"/>
      <c r="O6504" s="380"/>
      <c r="P6504" s="380"/>
      <c r="Q6504" s="380"/>
    </row>
    <row r="6505" spans="1:17" x14ac:dyDescent="0.2">
      <c r="A6505" s="334" t="s">
        <v>342</v>
      </c>
      <c r="B6505" s="380"/>
      <c r="C6505" s="334" t="s">
        <v>342</v>
      </c>
      <c r="D6505" s="334"/>
      <c r="E6505" s="334"/>
      <c r="F6505" s="412"/>
      <c r="G6505" s="334"/>
      <c r="H6505" s="392"/>
      <c r="I6505" s="385"/>
      <c r="J6505" s="334"/>
      <c r="K6505" s="334"/>
      <c r="L6505" s="412"/>
      <c r="M6505" s="334"/>
      <c r="N6505" s="392"/>
      <c r="O6505" s="380"/>
      <c r="P6505" s="380"/>
      <c r="Q6505" s="380"/>
    </row>
    <row r="6506" spans="1:17" x14ac:dyDescent="0.2">
      <c r="A6506" s="334" t="s">
        <v>1723</v>
      </c>
      <c r="B6506" s="380"/>
      <c r="C6506" s="334" t="s">
        <v>1880</v>
      </c>
      <c r="D6506" s="334" t="s">
        <v>181</v>
      </c>
      <c r="E6506" s="334" t="s">
        <v>181</v>
      </c>
      <c r="F6506" s="412" t="s">
        <v>181</v>
      </c>
      <c r="G6506" s="334"/>
      <c r="H6506" s="334" t="s">
        <v>181</v>
      </c>
      <c r="I6506" s="382"/>
      <c r="J6506" s="334" t="s">
        <v>181</v>
      </c>
      <c r="K6506" s="334" t="s">
        <v>181</v>
      </c>
      <c r="L6506" s="412" t="s">
        <v>181</v>
      </c>
      <c r="M6506" s="334"/>
      <c r="N6506" s="334" t="s">
        <v>181</v>
      </c>
      <c r="O6506" s="380"/>
      <c r="P6506" s="380"/>
      <c r="Q6506" s="380"/>
    </row>
    <row r="6507" spans="1:17" x14ac:dyDescent="0.2">
      <c r="A6507" s="380"/>
      <c r="B6507" s="380"/>
      <c r="C6507" s="380"/>
      <c r="D6507" s="380"/>
      <c r="E6507" s="377"/>
      <c r="F6507" s="378"/>
      <c r="G6507" s="377"/>
      <c r="H6507" s="377"/>
      <c r="I6507" s="399"/>
      <c r="J6507" s="380"/>
      <c r="K6507" s="377"/>
      <c r="L6507" s="378"/>
      <c r="M6507" s="377"/>
      <c r="N6507" s="377"/>
      <c r="O6507" s="380"/>
      <c r="P6507" s="380"/>
      <c r="Q6507" s="380"/>
    </row>
    <row r="6508" spans="1:17" x14ac:dyDescent="0.2">
      <c r="A6508" s="334" t="s">
        <v>1568</v>
      </c>
      <c r="B6508" s="380"/>
      <c r="C6508" s="380" t="s">
        <v>1817</v>
      </c>
      <c r="D6508" s="377"/>
      <c r="E6508" s="377">
        <v>0</v>
      </c>
      <c r="F6508" s="378">
        <v>0</v>
      </c>
      <c r="G6508" s="377">
        <v>0</v>
      </c>
      <c r="H6508" s="377">
        <v>0</v>
      </c>
      <c r="I6508" s="399"/>
      <c r="J6508" s="377"/>
      <c r="K6508" s="377">
        <v>0</v>
      </c>
      <c r="L6508" s="378">
        <v>0</v>
      </c>
      <c r="M6508" s="377">
        <v>0</v>
      </c>
      <c r="N6508" s="377">
        <v>0</v>
      </c>
      <c r="O6508" s="380"/>
      <c r="P6508" s="380"/>
      <c r="Q6508" s="380"/>
    </row>
    <row r="6509" spans="1:17" x14ac:dyDescent="0.2">
      <c r="A6509" s="334" t="s">
        <v>1724</v>
      </c>
      <c r="B6509" s="380"/>
      <c r="C6509" s="334" t="s">
        <v>1881</v>
      </c>
      <c r="D6509" s="377">
        <v>0</v>
      </c>
      <c r="E6509" s="377"/>
      <c r="F6509" s="378"/>
      <c r="G6509" s="377"/>
      <c r="H6509" s="377"/>
      <c r="I6509" s="399"/>
      <c r="J6509" s="377">
        <v>0</v>
      </c>
      <c r="K6509" s="377"/>
      <c r="L6509" s="378"/>
      <c r="M6509" s="377"/>
      <c r="N6509" s="377"/>
      <c r="O6509" s="380"/>
      <c r="P6509" s="380"/>
      <c r="Q6509" s="380"/>
    </row>
    <row r="6510" spans="1:17" x14ac:dyDescent="0.2">
      <c r="A6510" s="334" t="s">
        <v>1961</v>
      </c>
      <c r="B6510" s="380"/>
      <c r="C6510" s="334" t="s">
        <v>9</v>
      </c>
      <c r="D6510" s="377"/>
      <c r="E6510" s="377"/>
      <c r="F6510" s="378"/>
      <c r="G6510" s="377"/>
      <c r="H6510" s="377"/>
      <c r="I6510" s="399"/>
      <c r="J6510" s="377"/>
      <c r="K6510" s="377"/>
      <c r="L6510" s="378"/>
      <c r="M6510" s="377"/>
      <c r="N6510" s="377"/>
      <c r="O6510" s="380"/>
      <c r="P6510" s="380"/>
      <c r="Q6510" s="380"/>
    </row>
    <row r="6511" spans="1:17" x14ac:dyDescent="0.2">
      <c r="A6511" s="334" t="s">
        <v>1736</v>
      </c>
      <c r="B6511" s="380"/>
      <c r="C6511" s="334" t="s">
        <v>1747</v>
      </c>
      <c r="D6511" s="377"/>
      <c r="E6511" s="377"/>
      <c r="F6511" s="378"/>
      <c r="G6511" s="377"/>
      <c r="H6511" s="377"/>
      <c r="I6511" s="399"/>
      <c r="J6511" s="377"/>
      <c r="K6511" s="377"/>
      <c r="L6511" s="378"/>
      <c r="M6511" s="377"/>
      <c r="N6511" s="377"/>
      <c r="O6511" s="380"/>
      <c r="P6511" s="380"/>
      <c r="Q6511" s="380"/>
    </row>
    <row r="6512" spans="1:17" x14ac:dyDescent="0.2">
      <c r="A6512" s="334" t="s">
        <v>1744</v>
      </c>
      <c r="B6512" s="380"/>
      <c r="C6512" s="334" t="s">
        <v>1254</v>
      </c>
      <c r="D6512" s="377"/>
      <c r="E6512" s="377"/>
      <c r="F6512" s="378"/>
      <c r="G6512" s="377"/>
      <c r="H6512" s="377"/>
      <c r="I6512" s="399"/>
      <c r="J6512" s="377"/>
      <c r="K6512" s="377"/>
      <c r="L6512" s="378"/>
      <c r="M6512" s="377"/>
      <c r="N6512" s="377"/>
      <c r="O6512" s="380"/>
      <c r="P6512" s="380"/>
      <c r="Q6512" s="380"/>
    </row>
    <row r="6513" spans="1:17" x14ac:dyDescent="0.2">
      <c r="A6513" s="334" t="s">
        <v>1582</v>
      </c>
      <c r="B6513" s="380"/>
      <c r="C6513" s="334" t="s">
        <v>3135</v>
      </c>
      <c r="D6513" s="377"/>
      <c r="E6513" s="377"/>
      <c r="F6513" s="378"/>
      <c r="G6513" s="377"/>
      <c r="H6513" s="377"/>
      <c r="I6513" s="399"/>
      <c r="J6513" s="377"/>
      <c r="K6513" s="377"/>
      <c r="L6513" s="378"/>
      <c r="M6513" s="377"/>
      <c r="N6513" s="377"/>
      <c r="O6513" s="380"/>
      <c r="P6513" s="380"/>
      <c r="Q6513" s="380"/>
    </row>
    <row r="6514" spans="1:17" x14ac:dyDescent="0.2">
      <c r="A6514" s="334" t="s">
        <v>1745</v>
      </c>
      <c r="B6514" s="380"/>
      <c r="C6514" s="334" t="s">
        <v>1887</v>
      </c>
      <c r="D6514" s="377"/>
      <c r="E6514" s="377"/>
      <c r="F6514" s="378"/>
      <c r="G6514" s="377"/>
      <c r="H6514" s="377"/>
      <c r="I6514" s="399"/>
      <c r="J6514" s="377"/>
      <c r="K6514" s="377"/>
      <c r="L6514" s="378"/>
      <c r="M6514" s="377"/>
      <c r="N6514" s="377"/>
      <c r="O6514" s="380"/>
      <c r="P6514" s="380"/>
      <c r="Q6514" s="380"/>
    </row>
    <row r="6515" spans="1:17" x14ac:dyDescent="0.2">
      <c r="A6515" s="334" t="s">
        <v>1906</v>
      </c>
      <c r="B6515" s="380"/>
      <c r="C6515" s="334" t="s">
        <v>39</v>
      </c>
      <c r="D6515" s="377"/>
      <c r="E6515" s="377"/>
      <c r="F6515" s="378"/>
      <c r="G6515" s="377"/>
      <c r="H6515" s="377"/>
      <c r="I6515" s="399"/>
      <c r="J6515" s="377"/>
      <c r="K6515" s="377"/>
      <c r="L6515" s="378"/>
      <c r="M6515" s="377"/>
      <c r="N6515" s="377"/>
      <c r="O6515" s="380"/>
      <c r="P6515" s="380"/>
      <c r="Q6515" s="380"/>
    </row>
    <row r="6516" spans="1:17" x14ac:dyDescent="0.2">
      <c r="A6516" s="334" t="s">
        <v>1576</v>
      </c>
      <c r="B6516" s="380"/>
      <c r="C6516" s="334" t="s">
        <v>1590</v>
      </c>
      <c r="D6516" s="377"/>
      <c r="E6516" s="377"/>
      <c r="F6516" s="378"/>
      <c r="G6516" s="377"/>
      <c r="H6516" s="377"/>
      <c r="I6516" s="399"/>
      <c r="J6516" s="377"/>
      <c r="K6516" s="377"/>
      <c r="L6516" s="378"/>
      <c r="M6516" s="377"/>
      <c r="N6516" s="377"/>
      <c r="O6516" s="380"/>
      <c r="P6516" s="380"/>
      <c r="Q6516" s="380"/>
    </row>
    <row r="6517" spans="1:17" x14ac:dyDescent="0.2">
      <c r="A6517" s="334" t="s">
        <v>1737</v>
      </c>
      <c r="B6517" s="380"/>
      <c r="C6517" s="334" t="s">
        <v>1984</v>
      </c>
      <c r="D6517" s="377"/>
      <c r="E6517" s="377"/>
      <c r="F6517" s="378"/>
      <c r="G6517" s="377"/>
      <c r="H6517" s="377"/>
      <c r="I6517" s="399"/>
      <c r="J6517" s="377"/>
      <c r="K6517" s="377"/>
      <c r="L6517" s="378"/>
      <c r="M6517" s="377"/>
      <c r="N6517" s="377"/>
      <c r="O6517" s="380"/>
      <c r="P6517" s="380"/>
      <c r="Q6517" s="380"/>
    </row>
    <row r="6518" spans="1:17" x14ac:dyDescent="0.2">
      <c r="A6518" s="384" t="s">
        <v>1726</v>
      </c>
      <c r="B6518" s="380"/>
      <c r="C6518" s="334" t="s">
        <v>1117</v>
      </c>
      <c r="D6518" s="377"/>
      <c r="E6518" s="377"/>
      <c r="F6518" s="378"/>
      <c r="G6518" s="377"/>
      <c r="H6518" s="377"/>
      <c r="I6518" s="399"/>
      <c r="J6518" s="377"/>
      <c r="K6518" s="377"/>
      <c r="L6518" s="378"/>
      <c r="M6518" s="377"/>
      <c r="N6518" s="377"/>
      <c r="O6518" s="380"/>
      <c r="P6518" s="380"/>
      <c r="Q6518" s="380"/>
    </row>
    <row r="6519" spans="1:17" x14ac:dyDescent="0.2">
      <c r="A6519" s="384" t="s">
        <v>1751</v>
      </c>
      <c r="B6519" s="380"/>
      <c r="C6519" s="334" t="s">
        <v>3138</v>
      </c>
      <c r="D6519" s="377"/>
      <c r="E6519" s="377"/>
      <c r="F6519" s="378"/>
      <c r="G6519" s="377"/>
      <c r="H6519" s="377"/>
      <c r="I6519" s="399"/>
      <c r="J6519" s="377"/>
      <c r="K6519" s="377"/>
      <c r="L6519" s="378"/>
      <c r="M6519" s="377"/>
      <c r="N6519" s="377"/>
      <c r="O6519" s="380"/>
      <c r="P6519" s="380"/>
      <c r="Q6519" s="380"/>
    </row>
    <row r="6520" spans="1:17" x14ac:dyDescent="0.2">
      <c r="A6520" s="334" t="s">
        <v>1752</v>
      </c>
      <c r="B6520" s="380"/>
      <c r="C6520" s="334" t="s">
        <v>367</v>
      </c>
      <c r="D6520" s="377"/>
      <c r="E6520" s="377"/>
      <c r="F6520" s="378"/>
      <c r="G6520" s="377"/>
      <c r="H6520" s="377"/>
      <c r="I6520" s="399"/>
      <c r="J6520" s="377"/>
      <c r="K6520" s="377"/>
      <c r="L6520" s="378"/>
      <c r="M6520" s="377"/>
      <c r="N6520" s="377"/>
      <c r="O6520" s="380"/>
      <c r="P6520" s="380"/>
      <c r="Q6520" s="380"/>
    </row>
    <row r="6521" spans="1:17" x14ac:dyDescent="0.2">
      <c r="A6521" s="334" t="s">
        <v>1734</v>
      </c>
      <c r="B6521" s="380"/>
      <c r="C6521" s="334" t="s">
        <v>1746</v>
      </c>
      <c r="D6521" s="377"/>
      <c r="E6521" s="377"/>
      <c r="F6521" s="378"/>
      <c r="G6521" s="377"/>
      <c r="H6521" s="377"/>
      <c r="I6521" s="399"/>
      <c r="J6521" s="377"/>
      <c r="K6521" s="377"/>
      <c r="L6521" s="378"/>
      <c r="M6521" s="377"/>
      <c r="N6521" s="377"/>
      <c r="O6521" s="380"/>
      <c r="P6521" s="380"/>
      <c r="Q6521" s="380"/>
    </row>
    <row r="6522" spans="1:17" x14ac:dyDescent="0.2">
      <c r="A6522" s="334" t="s">
        <v>1578</v>
      </c>
      <c r="B6522" s="380"/>
      <c r="C6522" s="334" t="s">
        <v>22</v>
      </c>
      <c r="D6522" s="377"/>
      <c r="E6522" s="377"/>
      <c r="F6522" s="378"/>
      <c r="G6522" s="377"/>
      <c r="H6522" s="377"/>
      <c r="I6522" s="399"/>
      <c r="J6522" s="377"/>
      <c r="K6522" s="377"/>
      <c r="L6522" s="378"/>
      <c r="M6522" s="377"/>
      <c r="N6522" s="377"/>
      <c r="O6522" s="380"/>
      <c r="P6522" s="380"/>
      <c r="Q6522" s="380"/>
    </row>
    <row r="6523" spans="1:17" x14ac:dyDescent="0.2">
      <c r="A6523" s="334" t="s">
        <v>1738</v>
      </c>
      <c r="B6523" s="380"/>
      <c r="C6523" s="334" t="s">
        <v>1591</v>
      </c>
      <c r="D6523" s="377"/>
      <c r="E6523" s="377"/>
      <c r="F6523" s="378"/>
      <c r="G6523" s="377"/>
      <c r="H6523" s="377"/>
      <c r="I6523" s="399"/>
      <c r="J6523" s="377"/>
      <c r="K6523" s="377"/>
      <c r="L6523" s="378"/>
      <c r="M6523" s="377"/>
      <c r="N6523" s="377"/>
      <c r="O6523" s="380"/>
      <c r="P6523" s="380"/>
      <c r="Q6523" s="380"/>
    </row>
    <row r="6524" spans="1:17" x14ac:dyDescent="0.2">
      <c r="A6524" s="334" t="s">
        <v>1727</v>
      </c>
      <c r="B6524" s="380"/>
      <c r="C6524" s="334" t="s">
        <v>307</v>
      </c>
      <c r="D6524" s="377"/>
      <c r="E6524" s="377"/>
      <c r="F6524" s="378"/>
      <c r="G6524" s="377"/>
      <c r="H6524" s="377"/>
      <c r="I6524" s="399"/>
      <c r="J6524" s="377"/>
      <c r="K6524" s="377"/>
      <c r="L6524" s="378"/>
      <c r="M6524" s="377"/>
      <c r="N6524" s="377"/>
      <c r="O6524" s="380"/>
      <c r="P6524" s="380"/>
      <c r="Q6524" s="380"/>
    </row>
    <row r="6525" spans="1:17" x14ac:dyDescent="0.2">
      <c r="A6525" s="334" t="s">
        <v>1728</v>
      </c>
      <c r="B6525" s="380"/>
      <c r="C6525" s="334" t="s">
        <v>310</v>
      </c>
      <c r="D6525" s="377"/>
      <c r="E6525" s="377"/>
      <c r="F6525" s="378"/>
      <c r="G6525" s="377"/>
      <c r="H6525" s="377"/>
      <c r="I6525" s="399"/>
      <c r="J6525" s="377"/>
      <c r="K6525" s="377"/>
      <c r="L6525" s="378"/>
      <c r="M6525" s="377"/>
      <c r="N6525" s="377"/>
      <c r="O6525" s="380"/>
      <c r="P6525" s="380"/>
      <c r="Q6525" s="380"/>
    </row>
    <row r="6526" spans="1:17" x14ac:dyDescent="0.2">
      <c r="A6526" s="334" t="s">
        <v>1729</v>
      </c>
      <c r="B6526" s="380"/>
      <c r="C6526" s="380" t="s">
        <v>1551</v>
      </c>
      <c r="D6526" s="377"/>
      <c r="E6526" s="377"/>
      <c r="F6526" s="378"/>
      <c r="G6526" s="377"/>
      <c r="H6526" s="377"/>
      <c r="I6526" s="399"/>
      <c r="J6526" s="377"/>
      <c r="K6526" s="377"/>
      <c r="L6526" s="378"/>
      <c r="M6526" s="377"/>
      <c r="N6526" s="377"/>
      <c r="O6526" s="380"/>
      <c r="P6526" s="380"/>
      <c r="Q6526" s="380"/>
    </row>
    <row r="6527" spans="1:17" x14ac:dyDescent="0.2">
      <c r="A6527" s="334" t="s">
        <v>1735</v>
      </c>
      <c r="B6527" s="380"/>
      <c r="C6527" s="380" t="s">
        <v>194</v>
      </c>
      <c r="D6527" s="377"/>
      <c r="E6527" s="377"/>
      <c r="F6527" s="378"/>
      <c r="G6527" s="377"/>
      <c r="H6527" s="377"/>
      <c r="I6527" s="399"/>
      <c r="J6527" s="377"/>
      <c r="K6527" s="377"/>
      <c r="L6527" s="378"/>
      <c r="M6527" s="377"/>
      <c r="N6527" s="377"/>
      <c r="O6527" s="380"/>
      <c r="P6527" s="380"/>
      <c r="Q6527" s="380"/>
    </row>
    <row r="6528" spans="1:17" x14ac:dyDescent="0.2">
      <c r="A6528" s="334" t="s">
        <v>1741</v>
      </c>
      <c r="B6528" s="380"/>
      <c r="C6528" s="334" t="s">
        <v>1748</v>
      </c>
      <c r="D6528" s="377"/>
      <c r="E6528" s="377"/>
      <c r="F6528" s="378"/>
      <c r="G6528" s="377"/>
      <c r="H6528" s="377"/>
      <c r="I6528" s="399"/>
      <c r="J6528" s="377"/>
      <c r="K6528" s="377"/>
      <c r="L6528" s="378"/>
      <c r="M6528" s="377"/>
      <c r="N6528" s="377"/>
      <c r="O6528" s="380"/>
      <c r="P6528" s="380"/>
      <c r="Q6528" s="380"/>
    </row>
    <row r="6529" spans="1:17" x14ac:dyDescent="0.2">
      <c r="A6529" s="334" t="s">
        <v>1742</v>
      </c>
      <c r="B6529" s="380"/>
      <c r="C6529" s="334" t="s">
        <v>1553</v>
      </c>
      <c r="D6529" s="377"/>
      <c r="E6529" s="377"/>
      <c r="F6529" s="378"/>
      <c r="G6529" s="377"/>
      <c r="H6529" s="377"/>
      <c r="I6529" s="399"/>
      <c r="J6529" s="377"/>
      <c r="K6529" s="377"/>
      <c r="L6529" s="378"/>
      <c r="M6529" s="377"/>
      <c r="N6529" s="377"/>
      <c r="O6529" s="380"/>
      <c r="P6529" s="380"/>
      <c r="Q6529" s="380"/>
    </row>
    <row r="6530" spans="1:17" x14ac:dyDescent="0.2">
      <c r="A6530" s="334" t="s">
        <v>1584</v>
      </c>
      <c r="B6530" s="380"/>
      <c r="C6530" s="334" t="s">
        <v>0</v>
      </c>
      <c r="D6530" s="377"/>
      <c r="E6530" s="377"/>
      <c r="F6530" s="378"/>
      <c r="G6530" s="377"/>
      <c r="H6530" s="377"/>
      <c r="I6530" s="399"/>
      <c r="J6530" s="377"/>
      <c r="K6530" s="377"/>
      <c r="L6530" s="378"/>
      <c r="M6530" s="377"/>
      <c r="N6530" s="377"/>
      <c r="O6530" s="380"/>
      <c r="P6530" s="380"/>
      <c r="Q6530" s="380"/>
    </row>
    <row r="6531" spans="1:17" x14ac:dyDescent="0.2">
      <c r="A6531" s="334" t="s">
        <v>1730</v>
      </c>
      <c r="B6531" s="380"/>
      <c r="C6531" s="334" t="s">
        <v>1985</v>
      </c>
      <c r="D6531" s="377"/>
      <c r="E6531" s="377"/>
      <c r="F6531" s="378"/>
      <c r="G6531" s="377"/>
      <c r="H6531" s="377"/>
      <c r="I6531" s="399"/>
      <c r="J6531" s="377"/>
      <c r="K6531" s="377"/>
      <c r="L6531" s="378"/>
      <c r="M6531" s="377"/>
      <c r="N6531" s="377"/>
      <c r="O6531" s="380"/>
      <c r="P6531" s="380"/>
      <c r="Q6531" s="380"/>
    </row>
    <row r="6532" spans="1:17" x14ac:dyDescent="0.2">
      <c r="A6532" s="334" t="s">
        <v>1566</v>
      </c>
      <c r="B6532" s="380"/>
      <c r="C6532" s="334" t="s">
        <v>366</v>
      </c>
      <c r="D6532" s="377"/>
      <c r="E6532" s="377"/>
      <c r="F6532" s="378"/>
      <c r="G6532" s="377"/>
      <c r="H6532" s="377"/>
      <c r="I6532" s="399"/>
      <c r="J6532" s="377"/>
      <c r="K6532" s="377"/>
      <c r="L6532" s="378"/>
      <c r="M6532" s="377"/>
      <c r="N6532" s="377"/>
      <c r="O6532" s="380"/>
      <c r="P6532" s="380"/>
      <c r="Q6532" s="380"/>
    </row>
    <row r="6533" spans="1:17" x14ac:dyDescent="0.2">
      <c r="A6533" s="334" t="s">
        <v>1587</v>
      </c>
      <c r="B6533" s="380"/>
      <c r="C6533" s="334" t="s">
        <v>34</v>
      </c>
      <c r="D6533" s="377"/>
      <c r="E6533" s="377"/>
      <c r="F6533" s="378"/>
      <c r="G6533" s="377"/>
      <c r="H6533" s="377"/>
      <c r="I6533" s="399"/>
      <c r="J6533" s="377"/>
      <c r="K6533" s="377"/>
      <c r="L6533" s="378"/>
      <c r="M6533" s="377"/>
      <c r="N6533" s="377"/>
      <c r="O6533" s="380"/>
      <c r="P6533" s="380"/>
      <c r="Q6533" s="380"/>
    </row>
    <row r="6534" spans="1:17" x14ac:dyDescent="0.2">
      <c r="A6534" s="334" t="s">
        <v>1903</v>
      </c>
      <c r="B6534" s="380"/>
      <c r="C6534" s="334" t="s">
        <v>35</v>
      </c>
      <c r="D6534" s="377"/>
      <c r="E6534" s="377"/>
      <c r="F6534" s="378"/>
      <c r="G6534" s="377"/>
      <c r="H6534" s="377"/>
      <c r="I6534" s="399"/>
      <c r="J6534" s="377"/>
      <c r="K6534" s="377"/>
      <c r="L6534" s="378"/>
      <c r="M6534" s="377"/>
      <c r="N6534" s="377"/>
      <c r="O6534" s="380"/>
      <c r="P6534" s="380"/>
      <c r="Q6534" s="380"/>
    </row>
    <row r="6535" spans="1:17" x14ac:dyDescent="0.2">
      <c r="A6535" s="334" t="s">
        <v>1962</v>
      </c>
      <c r="B6535" s="380"/>
      <c r="C6535" s="380" t="s">
        <v>572</v>
      </c>
      <c r="D6535" s="377"/>
      <c r="E6535" s="380"/>
      <c r="F6535" s="378"/>
      <c r="G6535" s="380"/>
      <c r="H6535" s="380"/>
      <c r="I6535" s="399"/>
      <c r="J6535" s="377"/>
      <c r="K6535" s="382"/>
      <c r="L6535" s="380"/>
      <c r="M6535" s="380"/>
      <c r="N6535" s="380"/>
      <c r="O6535" s="380"/>
      <c r="P6535" s="380"/>
      <c r="Q6535" s="380"/>
    </row>
    <row r="6536" spans="1:17" x14ac:dyDescent="0.2">
      <c r="A6536" s="334" t="s">
        <v>1567</v>
      </c>
      <c r="B6536" s="380"/>
      <c r="C6536" s="334" t="s">
        <v>3142</v>
      </c>
      <c r="D6536" s="377"/>
      <c r="E6536" s="377"/>
      <c r="F6536" s="378"/>
      <c r="G6536" s="377"/>
      <c r="H6536" s="377"/>
      <c r="I6536" s="399"/>
      <c r="J6536" s="377"/>
      <c r="K6536" s="377"/>
      <c r="L6536" s="378"/>
      <c r="M6536" s="377"/>
      <c r="N6536" s="377"/>
      <c r="O6536" s="380"/>
      <c r="P6536" s="380"/>
      <c r="Q6536" s="380"/>
    </row>
    <row r="6537" spans="1:17" x14ac:dyDescent="0.2">
      <c r="A6537" s="380"/>
      <c r="B6537" s="380"/>
      <c r="C6537" s="380"/>
      <c r="D6537" s="394"/>
      <c r="E6537" s="394"/>
      <c r="F6537" s="413"/>
      <c r="G6537" s="394"/>
      <c r="H6537" s="394"/>
      <c r="I6537" s="385"/>
      <c r="J6537" s="394"/>
      <c r="K6537" s="394"/>
      <c r="L6537" s="413"/>
      <c r="M6537" s="394"/>
      <c r="N6537" s="394"/>
      <c r="O6537" s="380"/>
      <c r="P6537" s="380"/>
      <c r="Q6537" s="380"/>
    </row>
    <row r="6538" spans="1:17" x14ac:dyDescent="0.2">
      <c r="A6538" s="380"/>
      <c r="B6538" s="380"/>
      <c r="C6538" s="380"/>
      <c r="D6538" s="334">
        <f>SUM(D6508:D6536)</f>
        <v>0</v>
      </c>
      <c r="E6538" s="334">
        <f>SUM(E6507:E6536)</f>
        <v>0</v>
      </c>
      <c r="F6538" s="412">
        <f>SUM(F6507:F6536)</f>
        <v>0</v>
      </c>
      <c r="G6538" s="334"/>
      <c r="H6538" s="334">
        <f>SUM(H6507:H6536)</f>
        <v>0</v>
      </c>
      <c r="I6538" s="399"/>
      <c r="J6538" s="334">
        <f>SUM(J6508:J6536)</f>
        <v>0</v>
      </c>
      <c r="K6538" s="334">
        <f>SUM(K6507:K6536)</f>
        <v>0</v>
      </c>
      <c r="L6538" s="412">
        <f>SUM(L6507:L6536)</f>
        <v>0</v>
      </c>
      <c r="M6538" s="334"/>
      <c r="N6538" s="334">
        <f>SUM(N6507:N6536)</f>
        <v>0</v>
      </c>
      <c r="O6538" s="380"/>
      <c r="P6538" s="380"/>
      <c r="Q6538" s="380"/>
    </row>
    <row r="6539" spans="1:17" ht="15.75" thickTop="1" x14ac:dyDescent="0.2">
      <c r="A6539" s="380"/>
      <c r="B6539" s="380"/>
      <c r="C6539" s="380"/>
      <c r="D6539" s="395">
        <f>D6538-D6508</f>
        <v>0</v>
      </c>
      <c r="E6539" s="395">
        <f>E6538-E6507</f>
        <v>0</v>
      </c>
      <c r="F6539" s="401">
        <f>F6538-F6507</f>
        <v>0</v>
      </c>
      <c r="G6539" s="395"/>
      <c r="H6539" s="395">
        <f>H6538-H6507</f>
        <v>0</v>
      </c>
      <c r="I6539" s="382"/>
      <c r="J6539" s="395">
        <f>J6538-J6508</f>
        <v>0</v>
      </c>
      <c r="K6539" s="395">
        <f>K6538-K6507</f>
        <v>0</v>
      </c>
      <c r="L6539" s="401">
        <f>L6538-L6507</f>
        <v>0</v>
      </c>
      <c r="M6539" s="395"/>
      <c r="N6539" s="395">
        <f>N6538-N6507</f>
        <v>0</v>
      </c>
      <c r="O6539" s="380"/>
      <c r="P6539" s="380"/>
      <c r="Q6539" s="380"/>
    </row>
    <row r="6540" spans="1:17" x14ac:dyDescent="0.2">
      <c r="A6540" s="334" t="s">
        <v>342</v>
      </c>
      <c r="B6540" s="380"/>
      <c r="C6540" s="334" t="s">
        <v>342</v>
      </c>
      <c r="D6540" s="380"/>
      <c r="E6540" s="380"/>
      <c r="F6540" s="378"/>
      <c r="G6540" s="380"/>
      <c r="H6540" s="380"/>
      <c r="I6540" s="383"/>
      <c r="J6540" s="380"/>
      <c r="K6540" s="380"/>
      <c r="L6540" s="378"/>
      <c r="M6540" s="380"/>
      <c r="N6540" s="380"/>
      <c r="O6540" s="380"/>
      <c r="P6540" s="380"/>
      <c r="Q6540" s="380"/>
    </row>
    <row r="6541" spans="1:17" x14ac:dyDescent="0.2">
      <c r="A6541" s="380"/>
      <c r="B6541" s="380"/>
      <c r="C6541" s="380"/>
      <c r="D6541" s="380"/>
      <c r="E6541" s="380"/>
      <c r="F6541" s="378"/>
      <c r="G6541" s="380"/>
      <c r="H6541" s="380"/>
      <c r="I6541" s="383"/>
      <c r="J6541" s="380"/>
      <c r="K6541" s="380"/>
      <c r="L6541" s="378"/>
      <c r="M6541" s="380"/>
      <c r="N6541" s="380"/>
      <c r="O6541" s="380"/>
      <c r="P6541" s="380"/>
      <c r="Q6541" s="380"/>
    </row>
    <row r="6542" spans="1:17" x14ac:dyDescent="0.2">
      <c r="A6542" s="380"/>
      <c r="B6542" s="380"/>
      <c r="C6542" s="380"/>
      <c r="D6542" s="380"/>
      <c r="E6542" s="380"/>
      <c r="F6542" s="378"/>
      <c r="G6542" s="380"/>
      <c r="H6542" s="380"/>
      <c r="I6542" s="383"/>
      <c r="J6542" s="380"/>
      <c r="K6542" s="380"/>
      <c r="L6542" s="378"/>
      <c r="M6542" s="380"/>
      <c r="N6542" s="380"/>
      <c r="O6542" s="380"/>
      <c r="P6542" s="380"/>
      <c r="Q6542" s="380"/>
    </row>
    <row r="6543" spans="1:17" x14ac:dyDescent="0.2">
      <c r="A6543" s="334" t="s">
        <v>2855</v>
      </c>
      <c r="B6543" s="380"/>
      <c r="C6543" s="380"/>
      <c r="D6543" s="334"/>
      <c r="E6543" s="380"/>
      <c r="F6543" s="378"/>
      <c r="G6543" s="380"/>
      <c r="H6543" s="380"/>
      <c r="I6543" s="383"/>
      <c r="J6543" s="334"/>
      <c r="K6543" s="380"/>
      <c r="L6543" s="378"/>
      <c r="M6543" s="380"/>
      <c r="N6543" s="380"/>
      <c r="O6543" s="380"/>
      <c r="P6543" s="380"/>
      <c r="Q6543" s="380"/>
    </row>
    <row r="6544" spans="1:17" x14ac:dyDescent="0.2">
      <c r="A6544" s="334" t="s">
        <v>342</v>
      </c>
      <c r="B6544" s="380"/>
      <c r="C6544" s="334"/>
      <c r="D6544" s="403" t="s">
        <v>3715</v>
      </c>
      <c r="E6544" s="380"/>
      <c r="F6544" s="378"/>
      <c r="G6544" s="380"/>
      <c r="H6544" s="380"/>
      <c r="I6544" s="383"/>
      <c r="J6544" s="403" t="s">
        <v>3715</v>
      </c>
      <c r="K6544" s="380"/>
      <c r="L6544" s="378"/>
      <c r="M6544" s="380"/>
      <c r="N6544" s="380"/>
      <c r="O6544" s="380"/>
      <c r="P6544" s="380"/>
      <c r="Q6544" s="380"/>
    </row>
    <row r="6545" spans="1:17" x14ac:dyDescent="0.2">
      <c r="A6545" s="334" t="s">
        <v>342</v>
      </c>
      <c r="B6545" s="380"/>
      <c r="C6545" s="334" t="s">
        <v>342</v>
      </c>
      <c r="D6545" s="334"/>
      <c r="E6545" s="380"/>
      <c r="F6545" s="378"/>
      <c r="G6545" s="380"/>
      <c r="H6545" s="380"/>
      <c r="I6545" s="383"/>
      <c r="J6545" s="334"/>
      <c r="K6545" s="380"/>
      <c r="L6545" s="378"/>
      <c r="M6545" s="380"/>
      <c r="N6545" s="380"/>
      <c r="O6545" s="380"/>
      <c r="P6545" s="380"/>
      <c r="Q6545" s="380"/>
    </row>
    <row r="6546" spans="1:17" x14ac:dyDescent="0.2">
      <c r="A6546" s="334" t="s">
        <v>1723</v>
      </c>
      <c r="B6546" s="380"/>
      <c r="C6546" s="334" t="s">
        <v>1880</v>
      </c>
      <c r="D6546" s="334" t="s">
        <v>181</v>
      </c>
      <c r="E6546" s="380"/>
      <c r="F6546" s="378"/>
      <c r="G6546" s="380"/>
      <c r="H6546" s="380"/>
      <c r="I6546" s="383"/>
      <c r="J6546" s="334" t="s">
        <v>181</v>
      </c>
      <c r="K6546" s="380"/>
      <c r="L6546" s="378"/>
      <c r="M6546" s="380"/>
      <c r="N6546" s="380"/>
      <c r="O6546" s="380"/>
      <c r="P6546" s="380"/>
      <c r="Q6546" s="380"/>
    </row>
    <row r="6547" spans="1:17" x14ac:dyDescent="0.2">
      <c r="A6547" s="380"/>
      <c r="B6547" s="380"/>
      <c r="C6547" s="380"/>
      <c r="D6547" s="380"/>
      <c r="E6547" s="380"/>
      <c r="F6547" s="378"/>
      <c r="G6547" s="380"/>
      <c r="H6547" s="380"/>
      <c r="I6547" s="383"/>
      <c r="J6547" s="380"/>
      <c r="K6547" s="380"/>
      <c r="L6547" s="378"/>
      <c r="M6547" s="380"/>
      <c r="N6547" s="380"/>
      <c r="O6547" s="380"/>
      <c r="P6547" s="380"/>
      <c r="Q6547" s="380"/>
    </row>
    <row r="6548" spans="1:17" x14ac:dyDescent="0.2">
      <c r="A6548" s="334" t="s">
        <v>1568</v>
      </c>
      <c r="B6548" s="380"/>
      <c r="C6548" s="380" t="s">
        <v>1817</v>
      </c>
      <c r="D6548" s="377"/>
      <c r="E6548" s="380"/>
      <c r="F6548" s="378"/>
      <c r="G6548" s="380"/>
      <c r="H6548" s="380"/>
      <c r="I6548" s="383"/>
      <c r="J6548" s="377"/>
      <c r="K6548" s="380"/>
      <c r="L6548" s="378"/>
      <c r="M6548" s="380"/>
      <c r="N6548" s="380"/>
      <c r="O6548" s="380"/>
      <c r="P6548" s="380"/>
      <c r="Q6548" s="380"/>
    </row>
    <row r="6549" spans="1:17" x14ac:dyDescent="0.2">
      <c r="A6549" s="334" t="s">
        <v>1724</v>
      </c>
      <c r="B6549" s="380"/>
      <c r="C6549" s="334" t="s">
        <v>1881</v>
      </c>
      <c r="D6549" s="377">
        <v>500</v>
      </c>
      <c r="E6549" s="380"/>
      <c r="F6549" s="378"/>
      <c r="G6549" s="380"/>
      <c r="H6549" s="380"/>
      <c r="I6549" s="383"/>
      <c r="J6549" s="377">
        <v>100</v>
      </c>
      <c r="K6549" s="380"/>
      <c r="L6549" s="378"/>
      <c r="M6549" s="380"/>
      <c r="N6549" s="380"/>
      <c r="O6549" s="380"/>
      <c r="P6549" s="380"/>
      <c r="Q6549" s="380"/>
    </row>
    <row r="6550" spans="1:17" x14ac:dyDescent="0.2">
      <c r="A6550" s="334" t="s">
        <v>1961</v>
      </c>
      <c r="B6550" s="380"/>
      <c r="C6550" s="334" t="s">
        <v>9</v>
      </c>
      <c r="D6550" s="377"/>
      <c r="E6550" s="380"/>
      <c r="F6550" s="378"/>
      <c r="G6550" s="380"/>
      <c r="H6550" s="380"/>
      <c r="I6550" s="383"/>
      <c r="J6550" s="377">
        <v>0</v>
      </c>
      <c r="K6550" s="380"/>
      <c r="L6550" s="378"/>
      <c r="M6550" s="380"/>
      <c r="N6550" s="380"/>
      <c r="O6550" s="380"/>
      <c r="P6550" s="380"/>
      <c r="Q6550" s="380"/>
    </row>
    <row r="6551" spans="1:17" x14ac:dyDescent="0.2">
      <c r="A6551" s="334" t="s">
        <v>1736</v>
      </c>
      <c r="B6551" s="380"/>
      <c r="C6551" s="334" t="s">
        <v>1747</v>
      </c>
      <c r="D6551" s="377">
        <v>3000</v>
      </c>
      <c r="E6551" s="380"/>
      <c r="F6551" s="378"/>
      <c r="G6551" s="380"/>
      <c r="H6551" s="380"/>
      <c r="I6551" s="383"/>
      <c r="J6551" s="377">
        <v>2500</v>
      </c>
      <c r="K6551" s="380"/>
      <c r="L6551" s="378"/>
      <c r="M6551" s="380"/>
      <c r="N6551" s="380"/>
      <c r="O6551" s="380"/>
      <c r="P6551" s="380"/>
      <c r="Q6551" s="380"/>
    </row>
    <row r="6552" spans="1:17" x14ac:dyDescent="0.2">
      <c r="A6552" s="334" t="s">
        <v>1744</v>
      </c>
      <c r="B6552" s="380"/>
      <c r="C6552" s="334" t="s">
        <v>1254</v>
      </c>
      <c r="D6552" s="377"/>
      <c r="E6552" s="380"/>
      <c r="F6552" s="378"/>
      <c r="G6552" s="380"/>
      <c r="H6552" s="380"/>
      <c r="I6552" s="383"/>
      <c r="J6552" s="377">
        <v>1500</v>
      </c>
      <c r="K6552" s="380"/>
      <c r="L6552" s="378"/>
      <c r="M6552" s="380"/>
      <c r="N6552" s="380"/>
      <c r="O6552" s="380"/>
      <c r="P6552" s="380"/>
      <c r="Q6552" s="380"/>
    </row>
    <row r="6553" spans="1:17" x14ac:dyDescent="0.2">
      <c r="A6553" s="334" t="s">
        <v>1582</v>
      </c>
      <c r="B6553" s="380"/>
      <c r="C6553" s="334" t="s">
        <v>3135</v>
      </c>
      <c r="D6553" s="377"/>
      <c r="E6553" s="380"/>
      <c r="F6553" s="378"/>
      <c r="G6553" s="380"/>
      <c r="H6553" s="380"/>
      <c r="I6553" s="383"/>
      <c r="J6553" s="377"/>
      <c r="K6553" s="380"/>
      <c r="L6553" s="378"/>
      <c r="M6553" s="380"/>
      <c r="N6553" s="380"/>
      <c r="O6553" s="380"/>
      <c r="P6553" s="380"/>
      <c r="Q6553" s="380"/>
    </row>
    <row r="6554" spans="1:17" x14ac:dyDescent="0.2">
      <c r="A6554" s="334" t="s">
        <v>1745</v>
      </c>
      <c r="B6554" s="380"/>
      <c r="C6554" s="334" t="s">
        <v>1887</v>
      </c>
      <c r="D6554" s="377"/>
      <c r="E6554" s="380"/>
      <c r="F6554" s="378"/>
      <c r="G6554" s="380"/>
      <c r="H6554" s="380"/>
      <c r="I6554" s="383"/>
      <c r="J6554" s="377">
        <v>300</v>
      </c>
      <c r="K6554" s="380"/>
      <c r="L6554" s="378"/>
      <c r="M6554" s="380"/>
      <c r="N6554" s="380"/>
      <c r="O6554" s="380"/>
      <c r="P6554" s="380"/>
      <c r="Q6554" s="380"/>
    </row>
    <row r="6555" spans="1:17" x14ac:dyDescent="0.2">
      <c r="A6555" s="334" t="s">
        <v>1906</v>
      </c>
      <c r="B6555" s="380"/>
      <c r="C6555" s="334" t="s">
        <v>39</v>
      </c>
      <c r="D6555" s="377"/>
      <c r="E6555" s="380"/>
      <c r="F6555" s="378"/>
      <c r="G6555" s="380"/>
      <c r="H6555" s="380"/>
      <c r="I6555" s="383"/>
      <c r="J6555" s="377"/>
      <c r="K6555" s="380"/>
      <c r="L6555" s="378"/>
      <c r="M6555" s="380"/>
      <c r="N6555" s="380"/>
      <c r="O6555" s="380"/>
      <c r="P6555" s="380"/>
      <c r="Q6555" s="380"/>
    </row>
    <row r="6556" spans="1:17" x14ac:dyDescent="0.2">
      <c r="A6556" s="334" t="s">
        <v>1576</v>
      </c>
      <c r="B6556" s="380"/>
      <c r="C6556" s="334" t="s">
        <v>1590</v>
      </c>
      <c r="D6556" s="377"/>
      <c r="E6556" s="380"/>
      <c r="F6556" s="378"/>
      <c r="G6556" s="380"/>
      <c r="H6556" s="380"/>
      <c r="I6556" s="383"/>
      <c r="J6556" s="377"/>
      <c r="K6556" s="380"/>
      <c r="L6556" s="378"/>
      <c r="M6556" s="380"/>
      <c r="N6556" s="380"/>
      <c r="O6556" s="380"/>
      <c r="P6556" s="380"/>
      <c r="Q6556" s="380"/>
    </row>
    <row r="6557" spans="1:17" x14ac:dyDescent="0.2">
      <c r="A6557" s="334" t="s">
        <v>1737</v>
      </c>
      <c r="B6557" s="380"/>
      <c r="C6557" s="334" t="s">
        <v>1984</v>
      </c>
      <c r="D6557" s="377"/>
      <c r="E6557" s="380"/>
      <c r="F6557" s="378"/>
      <c r="G6557" s="380"/>
      <c r="H6557" s="380"/>
      <c r="I6557" s="383"/>
      <c r="J6557" s="377"/>
      <c r="K6557" s="380"/>
      <c r="L6557" s="378"/>
      <c r="M6557" s="380"/>
      <c r="N6557" s="380"/>
      <c r="O6557" s="380"/>
      <c r="P6557" s="380"/>
      <c r="Q6557" s="380"/>
    </row>
    <row r="6558" spans="1:17" x14ac:dyDescent="0.2">
      <c r="A6558" s="384" t="s">
        <v>1726</v>
      </c>
      <c r="B6558" s="380"/>
      <c r="C6558" s="334" t="s">
        <v>1117</v>
      </c>
      <c r="D6558" s="377"/>
      <c r="E6558" s="380"/>
      <c r="F6558" s="378"/>
      <c r="G6558" s="380"/>
      <c r="H6558" s="380"/>
      <c r="I6558" s="383"/>
      <c r="J6558" s="377"/>
      <c r="K6558" s="380"/>
      <c r="L6558" s="378"/>
      <c r="M6558" s="380"/>
      <c r="N6558" s="380"/>
      <c r="O6558" s="380"/>
      <c r="P6558" s="380"/>
      <c r="Q6558" s="380"/>
    </row>
    <row r="6559" spans="1:17" x14ac:dyDescent="0.2">
      <c r="A6559" s="384" t="s">
        <v>1751</v>
      </c>
      <c r="B6559" s="380"/>
      <c r="C6559" s="334" t="s">
        <v>3138</v>
      </c>
      <c r="D6559" s="377"/>
      <c r="E6559" s="380"/>
      <c r="F6559" s="378"/>
      <c r="G6559" s="380"/>
      <c r="H6559" s="380"/>
      <c r="I6559" s="383"/>
      <c r="J6559" s="377"/>
      <c r="K6559" s="380"/>
      <c r="L6559" s="378"/>
      <c r="M6559" s="380"/>
      <c r="N6559" s="380"/>
      <c r="O6559" s="380"/>
      <c r="P6559" s="380"/>
      <c r="Q6559" s="380"/>
    </row>
    <row r="6560" spans="1:17" x14ac:dyDescent="0.2">
      <c r="A6560" s="384" t="s">
        <v>1760</v>
      </c>
      <c r="B6560" s="380"/>
      <c r="C6560" s="334" t="s">
        <v>40</v>
      </c>
      <c r="D6560" s="377">
        <v>4000</v>
      </c>
      <c r="E6560" s="380"/>
      <c r="F6560" s="378"/>
      <c r="G6560" s="380"/>
      <c r="H6560" s="380"/>
      <c r="I6560" s="383"/>
      <c r="J6560" s="377"/>
      <c r="K6560" s="380"/>
      <c r="L6560" s="378"/>
      <c r="M6560" s="380"/>
      <c r="N6560" s="380"/>
      <c r="O6560" s="380"/>
      <c r="P6560" s="380"/>
      <c r="Q6560" s="380"/>
    </row>
    <row r="6561" spans="1:17" x14ac:dyDescent="0.2">
      <c r="A6561" s="334" t="s">
        <v>1734</v>
      </c>
      <c r="B6561" s="380"/>
      <c r="C6561" s="334" t="s">
        <v>1746</v>
      </c>
      <c r="D6561" s="377">
        <v>200</v>
      </c>
      <c r="E6561" s="380"/>
      <c r="F6561" s="378"/>
      <c r="G6561" s="380"/>
      <c r="H6561" s="380"/>
      <c r="I6561" s="383"/>
      <c r="J6561" s="377"/>
      <c r="K6561" s="380"/>
      <c r="L6561" s="378"/>
      <c r="M6561" s="380"/>
      <c r="N6561" s="380"/>
      <c r="O6561" s="380"/>
      <c r="P6561" s="380"/>
      <c r="Q6561" s="380"/>
    </row>
    <row r="6562" spans="1:17" x14ac:dyDescent="0.2">
      <c r="A6562" s="334" t="s">
        <v>1578</v>
      </c>
      <c r="B6562" s="380"/>
      <c r="C6562" s="334" t="s">
        <v>22</v>
      </c>
      <c r="D6562" s="377"/>
      <c r="E6562" s="380"/>
      <c r="F6562" s="378"/>
      <c r="G6562" s="380"/>
      <c r="H6562" s="380"/>
      <c r="I6562" s="383"/>
      <c r="J6562" s="377"/>
      <c r="K6562" s="380"/>
      <c r="L6562" s="378"/>
      <c r="M6562" s="380"/>
      <c r="N6562" s="380"/>
      <c r="O6562" s="380"/>
      <c r="P6562" s="380"/>
      <c r="Q6562" s="380"/>
    </row>
    <row r="6563" spans="1:17" x14ac:dyDescent="0.2">
      <c r="A6563" s="334" t="s">
        <v>1738</v>
      </c>
      <c r="B6563" s="380"/>
      <c r="C6563" s="334" t="s">
        <v>1591</v>
      </c>
      <c r="D6563" s="377">
        <v>300</v>
      </c>
      <c r="E6563" s="380"/>
      <c r="F6563" s="378"/>
      <c r="G6563" s="380"/>
      <c r="H6563" s="380"/>
      <c r="I6563" s="383"/>
      <c r="J6563" s="377">
        <v>200</v>
      </c>
      <c r="K6563" s="380"/>
      <c r="L6563" s="378"/>
      <c r="M6563" s="380"/>
      <c r="N6563" s="380"/>
      <c r="O6563" s="380"/>
      <c r="P6563" s="380"/>
      <c r="Q6563" s="380"/>
    </row>
    <row r="6564" spans="1:17" x14ac:dyDescent="0.2">
      <c r="A6564" s="334" t="s">
        <v>1727</v>
      </c>
      <c r="B6564" s="380"/>
      <c r="C6564" s="334" t="s">
        <v>307</v>
      </c>
      <c r="D6564" s="377"/>
      <c r="E6564" s="380"/>
      <c r="F6564" s="378"/>
      <c r="G6564" s="380"/>
      <c r="H6564" s="380"/>
      <c r="I6564" s="383"/>
      <c r="J6564" s="377">
        <v>150</v>
      </c>
      <c r="K6564" s="380"/>
      <c r="L6564" s="378"/>
      <c r="M6564" s="380"/>
      <c r="N6564" s="380"/>
      <c r="O6564" s="380"/>
      <c r="P6564" s="380"/>
      <c r="Q6564" s="380"/>
    </row>
    <row r="6565" spans="1:17" x14ac:dyDescent="0.2">
      <c r="A6565" s="334" t="s">
        <v>1728</v>
      </c>
      <c r="B6565" s="380"/>
      <c r="C6565" s="334" t="s">
        <v>310</v>
      </c>
      <c r="D6565" s="377"/>
      <c r="E6565" s="380"/>
      <c r="F6565" s="378"/>
      <c r="G6565" s="380"/>
      <c r="H6565" s="380"/>
      <c r="I6565" s="383"/>
      <c r="J6565" s="377">
        <v>100</v>
      </c>
      <c r="K6565" s="380"/>
      <c r="L6565" s="378"/>
      <c r="M6565" s="380"/>
      <c r="N6565" s="380"/>
      <c r="O6565" s="380"/>
      <c r="P6565" s="380"/>
      <c r="Q6565" s="380"/>
    </row>
    <row r="6566" spans="1:17" x14ac:dyDescent="0.2">
      <c r="A6566" s="334" t="s">
        <v>1729</v>
      </c>
      <c r="B6566" s="380"/>
      <c r="C6566" s="380" t="s">
        <v>1551</v>
      </c>
      <c r="D6566" s="377">
        <f>-2000-5000</f>
        <v>-7000</v>
      </c>
      <c r="E6566" s="380"/>
      <c r="F6566" s="378"/>
      <c r="G6566" s="380"/>
      <c r="H6566" s="380"/>
      <c r="I6566" s="383"/>
      <c r="J6566" s="377"/>
      <c r="K6566" s="380"/>
      <c r="L6566" s="378"/>
      <c r="M6566" s="380"/>
      <c r="N6566" s="380"/>
      <c r="O6566" s="380"/>
      <c r="P6566" s="380"/>
      <c r="Q6566" s="380"/>
    </row>
    <row r="6567" spans="1:17" x14ac:dyDescent="0.2">
      <c r="A6567" s="334" t="s">
        <v>1735</v>
      </c>
      <c r="B6567" s="380"/>
      <c r="C6567" s="380" t="s">
        <v>194</v>
      </c>
      <c r="D6567" s="377"/>
      <c r="E6567" s="380"/>
      <c r="F6567" s="378"/>
      <c r="G6567" s="380"/>
      <c r="H6567" s="380"/>
      <c r="I6567" s="383"/>
      <c r="J6567" s="377">
        <v>400</v>
      </c>
      <c r="K6567" s="380"/>
      <c r="L6567" s="378"/>
      <c r="M6567" s="380"/>
      <c r="N6567" s="380"/>
      <c r="O6567" s="380"/>
      <c r="P6567" s="380"/>
      <c r="Q6567" s="380"/>
    </row>
    <row r="6568" spans="1:17" x14ac:dyDescent="0.2">
      <c r="A6568" s="334" t="s">
        <v>1741</v>
      </c>
      <c r="B6568" s="380"/>
      <c r="C6568" s="334" t="s">
        <v>1748</v>
      </c>
      <c r="D6568" s="377"/>
      <c r="E6568" s="380"/>
      <c r="F6568" s="378"/>
      <c r="G6568" s="380"/>
      <c r="H6568" s="380"/>
      <c r="I6568" s="383"/>
      <c r="J6568" s="377"/>
      <c r="K6568" s="380"/>
      <c r="L6568" s="378"/>
      <c r="M6568" s="380"/>
      <c r="N6568" s="380"/>
      <c r="O6568" s="380"/>
      <c r="P6568" s="380"/>
      <c r="Q6568" s="380"/>
    </row>
    <row r="6569" spans="1:17" x14ac:dyDescent="0.2">
      <c r="A6569" s="334" t="s">
        <v>1742</v>
      </c>
      <c r="B6569" s="380"/>
      <c r="C6569" s="334" t="s">
        <v>1553</v>
      </c>
      <c r="D6569" s="377"/>
      <c r="E6569" s="380"/>
      <c r="F6569" s="378"/>
      <c r="G6569" s="380"/>
      <c r="H6569" s="380"/>
      <c r="I6569" s="383"/>
      <c r="J6569" s="377"/>
      <c r="K6569" s="380"/>
      <c r="L6569" s="378"/>
      <c r="M6569" s="380"/>
      <c r="N6569" s="380"/>
      <c r="O6569" s="380"/>
      <c r="P6569" s="380"/>
      <c r="Q6569" s="380"/>
    </row>
    <row r="6570" spans="1:17" x14ac:dyDescent="0.2">
      <c r="A6570" s="334" t="s">
        <v>1584</v>
      </c>
      <c r="B6570" s="380"/>
      <c r="C6570" s="334" t="s">
        <v>0</v>
      </c>
      <c r="D6570" s="377"/>
      <c r="E6570" s="380"/>
      <c r="F6570" s="378"/>
      <c r="G6570" s="380"/>
      <c r="H6570" s="380"/>
      <c r="I6570" s="383"/>
      <c r="J6570" s="377"/>
      <c r="K6570" s="380"/>
      <c r="L6570" s="378"/>
      <c r="M6570" s="380"/>
      <c r="N6570" s="380"/>
      <c r="O6570" s="380"/>
      <c r="P6570" s="380"/>
      <c r="Q6570" s="380"/>
    </row>
    <row r="6571" spans="1:17" x14ac:dyDescent="0.2">
      <c r="A6571" s="334" t="s">
        <v>1730</v>
      </c>
      <c r="B6571" s="380"/>
      <c r="C6571" s="334" t="s">
        <v>1985</v>
      </c>
      <c r="D6571" s="377">
        <v>2000</v>
      </c>
      <c r="E6571" s="380"/>
      <c r="F6571" s="378"/>
      <c r="G6571" s="380"/>
      <c r="H6571" s="380"/>
      <c r="I6571" s="383"/>
      <c r="J6571" s="377">
        <v>350</v>
      </c>
      <c r="K6571" s="380"/>
      <c r="L6571" s="378"/>
      <c r="M6571" s="380"/>
      <c r="N6571" s="380"/>
      <c r="O6571" s="380"/>
      <c r="P6571" s="380"/>
      <c r="Q6571" s="380"/>
    </row>
    <row r="6572" spans="1:17" x14ac:dyDescent="0.2">
      <c r="A6572" s="334" t="s">
        <v>1566</v>
      </c>
      <c r="B6572" s="380"/>
      <c r="C6572" s="334" t="s">
        <v>366</v>
      </c>
      <c r="D6572" s="377"/>
      <c r="E6572" s="380"/>
      <c r="F6572" s="378"/>
      <c r="G6572" s="380"/>
      <c r="H6572" s="380"/>
      <c r="I6572" s="383"/>
      <c r="J6572" s="377">
        <v>1500</v>
      </c>
      <c r="K6572" s="380"/>
      <c r="L6572" s="378"/>
      <c r="M6572" s="380"/>
      <c r="N6572" s="380"/>
      <c r="O6572" s="380"/>
      <c r="P6572" s="380"/>
      <c r="Q6572" s="380"/>
    </row>
    <row r="6573" spans="1:17" x14ac:dyDescent="0.2">
      <c r="A6573" s="384" t="s">
        <v>1569</v>
      </c>
      <c r="B6573" s="380"/>
      <c r="C6573" s="334" t="s">
        <v>1888</v>
      </c>
      <c r="D6573" s="377"/>
      <c r="E6573" s="380"/>
      <c r="F6573" s="378"/>
      <c r="G6573" s="380"/>
      <c r="H6573" s="380"/>
      <c r="I6573" s="383"/>
      <c r="J6573" s="377">
        <v>1500</v>
      </c>
      <c r="K6573" s="380"/>
      <c r="L6573" s="378"/>
      <c r="M6573" s="380"/>
      <c r="N6573" s="380"/>
      <c r="O6573" s="380"/>
      <c r="P6573" s="380"/>
      <c r="Q6573" s="380"/>
    </row>
    <row r="6574" spans="1:17" x14ac:dyDescent="0.2">
      <c r="A6574" s="334" t="s">
        <v>1903</v>
      </c>
      <c r="B6574" s="380"/>
      <c r="C6574" s="334" t="s">
        <v>35</v>
      </c>
      <c r="D6574" s="377"/>
      <c r="E6574" s="380"/>
      <c r="F6574" s="378"/>
      <c r="G6574" s="380"/>
      <c r="H6574" s="380"/>
      <c r="I6574" s="383"/>
      <c r="J6574" s="377"/>
      <c r="K6574" s="380"/>
      <c r="L6574" s="378"/>
      <c r="M6574" s="380"/>
      <c r="N6574" s="380"/>
      <c r="O6574" s="380"/>
      <c r="P6574" s="380"/>
      <c r="Q6574" s="380"/>
    </row>
    <row r="6575" spans="1:17" x14ac:dyDescent="0.2">
      <c r="A6575" s="334" t="s">
        <v>1962</v>
      </c>
      <c r="B6575" s="380"/>
      <c r="C6575" s="380" t="s">
        <v>572</v>
      </c>
      <c r="D6575" s="377"/>
      <c r="E6575" s="380"/>
      <c r="F6575" s="378"/>
      <c r="G6575" s="380"/>
      <c r="H6575" s="380"/>
      <c r="I6575" s="383"/>
      <c r="J6575" s="377"/>
      <c r="K6575" s="380"/>
      <c r="L6575" s="378"/>
      <c r="M6575" s="380"/>
      <c r="N6575" s="380"/>
      <c r="O6575" s="380"/>
      <c r="P6575" s="380"/>
      <c r="Q6575" s="380"/>
    </row>
    <row r="6576" spans="1:17" x14ac:dyDescent="0.2">
      <c r="A6576" s="334" t="s">
        <v>1567</v>
      </c>
      <c r="B6576" s="380"/>
      <c r="C6576" s="334" t="s">
        <v>3142</v>
      </c>
      <c r="D6576" s="377"/>
      <c r="E6576" s="380"/>
      <c r="F6576" s="378"/>
      <c r="G6576" s="380"/>
      <c r="H6576" s="380"/>
      <c r="I6576" s="383"/>
      <c r="J6576" s="377"/>
      <c r="K6576" s="380"/>
      <c r="L6576" s="378"/>
      <c r="M6576" s="380"/>
      <c r="N6576" s="380"/>
      <c r="O6576" s="380"/>
      <c r="P6576" s="380"/>
      <c r="Q6576" s="380"/>
    </row>
    <row r="6577" spans="1:17" x14ac:dyDescent="0.2">
      <c r="A6577" s="380"/>
      <c r="B6577" s="380"/>
      <c r="C6577" s="380"/>
      <c r="D6577" s="394"/>
      <c r="E6577" s="380"/>
      <c r="F6577" s="378"/>
      <c r="G6577" s="380"/>
      <c r="H6577" s="380"/>
      <c r="I6577" s="383"/>
      <c r="J6577" s="394"/>
      <c r="K6577" s="380"/>
      <c r="L6577" s="378"/>
      <c r="M6577" s="380"/>
      <c r="N6577" s="380"/>
      <c r="O6577" s="380"/>
      <c r="P6577" s="380"/>
      <c r="Q6577" s="380"/>
    </row>
    <row r="6578" spans="1:17" x14ac:dyDescent="0.2">
      <c r="A6578" s="380"/>
      <c r="B6578" s="380"/>
      <c r="C6578" s="380"/>
      <c r="D6578" s="334">
        <f>SUM(D6548:D6576)</f>
        <v>3000</v>
      </c>
      <c r="E6578" s="380"/>
      <c r="F6578" s="378"/>
      <c r="G6578" s="380"/>
      <c r="H6578" s="380"/>
      <c r="I6578" s="383"/>
      <c r="J6578" s="334">
        <f>SUM(J6548:J6576)</f>
        <v>8600</v>
      </c>
      <c r="K6578" s="380"/>
      <c r="L6578" s="378"/>
      <c r="M6578" s="380"/>
      <c r="N6578" s="380"/>
      <c r="O6578" s="380"/>
      <c r="P6578" s="380"/>
      <c r="Q6578" s="380"/>
    </row>
    <row r="6579" spans="1:17" ht="15.75" thickTop="1" x14ac:dyDescent="0.2">
      <c r="A6579" s="380"/>
      <c r="B6579" s="380"/>
      <c r="C6579" s="380"/>
      <c r="D6579" s="395">
        <f>D6578-D6548</f>
        <v>3000</v>
      </c>
      <c r="E6579" s="380"/>
      <c r="F6579" s="378"/>
      <c r="G6579" s="380"/>
      <c r="H6579" s="380"/>
      <c r="I6579" s="383"/>
      <c r="J6579" s="395">
        <f>J6578-J6548</f>
        <v>8600</v>
      </c>
      <c r="K6579" s="380"/>
      <c r="L6579" s="378"/>
      <c r="M6579" s="380"/>
      <c r="N6579" s="380"/>
      <c r="O6579" s="380"/>
      <c r="P6579" s="380"/>
      <c r="Q6579" s="380"/>
    </row>
    <row r="6580" spans="1:17" x14ac:dyDescent="0.2">
      <c r="A6580" s="380"/>
      <c r="B6580" s="380"/>
      <c r="C6580" s="380"/>
      <c r="D6580" s="380"/>
      <c r="E6580" s="380"/>
      <c r="F6580" s="378"/>
      <c r="G6580" s="380"/>
      <c r="H6580" s="380"/>
      <c r="I6580" s="383"/>
      <c r="J6580" s="380"/>
      <c r="K6580" s="380"/>
      <c r="L6580" s="378"/>
      <c r="M6580" s="380"/>
      <c r="N6580" s="380"/>
      <c r="O6580" s="380"/>
      <c r="P6580" s="380"/>
      <c r="Q6580" s="380"/>
    </row>
    <row r="6581" spans="1:17" x14ac:dyDescent="0.2">
      <c r="A6581" s="380"/>
      <c r="B6581" s="380"/>
      <c r="C6581" s="380"/>
      <c r="D6581" s="380"/>
      <c r="E6581" s="380"/>
      <c r="F6581" s="378"/>
      <c r="G6581" s="380"/>
      <c r="H6581" s="380"/>
      <c r="I6581" s="383"/>
      <c r="J6581" s="380"/>
      <c r="K6581" s="380"/>
      <c r="L6581" s="378"/>
      <c r="M6581" s="380"/>
      <c r="N6581" s="380"/>
      <c r="O6581" s="380"/>
      <c r="P6581" s="380"/>
      <c r="Q6581" s="380"/>
    </row>
    <row r="6582" spans="1:17" x14ac:dyDescent="0.2">
      <c r="A6582" s="334" t="s">
        <v>2954</v>
      </c>
      <c r="B6582" s="380"/>
      <c r="C6582" s="380"/>
      <c r="D6582" s="380"/>
      <c r="E6582" s="380"/>
      <c r="F6582" s="378"/>
      <c r="G6582" s="380"/>
      <c r="H6582" s="380"/>
      <c r="I6582" s="383"/>
      <c r="J6582" s="380"/>
      <c r="K6582" s="380"/>
      <c r="L6582" s="378"/>
      <c r="M6582" s="380"/>
      <c r="N6582" s="380"/>
      <c r="O6582" s="380"/>
      <c r="P6582" s="380"/>
      <c r="Q6582" s="380"/>
    </row>
    <row r="6583" spans="1:17" x14ac:dyDescent="0.2">
      <c r="A6583" s="334"/>
      <c r="B6583" s="380"/>
      <c r="C6583" s="334"/>
      <c r="D6583" s="403" t="s">
        <v>3720</v>
      </c>
      <c r="E6583" s="380"/>
      <c r="F6583" s="378"/>
      <c r="G6583" s="380"/>
      <c r="H6583" s="380"/>
      <c r="I6583" s="383"/>
      <c r="J6583" s="380"/>
      <c r="K6583" s="380"/>
      <c r="L6583" s="378"/>
      <c r="M6583" s="380"/>
      <c r="N6583" s="380"/>
      <c r="O6583" s="380"/>
      <c r="P6583" s="380"/>
      <c r="Q6583" s="380"/>
    </row>
    <row r="6584" spans="1:17" x14ac:dyDescent="0.2">
      <c r="A6584" s="380"/>
      <c r="B6584" s="380"/>
      <c r="C6584" s="380"/>
      <c r="D6584" s="334"/>
      <c r="E6584" s="380"/>
      <c r="F6584" s="378"/>
      <c r="G6584" s="380"/>
      <c r="H6584" s="380"/>
      <c r="I6584" s="383"/>
      <c r="J6584" s="380"/>
      <c r="K6584" s="380"/>
      <c r="L6584" s="378"/>
      <c r="M6584" s="380"/>
      <c r="N6584" s="380"/>
      <c r="O6584" s="380"/>
      <c r="P6584" s="380"/>
      <c r="Q6584" s="380"/>
    </row>
    <row r="6585" spans="1:17" x14ac:dyDescent="0.2">
      <c r="A6585" s="334" t="s">
        <v>1574</v>
      </c>
      <c r="B6585" s="380"/>
      <c r="C6585" s="334" t="s">
        <v>1880</v>
      </c>
      <c r="D6585" s="334" t="s">
        <v>181</v>
      </c>
      <c r="E6585" s="380"/>
      <c r="F6585" s="378"/>
      <c r="G6585" s="380"/>
      <c r="H6585" s="380"/>
      <c r="I6585" s="383"/>
      <c r="J6585" s="380"/>
      <c r="K6585" s="380"/>
      <c r="L6585" s="378"/>
      <c r="M6585" s="380"/>
      <c r="N6585" s="380"/>
      <c r="O6585" s="380"/>
      <c r="P6585" s="380"/>
      <c r="Q6585" s="380"/>
    </row>
    <row r="6586" spans="1:17" x14ac:dyDescent="0.2">
      <c r="A6586" s="380"/>
      <c r="B6586" s="380"/>
      <c r="C6586" s="380"/>
      <c r="D6586" s="334" t="s">
        <v>342</v>
      </c>
      <c r="E6586" s="380"/>
      <c r="F6586" s="378"/>
      <c r="G6586" s="380"/>
      <c r="H6586" s="380"/>
      <c r="I6586" s="383"/>
      <c r="J6586" s="380"/>
      <c r="K6586" s="380"/>
      <c r="L6586" s="378"/>
      <c r="M6586" s="380"/>
      <c r="N6586" s="380"/>
      <c r="O6586" s="380"/>
      <c r="P6586" s="380"/>
      <c r="Q6586" s="380"/>
    </row>
    <row r="6587" spans="1:17" x14ac:dyDescent="0.2">
      <c r="A6587" s="334" t="s">
        <v>1724</v>
      </c>
      <c r="B6587" s="380"/>
      <c r="C6587" s="380" t="s">
        <v>1881</v>
      </c>
      <c r="D6587" s="334">
        <v>250</v>
      </c>
      <c r="E6587" s="380"/>
      <c r="F6587" s="378"/>
      <c r="G6587" s="334"/>
      <c r="H6587" s="380"/>
      <c r="I6587" s="383"/>
      <c r="J6587" s="380"/>
      <c r="K6587" s="380"/>
      <c r="L6587" s="378"/>
      <c r="M6587" s="380"/>
      <c r="N6587" s="380"/>
      <c r="O6587" s="380"/>
      <c r="P6587" s="380"/>
      <c r="Q6587" s="380"/>
    </row>
    <row r="6588" spans="1:17" x14ac:dyDescent="0.2">
      <c r="A6588" s="384" t="s">
        <v>1744</v>
      </c>
      <c r="B6588" s="380"/>
      <c r="C6588" s="334" t="s">
        <v>1254</v>
      </c>
      <c r="D6588" s="334"/>
      <c r="E6588" s="380"/>
      <c r="F6588" s="378"/>
      <c r="G6588" s="334"/>
      <c r="H6588" s="380"/>
      <c r="I6588" s="383"/>
      <c r="J6588" s="380"/>
      <c r="K6588" s="380"/>
      <c r="L6588" s="378"/>
      <c r="M6588" s="380"/>
      <c r="N6588" s="380"/>
      <c r="O6588" s="380"/>
      <c r="P6588" s="380"/>
      <c r="Q6588" s="380"/>
    </row>
    <row r="6589" spans="1:17" x14ac:dyDescent="0.2">
      <c r="A6589" s="384" t="s">
        <v>1582</v>
      </c>
      <c r="B6589" s="380"/>
      <c r="C6589" s="334" t="s">
        <v>3135</v>
      </c>
      <c r="D6589" s="334"/>
      <c r="E6589" s="380"/>
      <c r="F6589" s="378"/>
      <c r="G6589" s="334"/>
      <c r="H6589" s="380"/>
      <c r="I6589" s="383"/>
      <c r="J6589" s="380"/>
      <c r="K6589" s="380"/>
      <c r="L6589" s="378"/>
      <c r="M6589" s="380"/>
      <c r="N6589" s="380"/>
      <c r="O6589" s="380"/>
      <c r="P6589" s="380"/>
      <c r="Q6589" s="380"/>
    </row>
    <row r="6590" spans="1:17" x14ac:dyDescent="0.2">
      <c r="A6590" s="334" t="s">
        <v>1725</v>
      </c>
      <c r="B6590" s="380"/>
      <c r="C6590" s="334" t="s">
        <v>1890</v>
      </c>
      <c r="D6590" s="334">
        <v>100</v>
      </c>
      <c r="E6590" s="380"/>
      <c r="F6590" s="378"/>
      <c r="G6590" s="334"/>
      <c r="H6590" s="380"/>
      <c r="I6590" s="383"/>
      <c r="J6590" s="380"/>
      <c r="K6590" s="380"/>
      <c r="L6590" s="378"/>
      <c r="M6590" s="380"/>
      <c r="N6590" s="380"/>
      <c r="O6590" s="380"/>
      <c r="P6590" s="380"/>
      <c r="Q6590" s="380"/>
    </row>
    <row r="6591" spans="1:17" x14ac:dyDescent="0.2">
      <c r="A6591" s="334" t="s">
        <v>1737</v>
      </c>
      <c r="B6591" s="380"/>
      <c r="C6591" s="334" t="s">
        <v>1984</v>
      </c>
      <c r="D6591" s="334">
        <v>650</v>
      </c>
      <c r="E6591" s="380"/>
      <c r="F6591" s="378"/>
      <c r="G6591" s="334"/>
      <c r="H6591" s="380"/>
      <c r="I6591" s="383"/>
      <c r="J6591" s="380"/>
      <c r="K6591" s="380"/>
      <c r="L6591" s="378"/>
      <c r="M6591" s="380"/>
      <c r="N6591" s="380"/>
      <c r="O6591" s="380"/>
      <c r="P6591" s="380"/>
      <c r="Q6591" s="380"/>
    </row>
    <row r="6592" spans="1:17" x14ac:dyDescent="0.2">
      <c r="A6592" s="384" t="s">
        <v>1578</v>
      </c>
      <c r="B6592" s="380"/>
      <c r="C6592" s="334" t="s">
        <v>22</v>
      </c>
      <c r="D6592" s="334"/>
      <c r="E6592" s="380"/>
      <c r="F6592" s="378"/>
      <c r="G6592" s="380"/>
      <c r="H6592" s="380"/>
      <c r="I6592" s="383"/>
      <c r="J6592" s="380"/>
      <c r="K6592" s="380"/>
      <c r="L6592" s="378"/>
      <c r="M6592" s="380"/>
      <c r="N6592" s="380"/>
      <c r="O6592" s="380"/>
      <c r="P6592" s="380"/>
      <c r="Q6592" s="380"/>
    </row>
    <row r="6593" spans="1:17" x14ac:dyDescent="0.2">
      <c r="A6593" s="334" t="s">
        <v>1738</v>
      </c>
      <c r="B6593" s="380"/>
      <c r="C6593" s="334" t="s">
        <v>1591</v>
      </c>
      <c r="D6593" s="334"/>
      <c r="E6593" s="380"/>
      <c r="F6593" s="378"/>
      <c r="G6593" s="380"/>
      <c r="H6593" s="380"/>
      <c r="I6593" s="383"/>
      <c r="J6593" s="380"/>
      <c r="K6593" s="380"/>
      <c r="L6593" s="378"/>
      <c r="M6593" s="380"/>
      <c r="N6593" s="380"/>
      <c r="O6593" s="380"/>
      <c r="P6593" s="380"/>
      <c r="Q6593" s="380"/>
    </row>
    <row r="6594" spans="1:17" x14ac:dyDescent="0.2">
      <c r="A6594" s="334" t="s">
        <v>1727</v>
      </c>
      <c r="B6594" s="380"/>
      <c r="C6594" s="334" t="s">
        <v>307</v>
      </c>
      <c r="D6594" s="334"/>
      <c r="E6594" s="380"/>
      <c r="F6594" s="378"/>
      <c r="G6594" s="380"/>
      <c r="H6594" s="380"/>
      <c r="I6594" s="383"/>
      <c r="J6594" s="380"/>
      <c r="K6594" s="380"/>
      <c r="L6594" s="378"/>
      <c r="M6594" s="380"/>
      <c r="N6594" s="380"/>
      <c r="O6594" s="380"/>
      <c r="P6594" s="380"/>
      <c r="Q6594" s="380"/>
    </row>
    <row r="6595" spans="1:17" x14ac:dyDescent="0.2">
      <c r="A6595" s="334" t="s">
        <v>1728</v>
      </c>
      <c r="B6595" s="380"/>
      <c r="C6595" s="334" t="s">
        <v>310</v>
      </c>
      <c r="D6595" s="334"/>
      <c r="E6595" s="380"/>
      <c r="F6595" s="378"/>
      <c r="G6595" s="380"/>
      <c r="H6595" s="380"/>
      <c r="I6595" s="383"/>
      <c r="J6595" s="380"/>
      <c r="K6595" s="380"/>
      <c r="L6595" s="378"/>
      <c r="M6595" s="380"/>
      <c r="N6595" s="380"/>
      <c r="O6595" s="380"/>
      <c r="P6595" s="380"/>
      <c r="Q6595" s="380"/>
    </row>
    <row r="6596" spans="1:17" x14ac:dyDescent="0.2">
      <c r="A6596" s="384" t="s">
        <v>1729</v>
      </c>
      <c r="B6596" s="380"/>
      <c r="C6596" s="380" t="s">
        <v>1551</v>
      </c>
      <c r="D6596" s="334"/>
      <c r="E6596" s="380"/>
      <c r="F6596" s="378"/>
      <c r="G6596" s="380"/>
      <c r="H6596" s="380"/>
      <c r="I6596" s="383"/>
      <c r="J6596" s="380"/>
      <c r="K6596" s="380"/>
      <c r="L6596" s="378"/>
      <c r="M6596" s="380"/>
      <c r="N6596" s="380"/>
      <c r="O6596" s="380"/>
      <c r="P6596" s="380"/>
      <c r="Q6596" s="380"/>
    </row>
    <row r="6597" spans="1:17" x14ac:dyDescent="0.2">
      <c r="A6597" s="384" t="s">
        <v>1735</v>
      </c>
      <c r="B6597" s="380"/>
      <c r="C6597" s="380" t="s">
        <v>194</v>
      </c>
      <c r="D6597" s="334"/>
      <c r="E6597" s="380"/>
      <c r="F6597" s="378"/>
      <c r="G6597" s="380"/>
      <c r="H6597" s="380"/>
      <c r="I6597" s="383"/>
      <c r="J6597" s="380"/>
      <c r="K6597" s="380"/>
      <c r="L6597" s="378"/>
      <c r="M6597" s="380"/>
      <c r="N6597" s="380"/>
      <c r="O6597" s="380"/>
      <c r="P6597" s="380"/>
      <c r="Q6597" s="380"/>
    </row>
    <row r="6598" spans="1:17" x14ac:dyDescent="0.2">
      <c r="A6598" s="384" t="s">
        <v>1741</v>
      </c>
      <c r="B6598" s="380"/>
      <c r="C6598" s="334" t="s">
        <v>1748</v>
      </c>
      <c r="D6598" s="334"/>
      <c r="E6598" s="380"/>
      <c r="F6598" s="378"/>
      <c r="G6598" s="380"/>
      <c r="H6598" s="380"/>
      <c r="I6598" s="383"/>
      <c r="J6598" s="380"/>
      <c r="K6598" s="380"/>
      <c r="L6598" s="378"/>
      <c r="M6598" s="380"/>
      <c r="N6598" s="380"/>
      <c r="O6598" s="380"/>
      <c r="P6598" s="380"/>
      <c r="Q6598" s="380"/>
    </row>
    <row r="6599" spans="1:17" x14ac:dyDescent="0.2">
      <c r="A6599" s="334" t="s">
        <v>1730</v>
      </c>
      <c r="B6599" s="380"/>
      <c r="C6599" s="334" t="s">
        <v>1985</v>
      </c>
      <c r="D6599" s="334">
        <v>4000</v>
      </c>
      <c r="E6599" s="380"/>
      <c r="F6599" s="378"/>
      <c r="G6599" s="380"/>
      <c r="H6599" s="380"/>
      <c r="I6599" s="383"/>
      <c r="J6599" s="380"/>
      <c r="K6599" s="380"/>
      <c r="L6599" s="378"/>
      <c r="M6599" s="380"/>
      <c r="N6599" s="380"/>
      <c r="O6599" s="380"/>
      <c r="P6599" s="380"/>
      <c r="Q6599" s="380"/>
    </row>
    <row r="6600" spans="1:17" x14ac:dyDescent="0.2">
      <c r="A6600" s="384" t="s">
        <v>1566</v>
      </c>
      <c r="B6600" s="380"/>
      <c r="C6600" s="334" t="s">
        <v>366</v>
      </c>
      <c r="D6600" s="334"/>
      <c r="E6600" s="380"/>
      <c r="F6600" s="378"/>
      <c r="G6600" s="380"/>
      <c r="H6600" s="380"/>
      <c r="I6600" s="383"/>
      <c r="J6600" s="380"/>
      <c r="K6600" s="380"/>
      <c r="L6600" s="378"/>
      <c r="M6600" s="380"/>
      <c r="N6600" s="380"/>
      <c r="O6600" s="380"/>
      <c r="P6600" s="380"/>
      <c r="Q6600" s="380"/>
    </row>
    <row r="6601" spans="1:17" x14ac:dyDescent="0.2">
      <c r="A6601" s="380"/>
      <c r="B6601" s="380"/>
      <c r="C6601" s="380"/>
      <c r="D6601" s="410" t="s">
        <v>342</v>
      </c>
      <c r="E6601" s="380"/>
      <c r="F6601" s="378"/>
      <c r="G6601" s="380"/>
      <c r="H6601" s="380"/>
      <c r="I6601" s="383"/>
      <c r="J6601" s="380"/>
      <c r="K6601" s="380"/>
      <c r="L6601" s="378"/>
      <c r="M6601" s="380"/>
      <c r="N6601" s="380"/>
      <c r="O6601" s="380"/>
      <c r="P6601" s="380"/>
      <c r="Q6601" s="380"/>
    </row>
    <row r="6602" spans="1:17" x14ac:dyDescent="0.2">
      <c r="A6602" s="380"/>
      <c r="B6602" s="380"/>
      <c r="C6602" s="380"/>
      <c r="D6602" s="334">
        <f>SUM(D6587:D6600)</f>
        <v>5000</v>
      </c>
      <c r="E6602" s="380"/>
      <c r="F6602" s="378"/>
      <c r="G6602" s="380"/>
      <c r="H6602" s="380"/>
      <c r="I6602" s="383"/>
      <c r="J6602" s="380"/>
      <c r="K6602" s="380"/>
      <c r="L6602" s="378"/>
      <c r="M6602" s="380"/>
      <c r="N6602" s="380"/>
      <c r="O6602" s="380"/>
      <c r="P6602" s="380"/>
      <c r="Q6602" s="380"/>
    </row>
    <row r="6603" spans="1:17" ht="15.75" thickTop="1" x14ac:dyDescent="0.2">
      <c r="A6603" s="380"/>
      <c r="B6603" s="380"/>
      <c r="C6603" s="380"/>
      <c r="D6603" s="395"/>
      <c r="E6603" s="380"/>
      <c r="F6603" s="378"/>
      <c r="G6603" s="380"/>
      <c r="H6603" s="380"/>
      <c r="I6603" s="383"/>
      <c r="J6603" s="380"/>
      <c r="K6603" s="380"/>
      <c r="L6603" s="378"/>
      <c r="M6603" s="380"/>
      <c r="N6603" s="380"/>
      <c r="O6603" s="380"/>
      <c r="P6603" s="380"/>
      <c r="Q6603" s="380"/>
    </row>
    <row r="6604" spans="1:17" x14ac:dyDescent="0.2">
      <c r="A6604" s="380"/>
      <c r="B6604" s="380"/>
      <c r="C6604" s="380"/>
      <c r="D6604" s="380"/>
      <c r="E6604" s="380"/>
      <c r="F6604" s="378"/>
      <c r="G6604" s="380"/>
      <c r="H6604" s="380"/>
      <c r="I6604" s="383"/>
      <c r="J6604" s="380"/>
      <c r="K6604" s="380"/>
      <c r="L6604" s="378"/>
      <c r="M6604" s="380"/>
      <c r="N6604" s="380"/>
      <c r="O6604" s="380"/>
      <c r="P6604" s="380"/>
      <c r="Q6604" s="380"/>
    </row>
    <row r="6605" spans="1:17" x14ac:dyDescent="0.2">
      <c r="A6605" s="380"/>
      <c r="B6605" s="380"/>
      <c r="C6605" s="380"/>
      <c r="D6605" s="380"/>
      <c r="E6605" s="334"/>
      <c r="F6605" s="412"/>
      <c r="G6605" s="334"/>
      <c r="H6605" s="380"/>
      <c r="I6605" s="383"/>
      <c r="J6605" s="380"/>
      <c r="K6605" s="334"/>
      <c r="L6605" s="412"/>
      <c r="M6605" s="334"/>
      <c r="N6605" s="380"/>
      <c r="O6605" s="380"/>
      <c r="P6605" s="380"/>
      <c r="Q6605" s="380"/>
    </row>
    <row r="6606" spans="1:17" x14ac:dyDescent="0.2">
      <c r="A6606" s="334" t="s">
        <v>1059</v>
      </c>
      <c r="B6606" s="380"/>
      <c r="C6606" s="380"/>
      <c r="D6606" s="334"/>
      <c r="E6606" s="403"/>
      <c r="F6606" s="421"/>
      <c r="G6606" s="384"/>
      <c r="H6606" s="391"/>
      <c r="I6606" s="383"/>
      <c r="J6606" s="334"/>
      <c r="K6606" s="403"/>
      <c r="L6606" s="421"/>
      <c r="M6606" s="384"/>
      <c r="N6606" s="391"/>
      <c r="O6606" s="380"/>
      <c r="P6606" s="380"/>
      <c r="Q6606" s="380"/>
    </row>
    <row r="6607" spans="1:17" x14ac:dyDescent="0.2">
      <c r="A6607" s="334" t="s">
        <v>342</v>
      </c>
      <c r="B6607" s="380"/>
      <c r="C6607" s="384" t="s">
        <v>3719</v>
      </c>
      <c r="D6607" s="486"/>
      <c r="E6607" s="334"/>
      <c r="F6607" s="412"/>
      <c r="G6607" s="334"/>
      <c r="H6607" s="392"/>
      <c r="I6607" s="383"/>
      <c r="J6607" s="486"/>
      <c r="K6607" s="334"/>
      <c r="L6607" s="412"/>
      <c r="M6607" s="334"/>
      <c r="N6607" s="392"/>
      <c r="O6607" s="380"/>
      <c r="P6607" s="380"/>
      <c r="Q6607" s="380"/>
    </row>
    <row r="6608" spans="1:17" x14ac:dyDescent="0.2">
      <c r="A6608" s="334" t="s">
        <v>342</v>
      </c>
      <c r="B6608" s="380"/>
      <c r="C6608" s="334" t="s">
        <v>342</v>
      </c>
      <c r="D6608" s="334"/>
      <c r="E6608" s="334"/>
      <c r="F6608" s="412"/>
      <c r="G6608" s="334"/>
      <c r="H6608" s="334"/>
      <c r="I6608" s="383"/>
      <c r="J6608" s="334"/>
      <c r="K6608" s="334"/>
      <c r="L6608" s="412"/>
      <c r="M6608" s="334"/>
      <c r="N6608" s="334"/>
      <c r="O6608" s="380"/>
      <c r="P6608" s="380"/>
      <c r="Q6608" s="380"/>
    </row>
    <row r="6609" spans="1:17" x14ac:dyDescent="0.2">
      <c r="A6609" s="334" t="s">
        <v>1723</v>
      </c>
      <c r="B6609" s="380"/>
      <c r="C6609" s="334" t="s">
        <v>1880</v>
      </c>
      <c r="D6609" s="334" t="s">
        <v>181</v>
      </c>
      <c r="E6609" s="380"/>
      <c r="F6609" s="378"/>
      <c r="G6609" s="380"/>
      <c r="H6609" s="380"/>
      <c r="I6609" s="383"/>
      <c r="J6609" s="334" t="s">
        <v>181</v>
      </c>
      <c r="K6609" s="380"/>
      <c r="L6609" s="378"/>
      <c r="M6609" s="380"/>
      <c r="N6609" s="380"/>
      <c r="O6609" s="380"/>
      <c r="P6609" s="380"/>
      <c r="Q6609" s="380"/>
    </row>
    <row r="6610" spans="1:17" x14ac:dyDescent="0.2">
      <c r="A6610" s="380"/>
      <c r="B6610" s="380"/>
      <c r="C6610" s="380"/>
      <c r="D6610" s="380"/>
      <c r="E6610" s="377"/>
      <c r="F6610" s="378"/>
      <c r="G6610" s="377"/>
      <c r="H6610" s="377"/>
      <c r="I6610" s="383"/>
      <c r="J6610" s="380"/>
      <c r="K6610" s="377"/>
      <c r="L6610" s="378"/>
      <c r="M6610" s="377"/>
      <c r="N6610" s="377"/>
      <c r="O6610" s="380"/>
      <c r="P6610" s="380"/>
      <c r="Q6610" s="380"/>
    </row>
    <row r="6611" spans="1:17" x14ac:dyDescent="0.2">
      <c r="A6611" s="334" t="s">
        <v>1568</v>
      </c>
      <c r="B6611" s="380"/>
      <c r="C6611" s="380" t="s">
        <v>1817</v>
      </c>
      <c r="D6611" s="377"/>
      <c r="E6611" s="377"/>
      <c r="F6611" s="378"/>
      <c r="G6611" s="377"/>
      <c r="H6611" s="377"/>
      <c r="I6611" s="383"/>
      <c r="J6611" s="377"/>
      <c r="K6611" s="377"/>
      <c r="L6611" s="378"/>
      <c r="M6611" s="377"/>
      <c r="N6611" s="377"/>
      <c r="O6611" s="380"/>
      <c r="P6611" s="380"/>
      <c r="Q6611" s="380"/>
    </row>
    <row r="6612" spans="1:17" x14ac:dyDescent="0.2">
      <c r="A6612" s="334" t="s">
        <v>1724</v>
      </c>
      <c r="B6612" s="380"/>
      <c r="C6612" s="334" t="s">
        <v>1881</v>
      </c>
      <c r="D6612" s="377">
        <v>350</v>
      </c>
      <c r="E6612" s="377"/>
      <c r="F6612" s="378"/>
      <c r="G6612" s="377"/>
      <c r="H6612" s="377"/>
      <c r="I6612" s="383"/>
      <c r="J6612" s="377">
        <v>350</v>
      </c>
      <c r="K6612" s="377"/>
      <c r="L6612" s="378"/>
      <c r="M6612" s="377"/>
      <c r="N6612" s="377"/>
      <c r="O6612" s="380"/>
      <c r="P6612" s="380"/>
      <c r="Q6612" s="380"/>
    </row>
    <row r="6613" spans="1:17" x14ac:dyDescent="0.2">
      <c r="A6613" s="334" t="s">
        <v>1961</v>
      </c>
      <c r="B6613" s="380"/>
      <c r="C6613" s="334" t="s">
        <v>9</v>
      </c>
      <c r="D6613" s="377"/>
      <c r="E6613" s="377"/>
      <c r="F6613" s="378"/>
      <c r="G6613" s="377"/>
      <c r="H6613" s="377"/>
      <c r="I6613" s="383"/>
      <c r="J6613" s="377"/>
      <c r="K6613" s="377"/>
      <c r="L6613" s="378"/>
      <c r="M6613" s="377"/>
      <c r="N6613" s="377"/>
      <c r="O6613" s="380"/>
      <c r="P6613" s="380"/>
      <c r="Q6613" s="380"/>
    </row>
    <row r="6614" spans="1:17" x14ac:dyDescent="0.2">
      <c r="A6614" s="334" t="s">
        <v>1736</v>
      </c>
      <c r="B6614" s="380"/>
      <c r="C6614" s="334" t="s">
        <v>1747</v>
      </c>
      <c r="D6614" s="377"/>
      <c r="E6614" s="377"/>
      <c r="F6614" s="378"/>
      <c r="G6614" s="377"/>
      <c r="H6614" s="377"/>
      <c r="I6614" s="383"/>
      <c r="J6614" s="377"/>
      <c r="K6614" s="377"/>
      <c r="L6614" s="378"/>
      <c r="M6614" s="377"/>
      <c r="N6614" s="377"/>
      <c r="O6614" s="380"/>
      <c r="P6614" s="380"/>
      <c r="Q6614" s="380"/>
    </row>
    <row r="6615" spans="1:17" x14ac:dyDescent="0.2">
      <c r="A6615" s="334" t="s">
        <v>1744</v>
      </c>
      <c r="B6615" s="380"/>
      <c r="C6615" s="334" t="s">
        <v>1254</v>
      </c>
      <c r="D6615" s="377"/>
      <c r="E6615" s="377"/>
      <c r="F6615" s="378"/>
      <c r="G6615" s="377"/>
      <c r="H6615" s="377"/>
      <c r="I6615" s="383"/>
      <c r="J6615" s="377"/>
      <c r="K6615" s="377"/>
      <c r="L6615" s="378"/>
      <c r="M6615" s="377"/>
      <c r="N6615" s="377"/>
      <c r="O6615" s="380"/>
      <c r="P6615" s="380"/>
      <c r="Q6615" s="380"/>
    </row>
    <row r="6616" spans="1:17" x14ac:dyDescent="0.2">
      <c r="A6616" s="334" t="s">
        <v>1582</v>
      </c>
      <c r="B6616" s="380"/>
      <c r="C6616" s="334" t="s">
        <v>3135</v>
      </c>
      <c r="D6616" s="377">
        <v>200</v>
      </c>
      <c r="E6616" s="377"/>
      <c r="F6616" s="378"/>
      <c r="G6616" s="377"/>
      <c r="H6616" s="377"/>
      <c r="I6616" s="383"/>
      <c r="J6616" s="377">
        <v>200</v>
      </c>
      <c r="K6616" s="377"/>
      <c r="L6616" s="378"/>
      <c r="M6616" s="377"/>
      <c r="N6616" s="377"/>
      <c r="O6616" s="380"/>
      <c r="P6616" s="380"/>
      <c r="Q6616" s="380"/>
    </row>
    <row r="6617" spans="1:17" x14ac:dyDescent="0.2">
      <c r="A6617" s="334" t="s">
        <v>1745</v>
      </c>
      <c r="B6617" s="380"/>
      <c r="C6617" s="334" t="s">
        <v>1887</v>
      </c>
      <c r="D6617" s="377"/>
      <c r="E6617" s="377"/>
      <c r="F6617" s="378"/>
      <c r="G6617" s="377"/>
      <c r="H6617" s="377"/>
      <c r="I6617" s="383"/>
      <c r="J6617" s="377"/>
      <c r="K6617" s="377"/>
      <c r="L6617" s="378"/>
      <c r="M6617" s="377"/>
      <c r="N6617" s="377"/>
      <c r="O6617" s="380"/>
      <c r="P6617" s="380"/>
      <c r="Q6617" s="380"/>
    </row>
    <row r="6618" spans="1:17" x14ac:dyDescent="0.2">
      <c r="A6618" s="334" t="s">
        <v>1906</v>
      </c>
      <c r="B6618" s="380"/>
      <c r="C6618" s="334" t="s">
        <v>39</v>
      </c>
      <c r="D6618" s="377"/>
      <c r="E6618" s="377"/>
      <c r="F6618" s="378"/>
      <c r="G6618" s="377"/>
      <c r="H6618" s="377"/>
      <c r="I6618" s="383"/>
      <c r="J6618" s="377"/>
      <c r="K6618" s="377"/>
      <c r="L6618" s="378"/>
      <c r="M6618" s="377"/>
      <c r="N6618" s="377"/>
      <c r="O6618" s="380"/>
      <c r="P6618" s="380"/>
      <c r="Q6618" s="380"/>
    </row>
    <row r="6619" spans="1:17" x14ac:dyDescent="0.2">
      <c r="A6619" s="334" t="s">
        <v>1576</v>
      </c>
      <c r="B6619" s="380"/>
      <c r="C6619" s="334" t="s">
        <v>1590</v>
      </c>
      <c r="D6619" s="377"/>
      <c r="E6619" s="377"/>
      <c r="F6619" s="378"/>
      <c r="G6619" s="377"/>
      <c r="H6619" s="377"/>
      <c r="I6619" s="383"/>
      <c r="J6619" s="377"/>
      <c r="K6619" s="377"/>
      <c r="L6619" s="378"/>
      <c r="M6619" s="377"/>
      <c r="N6619" s="377"/>
      <c r="O6619" s="380"/>
      <c r="P6619" s="380"/>
      <c r="Q6619" s="380"/>
    </row>
    <row r="6620" spans="1:17" x14ac:dyDescent="0.2">
      <c r="A6620" s="334" t="s">
        <v>1737</v>
      </c>
      <c r="B6620" s="380"/>
      <c r="C6620" s="334" t="s">
        <v>1984</v>
      </c>
      <c r="D6620" s="377">
        <v>50</v>
      </c>
      <c r="E6620" s="377"/>
      <c r="F6620" s="378"/>
      <c r="G6620" s="377"/>
      <c r="H6620" s="377"/>
      <c r="I6620" s="383"/>
      <c r="J6620" s="377"/>
      <c r="K6620" s="377"/>
      <c r="L6620" s="378"/>
      <c r="M6620" s="377"/>
      <c r="N6620" s="377"/>
      <c r="O6620" s="380"/>
      <c r="P6620" s="380"/>
      <c r="Q6620" s="380"/>
    </row>
    <row r="6621" spans="1:17" x14ac:dyDescent="0.2">
      <c r="A6621" s="384" t="s">
        <v>1726</v>
      </c>
      <c r="B6621" s="380"/>
      <c r="C6621" s="334" t="s">
        <v>1117</v>
      </c>
      <c r="D6621" s="377"/>
      <c r="E6621" s="377"/>
      <c r="F6621" s="378"/>
      <c r="G6621" s="377"/>
      <c r="H6621" s="377"/>
      <c r="I6621" s="383"/>
      <c r="J6621" s="377"/>
      <c r="K6621" s="377"/>
      <c r="L6621" s="378"/>
      <c r="M6621" s="377"/>
      <c r="N6621" s="377"/>
      <c r="O6621" s="380"/>
      <c r="P6621" s="380"/>
      <c r="Q6621" s="380"/>
    </row>
    <row r="6622" spans="1:17" x14ac:dyDescent="0.2">
      <c r="A6622" s="384" t="s">
        <v>1751</v>
      </c>
      <c r="B6622" s="380"/>
      <c r="C6622" s="334" t="s">
        <v>3138</v>
      </c>
      <c r="D6622" s="377"/>
      <c r="E6622" s="377"/>
      <c r="F6622" s="378"/>
      <c r="G6622" s="377"/>
      <c r="H6622" s="377"/>
      <c r="I6622" s="383"/>
      <c r="J6622" s="377"/>
      <c r="K6622" s="377"/>
      <c r="L6622" s="378"/>
      <c r="M6622" s="377"/>
      <c r="N6622" s="377"/>
      <c r="O6622" s="380"/>
      <c r="P6622" s="380"/>
      <c r="Q6622" s="380"/>
    </row>
    <row r="6623" spans="1:17" x14ac:dyDescent="0.2">
      <c r="A6623" s="334" t="s">
        <v>1752</v>
      </c>
      <c r="B6623" s="380"/>
      <c r="C6623" s="334" t="s">
        <v>367</v>
      </c>
      <c r="D6623" s="377"/>
      <c r="E6623" s="377"/>
      <c r="F6623" s="378"/>
      <c r="G6623" s="377"/>
      <c r="H6623" s="377"/>
      <c r="I6623" s="383"/>
      <c r="J6623" s="377"/>
      <c r="K6623" s="377"/>
      <c r="L6623" s="378"/>
      <c r="M6623" s="377"/>
      <c r="N6623" s="377"/>
      <c r="O6623" s="380"/>
      <c r="P6623" s="380"/>
      <c r="Q6623" s="380"/>
    </row>
    <row r="6624" spans="1:17" x14ac:dyDescent="0.2">
      <c r="A6624" s="334" t="s">
        <v>1734</v>
      </c>
      <c r="B6624" s="380"/>
      <c r="C6624" s="334" t="s">
        <v>1746</v>
      </c>
      <c r="D6624" s="377"/>
      <c r="E6624" s="377"/>
      <c r="F6624" s="378"/>
      <c r="G6624" s="377"/>
      <c r="H6624" s="377"/>
      <c r="I6624" s="383"/>
      <c r="J6624" s="377"/>
      <c r="K6624" s="377"/>
      <c r="L6624" s="378"/>
      <c r="M6624" s="377"/>
      <c r="N6624" s="377"/>
      <c r="O6624" s="380"/>
      <c r="P6624" s="380"/>
      <c r="Q6624" s="380"/>
    </row>
    <row r="6625" spans="1:17" x14ac:dyDescent="0.2">
      <c r="A6625" s="334" t="s">
        <v>1578</v>
      </c>
      <c r="B6625" s="380"/>
      <c r="C6625" s="334" t="s">
        <v>22</v>
      </c>
      <c r="D6625" s="377"/>
      <c r="E6625" s="377"/>
      <c r="F6625" s="378"/>
      <c r="G6625" s="377"/>
      <c r="H6625" s="377"/>
      <c r="I6625" s="383"/>
      <c r="J6625" s="377"/>
      <c r="K6625" s="377"/>
      <c r="L6625" s="378"/>
      <c r="M6625" s="377"/>
      <c r="N6625" s="377"/>
      <c r="O6625" s="380"/>
      <c r="P6625" s="380"/>
      <c r="Q6625" s="380"/>
    </row>
    <row r="6626" spans="1:17" x14ac:dyDescent="0.2">
      <c r="A6626" s="334" t="s">
        <v>1738</v>
      </c>
      <c r="B6626" s="380"/>
      <c r="C6626" s="334" t="s">
        <v>1591</v>
      </c>
      <c r="D6626" s="377">
        <v>100</v>
      </c>
      <c r="E6626" s="377"/>
      <c r="F6626" s="378"/>
      <c r="G6626" s="377"/>
      <c r="H6626" s="377"/>
      <c r="I6626" s="383"/>
      <c r="J6626" s="377">
        <v>100</v>
      </c>
      <c r="K6626" s="377"/>
      <c r="L6626" s="378"/>
      <c r="M6626" s="377"/>
      <c r="N6626" s="377"/>
      <c r="O6626" s="380"/>
      <c r="P6626" s="380"/>
      <c r="Q6626" s="380"/>
    </row>
    <row r="6627" spans="1:17" x14ac:dyDescent="0.2">
      <c r="A6627" s="334" t="s">
        <v>1727</v>
      </c>
      <c r="B6627" s="380"/>
      <c r="C6627" s="334" t="s">
        <v>307</v>
      </c>
      <c r="D6627" s="377">
        <v>100</v>
      </c>
      <c r="E6627" s="377"/>
      <c r="F6627" s="378"/>
      <c r="G6627" s="377"/>
      <c r="H6627" s="377"/>
      <c r="I6627" s="383"/>
      <c r="J6627" s="377">
        <v>100</v>
      </c>
      <c r="K6627" s="377"/>
      <c r="L6627" s="378"/>
      <c r="M6627" s="377"/>
      <c r="N6627" s="377"/>
      <c r="O6627" s="380"/>
      <c r="P6627" s="380"/>
      <c r="Q6627" s="380"/>
    </row>
    <row r="6628" spans="1:17" x14ac:dyDescent="0.2">
      <c r="A6628" s="334" t="s">
        <v>1728</v>
      </c>
      <c r="B6628" s="380"/>
      <c r="C6628" s="334" t="s">
        <v>310</v>
      </c>
      <c r="D6628" s="377">
        <v>350</v>
      </c>
      <c r="E6628" s="377"/>
      <c r="F6628" s="378"/>
      <c r="G6628" s="377"/>
      <c r="H6628" s="377"/>
      <c r="I6628" s="383"/>
      <c r="J6628" s="377">
        <v>350</v>
      </c>
      <c r="K6628" s="377"/>
      <c r="L6628" s="378"/>
      <c r="M6628" s="377"/>
      <c r="N6628" s="377"/>
      <c r="O6628" s="380"/>
      <c r="P6628" s="380"/>
      <c r="Q6628" s="380"/>
    </row>
    <row r="6629" spans="1:17" x14ac:dyDescent="0.2">
      <c r="A6629" s="334" t="s">
        <v>1729</v>
      </c>
      <c r="B6629" s="380"/>
      <c r="C6629" s="380" t="s">
        <v>1551</v>
      </c>
      <c r="D6629" s="377">
        <v>-155.56</v>
      </c>
      <c r="E6629" s="377"/>
      <c r="F6629" s="378"/>
      <c r="G6629" s="377"/>
      <c r="H6629" s="377"/>
      <c r="I6629" s="383"/>
      <c r="J6629" s="377"/>
      <c r="K6629" s="377"/>
      <c r="L6629" s="378"/>
      <c r="M6629" s="377"/>
      <c r="N6629" s="377"/>
      <c r="O6629" s="380"/>
      <c r="P6629" s="380"/>
      <c r="Q6629" s="380"/>
    </row>
    <row r="6630" spans="1:17" x14ac:dyDescent="0.2">
      <c r="A6630" s="334" t="s">
        <v>1735</v>
      </c>
      <c r="B6630" s="380"/>
      <c r="C6630" s="380" t="s">
        <v>194</v>
      </c>
      <c r="D6630" s="377"/>
      <c r="E6630" s="377"/>
      <c r="F6630" s="378"/>
      <c r="G6630" s="377"/>
      <c r="H6630" s="377"/>
      <c r="I6630" s="383"/>
      <c r="J6630" s="377"/>
      <c r="K6630" s="377"/>
      <c r="L6630" s="378"/>
      <c r="M6630" s="377"/>
      <c r="N6630" s="377"/>
      <c r="O6630" s="380"/>
      <c r="P6630" s="380"/>
      <c r="Q6630" s="380"/>
    </row>
    <row r="6631" spans="1:17" x14ac:dyDescent="0.2">
      <c r="A6631" s="334" t="s">
        <v>1741</v>
      </c>
      <c r="B6631" s="380"/>
      <c r="C6631" s="334" t="s">
        <v>1748</v>
      </c>
      <c r="D6631" s="377"/>
      <c r="E6631" s="377"/>
      <c r="F6631" s="378"/>
      <c r="G6631" s="377"/>
      <c r="H6631" s="377"/>
      <c r="I6631" s="383"/>
      <c r="J6631" s="377"/>
      <c r="K6631" s="377"/>
      <c r="L6631" s="378"/>
      <c r="M6631" s="377"/>
      <c r="N6631" s="377"/>
      <c r="O6631" s="380"/>
      <c r="P6631" s="380"/>
      <c r="Q6631" s="380"/>
    </row>
    <row r="6632" spans="1:17" x14ac:dyDescent="0.2">
      <c r="A6632" s="334" t="s">
        <v>1742</v>
      </c>
      <c r="B6632" s="380"/>
      <c r="C6632" s="334" t="s">
        <v>1937</v>
      </c>
      <c r="D6632" s="377"/>
      <c r="E6632" s="377"/>
      <c r="F6632" s="378"/>
      <c r="G6632" s="377"/>
      <c r="H6632" s="377"/>
      <c r="I6632" s="383"/>
      <c r="J6632" s="377"/>
      <c r="K6632" s="377"/>
      <c r="L6632" s="378"/>
      <c r="M6632" s="377"/>
      <c r="N6632" s="377"/>
      <c r="O6632" s="380"/>
      <c r="P6632" s="380"/>
      <c r="Q6632" s="380"/>
    </row>
    <row r="6633" spans="1:17" x14ac:dyDescent="0.2">
      <c r="A6633" s="334" t="s">
        <v>1584</v>
      </c>
      <c r="B6633" s="380"/>
      <c r="C6633" s="334" t="s">
        <v>0</v>
      </c>
      <c r="D6633" s="377"/>
      <c r="E6633" s="377"/>
      <c r="F6633" s="378"/>
      <c r="G6633" s="377"/>
      <c r="H6633" s="377"/>
      <c r="I6633" s="383"/>
      <c r="J6633" s="377"/>
      <c r="K6633" s="377"/>
      <c r="L6633" s="378"/>
      <c r="M6633" s="377"/>
      <c r="N6633" s="377"/>
      <c r="O6633" s="380"/>
      <c r="P6633" s="380"/>
      <c r="Q6633" s="380"/>
    </row>
    <row r="6634" spans="1:17" x14ac:dyDescent="0.2">
      <c r="A6634" s="334" t="s">
        <v>1730</v>
      </c>
      <c r="B6634" s="380"/>
      <c r="C6634" s="334" t="s">
        <v>1985</v>
      </c>
      <c r="D6634" s="377">
        <v>800</v>
      </c>
      <c r="E6634" s="377"/>
      <c r="F6634" s="378"/>
      <c r="G6634" s="377"/>
      <c r="H6634" s="377"/>
      <c r="I6634" s="383"/>
      <c r="J6634" s="377">
        <v>800</v>
      </c>
      <c r="K6634" s="377"/>
      <c r="L6634" s="378"/>
      <c r="M6634" s="377"/>
      <c r="N6634" s="377"/>
      <c r="O6634" s="380"/>
      <c r="P6634" s="380"/>
      <c r="Q6634" s="380"/>
    </row>
    <row r="6635" spans="1:17" x14ac:dyDescent="0.2">
      <c r="A6635" s="334" t="s">
        <v>1566</v>
      </c>
      <c r="B6635" s="380"/>
      <c r="C6635" s="334" t="s">
        <v>366</v>
      </c>
      <c r="D6635" s="377">
        <v>400</v>
      </c>
      <c r="E6635" s="377"/>
      <c r="F6635" s="378"/>
      <c r="G6635" s="377"/>
      <c r="H6635" s="377"/>
      <c r="I6635" s="383"/>
      <c r="J6635" s="377">
        <v>400</v>
      </c>
      <c r="K6635" s="377"/>
      <c r="L6635" s="378"/>
      <c r="M6635" s="377"/>
      <c r="N6635" s="377"/>
      <c r="O6635" s="380"/>
      <c r="P6635" s="380"/>
      <c r="Q6635" s="380"/>
    </row>
    <row r="6636" spans="1:17" x14ac:dyDescent="0.2">
      <c r="A6636" s="334" t="s">
        <v>1587</v>
      </c>
      <c r="B6636" s="380"/>
      <c r="C6636" s="334" t="s">
        <v>34</v>
      </c>
      <c r="D6636" s="377"/>
      <c r="E6636" s="377"/>
      <c r="F6636" s="378"/>
      <c r="G6636" s="377"/>
      <c r="H6636" s="377"/>
      <c r="I6636" s="383"/>
      <c r="J6636" s="377"/>
      <c r="K6636" s="377"/>
      <c r="L6636" s="378"/>
      <c r="M6636" s="377"/>
      <c r="N6636" s="377"/>
      <c r="O6636" s="380"/>
      <c r="P6636" s="380"/>
      <c r="Q6636" s="380"/>
    </row>
    <row r="6637" spans="1:17" x14ac:dyDescent="0.2">
      <c r="A6637" s="334" t="s">
        <v>1903</v>
      </c>
      <c r="B6637" s="380"/>
      <c r="C6637" s="334" t="s">
        <v>35</v>
      </c>
      <c r="D6637" s="377"/>
      <c r="E6637" s="377"/>
      <c r="F6637" s="378"/>
      <c r="G6637" s="377"/>
      <c r="H6637" s="377"/>
      <c r="I6637" s="383"/>
      <c r="J6637" s="377"/>
      <c r="K6637" s="377"/>
      <c r="L6637" s="378"/>
      <c r="M6637" s="377"/>
      <c r="N6637" s="377"/>
      <c r="O6637" s="380"/>
      <c r="P6637" s="380"/>
      <c r="Q6637" s="380"/>
    </row>
    <row r="6638" spans="1:17" x14ac:dyDescent="0.2">
      <c r="A6638" s="334" t="s">
        <v>1962</v>
      </c>
      <c r="B6638" s="380"/>
      <c r="C6638" s="380" t="s">
        <v>572</v>
      </c>
      <c r="D6638" s="377"/>
      <c r="E6638" s="399"/>
      <c r="F6638" s="416"/>
      <c r="G6638" s="399"/>
      <c r="H6638" s="399"/>
      <c r="I6638" s="383"/>
      <c r="J6638" s="377"/>
      <c r="K6638" s="399"/>
      <c r="L6638" s="416"/>
      <c r="M6638" s="399"/>
      <c r="N6638" s="399"/>
      <c r="O6638" s="380"/>
      <c r="P6638" s="380"/>
      <c r="Q6638" s="380"/>
    </row>
    <row r="6639" spans="1:17" x14ac:dyDescent="0.2">
      <c r="A6639" s="334" t="s">
        <v>1567</v>
      </c>
      <c r="B6639" s="380"/>
      <c r="C6639" s="334" t="s">
        <v>3142</v>
      </c>
      <c r="D6639" s="377"/>
      <c r="E6639" s="399"/>
      <c r="F6639" s="416"/>
      <c r="G6639" s="399"/>
      <c r="H6639" s="399"/>
      <c r="I6639" s="383"/>
      <c r="J6639" s="377"/>
      <c r="K6639" s="399"/>
      <c r="L6639" s="416"/>
      <c r="M6639" s="399"/>
      <c r="N6639" s="399"/>
      <c r="O6639" s="380"/>
      <c r="P6639" s="380"/>
      <c r="Q6639" s="380"/>
    </row>
    <row r="6640" spans="1:17" x14ac:dyDescent="0.2">
      <c r="A6640" s="380"/>
      <c r="B6640" s="380"/>
      <c r="C6640" s="380"/>
      <c r="D6640" s="394"/>
      <c r="E6640" s="385"/>
      <c r="F6640" s="415"/>
      <c r="G6640" s="385"/>
      <c r="H6640" s="385"/>
      <c r="I6640" s="383"/>
      <c r="J6640" s="394"/>
      <c r="K6640" s="385"/>
      <c r="L6640" s="415"/>
      <c r="M6640" s="385"/>
      <c r="N6640" s="385"/>
      <c r="O6640" s="380"/>
      <c r="P6640" s="380"/>
      <c r="Q6640" s="380"/>
    </row>
    <row r="6641" spans="1:17" x14ac:dyDescent="0.2">
      <c r="A6641" s="380"/>
      <c r="B6641" s="380"/>
      <c r="C6641" s="380"/>
      <c r="D6641" s="334">
        <f>SUM(D6611:D6639)</f>
        <v>2194.44</v>
      </c>
      <c r="E6641" s="399"/>
      <c r="F6641" s="416"/>
      <c r="G6641" s="399"/>
      <c r="H6641" s="399"/>
      <c r="I6641" s="383"/>
      <c r="J6641" s="334">
        <f>SUM(J6611:J6639)</f>
        <v>2300</v>
      </c>
      <c r="K6641" s="399"/>
      <c r="L6641" s="416"/>
      <c r="M6641" s="399"/>
      <c r="N6641" s="399"/>
      <c r="O6641" s="380"/>
      <c r="P6641" s="380"/>
      <c r="Q6641" s="380"/>
    </row>
    <row r="6642" spans="1:17" ht="15.75" thickTop="1" x14ac:dyDescent="0.2">
      <c r="A6642" s="380"/>
      <c r="B6642" s="380"/>
      <c r="C6642" s="380"/>
      <c r="D6642" s="395">
        <f>D6641-D6611</f>
        <v>2194.44</v>
      </c>
      <c r="E6642" s="382"/>
      <c r="F6642" s="416"/>
      <c r="G6642" s="382"/>
      <c r="H6642" s="382"/>
      <c r="I6642" s="383"/>
      <c r="J6642" s="395">
        <f>J6641-J6611</f>
        <v>2300</v>
      </c>
      <c r="K6642" s="382"/>
      <c r="L6642" s="416"/>
      <c r="M6642" s="382"/>
      <c r="N6642" s="382"/>
      <c r="O6642" s="380"/>
      <c r="P6642" s="380"/>
      <c r="Q6642" s="380"/>
    </row>
    <row r="6643" spans="1:17" x14ac:dyDescent="0.2">
      <c r="A6643" s="334" t="s">
        <v>342</v>
      </c>
      <c r="B6643" s="380"/>
      <c r="C6643" s="334" t="s">
        <v>342</v>
      </c>
      <c r="D6643" s="380"/>
      <c r="E6643" s="380"/>
      <c r="F6643" s="378"/>
      <c r="G6643" s="380"/>
      <c r="H6643" s="380"/>
      <c r="I6643" s="383"/>
      <c r="J6643" s="380"/>
      <c r="K6643" s="380"/>
      <c r="L6643" s="378"/>
      <c r="M6643" s="380"/>
      <c r="N6643" s="380"/>
      <c r="O6643" s="380"/>
      <c r="P6643" s="380"/>
      <c r="Q6643" s="380"/>
    </row>
    <row r="6644" spans="1:17" x14ac:dyDescent="0.2">
      <c r="A6644" s="380"/>
      <c r="B6644" s="380"/>
      <c r="C6644" s="380"/>
      <c r="D6644" s="380"/>
      <c r="E6644" s="380"/>
      <c r="F6644" s="378"/>
      <c r="G6644" s="380"/>
      <c r="H6644" s="380"/>
      <c r="I6644" s="383"/>
      <c r="J6644" s="380"/>
      <c r="K6644" s="380"/>
      <c r="L6644" s="378"/>
      <c r="M6644" s="380"/>
      <c r="N6644" s="380"/>
      <c r="O6644" s="380"/>
      <c r="P6644" s="380"/>
      <c r="Q6644" s="380"/>
    </row>
    <row r="6645" spans="1:17" x14ac:dyDescent="0.2">
      <c r="A6645" s="334" t="s">
        <v>2873</v>
      </c>
      <c r="B6645" s="380"/>
      <c r="C6645" s="380"/>
      <c r="D6645" s="380"/>
      <c r="E6645" s="380"/>
      <c r="F6645" s="378"/>
      <c r="G6645" s="380"/>
      <c r="H6645" s="380"/>
      <c r="I6645" s="383"/>
      <c r="J6645" s="380"/>
      <c r="K6645" s="380"/>
      <c r="L6645" s="378"/>
      <c r="M6645" s="380"/>
      <c r="N6645" s="380"/>
      <c r="O6645" s="380"/>
      <c r="P6645" s="380"/>
      <c r="Q6645" s="380"/>
    </row>
    <row r="6646" spans="1:17" x14ac:dyDescent="0.2">
      <c r="A6646" s="380"/>
      <c r="B6646" s="380"/>
      <c r="C6646" s="334" t="s">
        <v>2875</v>
      </c>
      <c r="D6646" s="380"/>
      <c r="E6646" s="380"/>
      <c r="F6646" s="378"/>
      <c r="G6646" s="380"/>
      <c r="H6646" s="380"/>
      <c r="I6646" s="383"/>
      <c r="J6646" s="380"/>
      <c r="K6646" s="380"/>
      <c r="L6646" s="378"/>
      <c r="M6646" s="380"/>
      <c r="N6646" s="380"/>
      <c r="O6646" s="380"/>
      <c r="P6646" s="380"/>
      <c r="Q6646" s="380"/>
    </row>
    <row r="6647" spans="1:17" x14ac:dyDescent="0.2">
      <c r="A6647" s="380"/>
      <c r="B6647" s="380"/>
      <c r="C6647" s="334"/>
      <c r="D6647" s="380"/>
      <c r="E6647" s="380"/>
      <c r="F6647" s="378"/>
      <c r="G6647" s="380"/>
      <c r="H6647" s="380"/>
      <c r="I6647" s="383"/>
      <c r="J6647" s="380"/>
      <c r="K6647" s="380"/>
      <c r="L6647" s="378"/>
      <c r="M6647" s="380"/>
      <c r="N6647" s="380"/>
      <c r="O6647" s="380"/>
      <c r="P6647" s="380"/>
      <c r="Q6647" s="380"/>
    </row>
    <row r="6648" spans="1:17" x14ac:dyDescent="0.2">
      <c r="A6648" s="334" t="s">
        <v>1723</v>
      </c>
      <c r="B6648" s="380"/>
      <c r="C6648" s="334" t="s">
        <v>1880</v>
      </c>
      <c r="D6648" s="334" t="s">
        <v>181</v>
      </c>
      <c r="E6648" s="380"/>
      <c r="F6648" s="378"/>
      <c r="G6648" s="380"/>
      <c r="H6648" s="380"/>
      <c r="I6648" s="383"/>
      <c r="J6648" s="334" t="s">
        <v>181</v>
      </c>
      <c r="K6648" s="380"/>
      <c r="L6648" s="378"/>
      <c r="M6648" s="380"/>
      <c r="N6648" s="380"/>
      <c r="O6648" s="380"/>
      <c r="P6648" s="380"/>
      <c r="Q6648" s="380"/>
    </row>
    <row r="6649" spans="1:17" x14ac:dyDescent="0.2">
      <c r="A6649" s="380"/>
      <c r="B6649" s="380"/>
      <c r="C6649" s="380"/>
      <c r="D6649" s="380"/>
      <c r="E6649" s="380"/>
      <c r="F6649" s="378"/>
      <c r="G6649" s="380"/>
      <c r="H6649" s="380"/>
      <c r="I6649" s="383"/>
      <c r="J6649" s="380"/>
      <c r="K6649" s="380"/>
      <c r="L6649" s="378"/>
      <c r="M6649" s="380"/>
      <c r="N6649" s="380"/>
      <c r="O6649" s="380"/>
      <c r="P6649" s="380"/>
      <c r="Q6649" s="380"/>
    </row>
    <row r="6650" spans="1:17" x14ac:dyDescent="0.2">
      <c r="A6650" s="380">
        <v>5001</v>
      </c>
      <c r="B6650" s="380"/>
      <c r="C6650" s="334" t="s">
        <v>1881</v>
      </c>
      <c r="D6650" s="380"/>
      <c r="E6650" s="380"/>
      <c r="F6650" s="378"/>
      <c r="G6650" s="380"/>
      <c r="H6650" s="380"/>
      <c r="I6650" s="383"/>
      <c r="J6650" s="380">
        <v>250</v>
      </c>
      <c r="K6650" s="380"/>
      <c r="L6650" s="378"/>
      <c r="M6650" s="380"/>
      <c r="N6650" s="380"/>
      <c r="O6650" s="380"/>
      <c r="P6650" s="380"/>
      <c r="Q6650" s="380"/>
    </row>
    <row r="6651" spans="1:17" x14ac:dyDescent="0.2">
      <c r="A6651" s="334" t="s">
        <v>1737</v>
      </c>
      <c r="B6651" s="380"/>
      <c r="C6651" s="334" t="s">
        <v>1984</v>
      </c>
      <c r="D6651" s="380"/>
      <c r="E6651" s="380"/>
      <c r="F6651" s="378"/>
      <c r="G6651" s="380"/>
      <c r="H6651" s="380"/>
      <c r="I6651" s="383"/>
      <c r="J6651" s="380">
        <v>450</v>
      </c>
      <c r="K6651" s="380"/>
      <c r="L6651" s="378"/>
      <c r="M6651" s="380"/>
      <c r="N6651" s="380"/>
      <c r="O6651" s="380"/>
      <c r="P6651" s="380"/>
      <c r="Q6651" s="380"/>
    </row>
    <row r="6652" spans="1:17" x14ac:dyDescent="0.2">
      <c r="A6652" s="384" t="s">
        <v>1726</v>
      </c>
      <c r="B6652" s="380"/>
      <c r="C6652" s="334" t="s">
        <v>1117</v>
      </c>
      <c r="D6652" s="380"/>
      <c r="E6652" s="380"/>
      <c r="F6652" s="378"/>
      <c r="G6652" s="380"/>
      <c r="H6652" s="380"/>
      <c r="I6652" s="383"/>
      <c r="J6652" s="380">
        <v>4500</v>
      </c>
      <c r="K6652" s="380"/>
      <c r="L6652" s="378"/>
      <c r="M6652" s="380"/>
      <c r="N6652" s="380"/>
      <c r="O6652" s="380"/>
      <c r="P6652" s="380"/>
      <c r="Q6652" s="380"/>
    </row>
    <row r="6653" spans="1:17" x14ac:dyDescent="0.2">
      <c r="A6653" s="334" t="s">
        <v>1730</v>
      </c>
      <c r="B6653" s="380"/>
      <c r="C6653" s="334" t="s">
        <v>1985</v>
      </c>
      <c r="D6653" s="380"/>
      <c r="E6653" s="380"/>
      <c r="F6653" s="378"/>
      <c r="G6653" s="380"/>
      <c r="H6653" s="380"/>
      <c r="I6653" s="383"/>
      <c r="J6653" s="380">
        <v>20000</v>
      </c>
      <c r="K6653" s="380"/>
      <c r="L6653" s="378"/>
      <c r="M6653" s="380"/>
      <c r="N6653" s="380"/>
      <c r="O6653" s="380"/>
      <c r="P6653" s="380"/>
      <c r="Q6653" s="380"/>
    </row>
    <row r="6654" spans="1:17" x14ac:dyDescent="0.2">
      <c r="A6654" s="334" t="s">
        <v>1962</v>
      </c>
      <c r="B6654" s="380"/>
      <c r="C6654" s="380" t="s">
        <v>572</v>
      </c>
      <c r="D6654" s="380"/>
      <c r="E6654" s="380"/>
      <c r="F6654" s="378"/>
      <c r="G6654" s="380"/>
      <c r="H6654" s="380"/>
      <c r="I6654" s="383"/>
      <c r="J6654" s="380">
        <v>1500</v>
      </c>
      <c r="K6654" s="380"/>
      <c r="L6654" s="378"/>
      <c r="M6654" s="380"/>
      <c r="N6654" s="380"/>
      <c r="O6654" s="380"/>
      <c r="P6654" s="380"/>
      <c r="Q6654" s="380"/>
    </row>
    <row r="6655" spans="1:17" x14ac:dyDescent="0.2">
      <c r="A6655" s="334" t="s">
        <v>1745</v>
      </c>
      <c r="B6655" s="380"/>
      <c r="C6655" s="334" t="s">
        <v>1887</v>
      </c>
      <c r="D6655" s="459"/>
      <c r="E6655" s="380"/>
      <c r="F6655" s="378"/>
      <c r="G6655" s="380"/>
      <c r="H6655" s="380"/>
      <c r="I6655" s="383"/>
      <c r="J6655" s="459">
        <v>750</v>
      </c>
      <c r="K6655" s="380"/>
      <c r="L6655" s="378"/>
      <c r="M6655" s="380"/>
      <c r="N6655" s="380"/>
      <c r="O6655" s="380"/>
      <c r="P6655" s="380"/>
      <c r="Q6655" s="380"/>
    </row>
    <row r="6656" spans="1:17" x14ac:dyDescent="0.2">
      <c r="A6656" s="380"/>
      <c r="B6656" s="380"/>
      <c r="C6656" s="380"/>
      <c r="D6656" s="380"/>
      <c r="E6656" s="380"/>
      <c r="F6656" s="378"/>
      <c r="G6656" s="380"/>
      <c r="H6656" s="380"/>
      <c r="I6656" s="383"/>
      <c r="J6656" s="380"/>
      <c r="K6656" s="380"/>
      <c r="L6656" s="378"/>
      <c r="M6656" s="380"/>
      <c r="N6656" s="380"/>
      <c r="O6656" s="380"/>
      <c r="P6656" s="380"/>
      <c r="Q6656" s="380"/>
    </row>
    <row r="6657" spans="1:17" ht="15.75" thickBot="1" x14ac:dyDescent="0.25">
      <c r="A6657" s="380"/>
      <c r="B6657" s="380"/>
      <c r="C6657" s="380"/>
      <c r="D6657" s="460">
        <f>SUM(D6650:D6656)</f>
        <v>0</v>
      </c>
      <c r="E6657" s="380"/>
      <c r="F6657" s="378"/>
      <c r="G6657" s="380"/>
      <c r="H6657" s="380"/>
      <c r="I6657" s="383"/>
      <c r="J6657" s="460">
        <f>SUM(J6650:J6656)</f>
        <v>27450</v>
      </c>
      <c r="K6657" s="380"/>
      <c r="L6657" s="378"/>
      <c r="M6657" s="380"/>
      <c r="N6657" s="380"/>
      <c r="O6657" s="380"/>
      <c r="P6657" s="380"/>
      <c r="Q6657" s="380"/>
    </row>
    <row r="6658" spans="1:17" x14ac:dyDescent="0.2">
      <c r="A6658" s="380"/>
      <c r="B6658" s="380"/>
      <c r="C6658" s="380"/>
      <c r="D6658" s="380"/>
      <c r="E6658" s="380"/>
      <c r="F6658" s="378"/>
      <c r="G6658" s="380"/>
      <c r="H6658" s="380"/>
      <c r="I6658" s="383"/>
      <c r="J6658" s="380"/>
      <c r="K6658" s="380"/>
      <c r="L6658" s="378"/>
      <c r="M6658" s="380"/>
      <c r="N6658" s="380"/>
      <c r="O6658" s="380"/>
      <c r="P6658" s="380"/>
      <c r="Q6658" s="380"/>
    </row>
    <row r="6659" spans="1:17" x14ac:dyDescent="0.2">
      <c r="A6659" s="380"/>
      <c r="B6659" s="380"/>
      <c r="C6659" s="380"/>
      <c r="D6659" s="380"/>
      <c r="E6659" s="380"/>
      <c r="F6659" s="378"/>
      <c r="G6659" s="380"/>
      <c r="H6659" s="380"/>
      <c r="I6659" s="383"/>
      <c r="J6659" s="380"/>
      <c r="K6659" s="380"/>
      <c r="L6659" s="378"/>
      <c r="M6659" s="380"/>
      <c r="N6659" s="380"/>
      <c r="O6659" s="380"/>
      <c r="P6659" s="380"/>
      <c r="Q6659" s="380"/>
    </row>
    <row r="6660" spans="1:17" x14ac:dyDescent="0.2">
      <c r="A6660" s="380"/>
      <c r="B6660" s="380"/>
      <c r="C6660" s="380"/>
      <c r="D6660" s="380"/>
      <c r="E6660" s="380"/>
      <c r="F6660" s="378"/>
      <c r="G6660" s="380"/>
      <c r="H6660" s="380"/>
      <c r="I6660" s="383"/>
      <c r="J6660" s="380"/>
      <c r="K6660" s="380"/>
      <c r="L6660" s="378"/>
      <c r="M6660" s="380"/>
      <c r="N6660" s="380"/>
      <c r="O6660" s="380"/>
      <c r="P6660" s="380"/>
      <c r="Q6660" s="380"/>
    </row>
    <row r="6661" spans="1:17" x14ac:dyDescent="0.2">
      <c r="A6661" s="334" t="s">
        <v>2877</v>
      </c>
      <c r="B6661" s="380"/>
      <c r="C6661" s="380"/>
      <c r="D6661" s="380"/>
      <c r="E6661" s="380"/>
      <c r="F6661" s="378"/>
      <c r="G6661" s="380"/>
      <c r="H6661" s="380"/>
      <c r="I6661" s="383"/>
      <c r="J6661" s="380"/>
      <c r="K6661" s="380"/>
      <c r="L6661" s="378"/>
      <c r="M6661" s="380"/>
      <c r="N6661" s="380"/>
      <c r="O6661" s="380"/>
      <c r="P6661" s="380"/>
      <c r="Q6661" s="380"/>
    </row>
    <row r="6662" spans="1:17" x14ac:dyDescent="0.2">
      <c r="A6662" s="380"/>
      <c r="B6662" s="380"/>
      <c r="C6662" s="334" t="s">
        <v>2878</v>
      </c>
      <c r="D6662" s="380"/>
      <c r="E6662" s="380"/>
      <c r="F6662" s="378"/>
      <c r="G6662" s="380"/>
      <c r="H6662" s="380"/>
      <c r="I6662" s="383"/>
      <c r="J6662" s="380"/>
      <c r="K6662" s="380"/>
      <c r="L6662" s="378"/>
      <c r="M6662" s="380"/>
      <c r="N6662" s="380"/>
      <c r="O6662" s="380"/>
      <c r="P6662" s="380"/>
      <c r="Q6662" s="380"/>
    </row>
    <row r="6663" spans="1:17" x14ac:dyDescent="0.2">
      <c r="A6663" s="380"/>
      <c r="B6663" s="380"/>
      <c r="C6663" s="380"/>
      <c r="D6663" s="380"/>
      <c r="E6663" s="380"/>
      <c r="F6663" s="378"/>
      <c r="G6663" s="380"/>
      <c r="H6663" s="380"/>
      <c r="I6663" s="383"/>
      <c r="J6663" s="380"/>
      <c r="K6663" s="380"/>
      <c r="L6663" s="378"/>
      <c r="M6663" s="380"/>
      <c r="N6663" s="380"/>
      <c r="O6663" s="380"/>
      <c r="P6663" s="380"/>
      <c r="Q6663" s="380"/>
    </row>
    <row r="6664" spans="1:17" x14ac:dyDescent="0.2">
      <c r="A6664" s="334" t="s">
        <v>1723</v>
      </c>
      <c r="B6664" s="380"/>
      <c r="C6664" s="334" t="s">
        <v>1880</v>
      </c>
      <c r="D6664" s="334" t="s">
        <v>181</v>
      </c>
      <c r="E6664" s="380"/>
      <c r="F6664" s="378"/>
      <c r="G6664" s="380"/>
      <c r="H6664" s="380"/>
      <c r="I6664" s="383"/>
      <c r="J6664" s="334" t="s">
        <v>181</v>
      </c>
      <c r="K6664" s="380"/>
      <c r="L6664" s="378"/>
      <c r="M6664" s="380"/>
      <c r="N6664" s="380"/>
      <c r="O6664" s="380"/>
      <c r="P6664" s="380"/>
      <c r="Q6664" s="380"/>
    </row>
    <row r="6665" spans="1:17" x14ac:dyDescent="0.2">
      <c r="A6665" s="334" t="s">
        <v>1729</v>
      </c>
      <c r="B6665" s="380"/>
      <c r="C6665" s="380" t="s">
        <v>1551</v>
      </c>
      <c r="D6665" s="380">
        <v>-100000</v>
      </c>
      <c r="E6665" s="380"/>
      <c r="F6665" s="378"/>
      <c r="G6665" s="380"/>
      <c r="H6665" s="380"/>
      <c r="I6665" s="383"/>
      <c r="J6665" s="380"/>
      <c r="K6665" s="380"/>
      <c r="L6665" s="378"/>
      <c r="M6665" s="380"/>
      <c r="N6665" s="380"/>
      <c r="O6665" s="380"/>
      <c r="P6665" s="380"/>
      <c r="Q6665" s="380"/>
    </row>
    <row r="6666" spans="1:17" x14ac:dyDescent="0.2">
      <c r="A6666" s="334" t="s">
        <v>2879</v>
      </c>
      <c r="B6666" s="380"/>
      <c r="C6666" s="334" t="s">
        <v>2877</v>
      </c>
      <c r="D6666" s="459">
        <v>318000</v>
      </c>
      <c r="E6666" s="380"/>
      <c r="F6666" s="378"/>
      <c r="G6666" s="380"/>
      <c r="H6666" s="380"/>
      <c r="I6666" s="383"/>
      <c r="J6666" s="459">
        <v>156000</v>
      </c>
      <c r="K6666" s="380"/>
      <c r="L6666" s="378"/>
      <c r="M6666" s="380"/>
      <c r="N6666" s="380"/>
      <c r="O6666" s="380"/>
      <c r="P6666" s="380"/>
      <c r="Q6666" s="380"/>
    </row>
    <row r="6667" spans="1:17" x14ac:dyDescent="0.2">
      <c r="A6667" s="380"/>
      <c r="B6667" s="380"/>
      <c r="C6667" s="380"/>
      <c r="D6667" s="380"/>
      <c r="E6667" s="380"/>
      <c r="F6667" s="378"/>
      <c r="G6667" s="380"/>
      <c r="H6667" s="380"/>
      <c r="I6667" s="383"/>
      <c r="J6667" s="380"/>
      <c r="K6667" s="380"/>
      <c r="L6667" s="378"/>
      <c r="M6667" s="380"/>
      <c r="N6667" s="380"/>
      <c r="O6667" s="380"/>
      <c r="P6667" s="380"/>
      <c r="Q6667" s="380"/>
    </row>
    <row r="6668" spans="1:17" ht="15.75" thickBot="1" x14ac:dyDescent="0.25">
      <c r="A6668" s="380"/>
      <c r="B6668" s="380"/>
      <c r="C6668" s="380"/>
      <c r="D6668" s="460">
        <f>SUM(D6665:D6667)</f>
        <v>218000</v>
      </c>
      <c r="E6668" s="380"/>
      <c r="F6668" s="378"/>
      <c r="G6668" s="380"/>
      <c r="H6668" s="380"/>
      <c r="I6668" s="383"/>
      <c r="J6668" s="460">
        <f>SUM(J6666:J6667)</f>
        <v>156000</v>
      </c>
      <c r="K6668" s="380"/>
      <c r="L6668" s="378"/>
      <c r="M6668" s="380"/>
      <c r="N6668" s="380"/>
      <c r="O6668" s="380"/>
      <c r="P6668" s="380"/>
      <c r="Q6668" s="380"/>
    </row>
    <row r="6669" spans="1:17" x14ac:dyDescent="0.2">
      <c r="A6669" s="380"/>
      <c r="B6669" s="380"/>
      <c r="C6669" s="380"/>
      <c r="D6669" s="380"/>
      <c r="E6669" s="380"/>
      <c r="F6669" s="378"/>
      <c r="G6669" s="380"/>
      <c r="H6669" s="380"/>
      <c r="I6669" s="383"/>
      <c r="J6669" s="380"/>
      <c r="K6669" s="380"/>
      <c r="L6669" s="378"/>
      <c r="M6669" s="380"/>
      <c r="N6669" s="380"/>
      <c r="O6669" s="380"/>
      <c r="P6669" s="380"/>
      <c r="Q6669" s="380"/>
    </row>
    <row r="6670" spans="1:17" x14ac:dyDescent="0.2">
      <c r="A6670" s="380"/>
      <c r="B6670" s="380"/>
      <c r="C6670" s="380"/>
      <c r="D6670" s="380"/>
      <c r="E6670" s="380"/>
      <c r="F6670" s="378"/>
      <c r="G6670" s="380"/>
      <c r="H6670" s="380"/>
      <c r="I6670" s="383"/>
      <c r="J6670" s="380"/>
      <c r="K6670" s="380"/>
      <c r="L6670" s="378"/>
      <c r="M6670" s="380"/>
      <c r="N6670" s="380"/>
      <c r="O6670" s="380"/>
      <c r="P6670" s="380"/>
      <c r="Q6670" s="380"/>
    </row>
    <row r="6671" spans="1:17" x14ac:dyDescent="0.2">
      <c r="A6671" s="380"/>
      <c r="B6671" s="380"/>
      <c r="C6671" s="380"/>
      <c r="D6671" s="380"/>
      <c r="E6671" s="380"/>
      <c r="F6671" s="378"/>
      <c r="G6671" s="380"/>
      <c r="H6671" s="380"/>
      <c r="I6671" s="383"/>
      <c r="J6671" s="380"/>
      <c r="K6671" s="380"/>
      <c r="L6671" s="378"/>
      <c r="M6671" s="380"/>
      <c r="N6671" s="380"/>
      <c r="O6671" s="380"/>
      <c r="P6671" s="380"/>
      <c r="Q6671" s="380"/>
    </row>
    <row r="6672" spans="1:17" x14ac:dyDescent="0.2">
      <c r="A6672" s="380"/>
      <c r="B6672" s="380"/>
      <c r="C6672" s="380"/>
      <c r="D6672" s="380"/>
      <c r="E6672" s="380"/>
      <c r="F6672" s="378"/>
      <c r="G6672" s="380"/>
      <c r="H6672" s="380"/>
      <c r="I6672" s="383"/>
      <c r="J6672" s="380"/>
      <c r="K6672" s="380"/>
      <c r="L6672" s="378"/>
      <c r="M6672" s="380"/>
      <c r="N6672" s="380"/>
      <c r="O6672" s="380"/>
      <c r="P6672" s="380"/>
      <c r="Q6672" s="380"/>
    </row>
    <row r="6673" spans="1:17" x14ac:dyDescent="0.2">
      <c r="A6673" s="380"/>
      <c r="B6673" s="380"/>
      <c r="C6673" s="380"/>
      <c r="D6673" s="380"/>
      <c r="E6673" s="380"/>
      <c r="F6673" s="378"/>
      <c r="G6673" s="380"/>
      <c r="H6673" s="380"/>
      <c r="I6673" s="383"/>
      <c r="J6673" s="380"/>
      <c r="K6673" s="380"/>
      <c r="L6673" s="378"/>
      <c r="M6673" s="380"/>
      <c r="N6673" s="380"/>
      <c r="O6673" s="380"/>
      <c r="P6673" s="380"/>
      <c r="Q6673" s="380"/>
    </row>
    <row r="6674" spans="1:17" x14ac:dyDescent="0.2">
      <c r="A6674" s="380"/>
      <c r="B6674" s="380"/>
      <c r="C6674" s="380"/>
      <c r="D6674" s="380"/>
      <c r="E6674" s="380"/>
      <c r="F6674" s="378"/>
      <c r="G6674" s="380"/>
      <c r="H6674" s="380"/>
      <c r="I6674" s="383"/>
      <c r="J6674" s="380"/>
      <c r="K6674" s="380"/>
      <c r="L6674" s="378"/>
      <c r="M6674" s="380"/>
      <c r="N6674" s="380"/>
      <c r="O6674" s="380"/>
      <c r="P6674" s="380"/>
      <c r="Q6674" s="380"/>
    </row>
    <row r="6675" spans="1:17" x14ac:dyDescent="0.2">
      <c r="A6675" s="380"/>
      <c r="B6675" s="380"/>
      <c r="C6675" s="380"/>
      <c r="D6675" s="380"/>
      <c r="E6675" s="380"/>
      <c r="F6675" s="378"/>
      <c r="G6675" s="380"/>
      <c r="H6675" s="380"/>
      <c r="I6675" s="383"/>
      <c r="J6675" s="380"/>
      <c r="K6675" s="380"/>
      <c r="L6675" s="378"/>
      <c r="M6675" s="380"/>
      <c r="N6675" s="380"/>
      <c r="O6675" s="380"/>
      <c r="P6675" s="380"/>
      <c r="Q6675" s="380"/>
    </row>
    <row r="6676" spans="1:17" x14ac:dyDescent="0.2">
      <c r="A6676" s="380"/>
      <c r="B6676" s="380"/>
      <c r="C6676" s="380"/>
      <c r="D6676" s="380"/>
      <c r="E6676" s="380"/>
      <c r="F6676" s="378"/>
      <c r="G6676" s="380"/>
      <c r="H6676" s="380"/>
      <c r="I6676" s="383"/>
      <c r="J6676" s="380"/>
      <c r="K6676" s="380"/>
      <c r="L6676" s="378"/>
      <c r="M6676" s="380"/>
      <c r="N6676" s="380"/>
      <c r="O6676" s="380"/>
      <c r="P6676" s="380"/>
      <c r="Q6676" s="380"/>
    </row>
    <row r="6677" spans="1:17" x14ac:dyDescent="0.2">
      <c r="A6677" s="380"/>
      <c r="B6677" s="380"/>
      <c r="C6677" s="380"/>
      <c r="D6677" s="380"/>
      <c r="E6677" s="380"/>
      <c r="F6677" s="378"/>
      <c r="G6677" s="380"/>
      <c r="H6677" s="380"/>
      <c r="I6677" s="383"/>
      <c r="J6677" s="380"/>
      <c r="K6677" s="380"/>
      <c r="L6677" s="378"/>
      <c r="M6677" s="380"/>
      <c r="N6677" s="380"/>
      <c r="O6677" s="380"/>
      <c r="P6677" s="380"/>
      <c r="Q6677" s="380"/>
    </row>
    <row r="6678" spans="1:17" x14ac:dyDescent="0.2">
      <c r="A6678" s="380"/>
      <c r="B6678" s="380"/>
      <c r="C6678" s="380"/>
      <c r="D6678" s="380"/>
      <c r="E6678" s="380"/>
      <c r="F6678" s="378"/>
      <c r="G6678" s="380"/>
      <c r="H6678" s="380"/>
      <c r="I6678" s="383"/>
      <c r="J6678" s="380"/>
      <c r="K6678" s="380"/>
      <c r="L6678" s="378"/>
      <c r="M6678" s="380"/>
      <c r="N6678" s="380"/>
      <c r="O6678" s="380"/>
      <c r="P6678" s="380"/>
      <c r="Q6678" s="380"/>
    </row>
    <row r="6679" spans="1:17" x14ac:dyDescent="0.2">
      <c r="A6679" s="380"/>
      <c r="B6679" s="380"/>
      <c r="C6679" s="380"/>
      <c r="D6679" s="380"/>
      <c r="E6679" s="380"/>
      <c r="F6679" s="378"/>
      <c r="G6679" s="380"/>
      <c r="H6679" s="380"/>
      <c r="I6679" s="383"/>
      <c r="J6679" s="380"/>
      <c r="K6679" s="380"/>
      <c r="L6679" s="378"/>
      <c r="M6679" s="380"/>
      <c r="N6679" s="380"/>
      <c r="O6679" s="380"/>
      <c r="P6679" s="380"/>
      <c r="Q6679" s="380"/>
    </row>
    <row r="6680" spans="1:17" x14ac:dyDescent="0.2">
      <c r="A6680" s="380"/>
      <c r="B6680" s="380"/>
      <c r="C6680" s="380"/>
      <c r="D6680" s="380"/>
      <c r="E6680" s="380"/>
      <c r="F6680" s="378"/>
      <c r="G6680" s="380"/>
      <c r="H6680" s="380"/>
      <c r="I6680" s="383"/>
      <c r="J6680" s="380"/>
      <c r="K6680" s="380"/>
      <c r="L6680" s="378"/>
      <c r="M6680" s="380"/>
      <c r="N6680" s="380"/>
      <c r="O6680" s="380"/>
      <c r="P6680" s="380"/>
      <c r="Q6680" s="380"/>
    </row>
    <row r="6681" spans="1:17" x14ac:dyDescent="0.2">
      <c r="A6681" s="380"/>
      <c r="B6681" s="380"/>
      <c r="C6681" s="380"/>
      <c r="D6681" s="380"/>
      <c r="E6681" s="380"/>
      <c r="F6681" s="378"/>
      <c r="G6681" s="380"/>
      <c r="H6681" s="380"/>
      <c r="I6681" s="383"/>
      <c r="J6681" s="380"/>
      <c r="K6681" s="380"/>
      <c r="L6681" s="378"/>
      <c r="M6681" s="380"/>
      <c r="N6681" s="380"/>
      <c r="O6681" s="380"/>
      <c r="P6681" s="380"/>
      <c r="Q6681" s="380"/>
    </row>
    <row r="6682" spans="1:17" x14ac:dyDescent="0.2">
      <c r="A6682" s="380"/>
      <c r="B6682" s="380"/>
      <c r="C6682" s="380"/>
      <c r="D6682" s="380"/>
      <c r="E6682" s="380"/>
      <c r="F6682" s="378"/>
      <c r="G6682" s="380"/>
      <c r="H6682" s="380"/>
      <c r="I6682" s="383"/>
      <c r="J6682" s="380"/>
      <c r="K6682" s="380"/>
      <c r="L6682" s="378"/>
      <c r="M6682" s="380"/>
      <c r="N6682" s="380"/>
      <c r="O6682" s="380"/>
      <c r="P6682" s="380"/>
      <c r="Q6682" s="380"/>
    </row>
    <row r="6683" spans="1:17" x14ac:dyDescent="0.2">
      <c r="A6683" s="380"/>
      <c r="B6683" s="380"/>
      <c r="C6683" s="380"/>
      <c r="D6683" s="380"/>
      <c r="E6683" s="380"/>
      <c r="F6683" s="378"/>
      <c r="G6683" s="380"/>
      <c r="H6683" s="380"/>
      <c r="I6683" s="383"/>
      <c r="J6683" s="380"/>
      <c r="K6683" s="380"/>
      <c r="L6683" s="378"/>
      <c r="M6683" s="380"/>
      <c r="N6683" s="380"/>
      <c r="O6683" s="380"/>
      <c r="P6683" s="380"/>
      <c r="Q6683" s="380"/>
    </row>
    <row r="6684" spans="1:17" x14ac:dyDescent="0.2">
      <c r="A6684" s="380"/>
      <c r="B6684" s="380"/>
      <c r="C6684" s="380"/>
      <c r="D6684" s="380"/>
      <c r="E6684" s="380"/>
      <c r="F6684" s="378"/>
      <c r="G6684" s="380"/>
      <c r="H6684" s="380"/>
      <c r="I6684" s="383"/>
      <c r="J6684" s="380"/>
      <c r="K6684" s="380"/>
      <c r="L6684" s="378"/>
      <c r="M6684" s="380"/>
      <c r="N6684" s="380"/>
      <c r="O6684" s="380"/>
      <c r="P6684" s="380"/>
      <c r="Q6684" s="380"/>
    </row>
    <row r="6685" spans="1:17" x14ac:dyDescent="0.2">
      <c r="A6685" s="380"/>
      <c r="B6685" s="380"/>
      <c r="C6685" s="380"/>
      <c r="D6685" s="380"/>
      <c r="E6685" s="380"/>
      <c r="F6685" s="378"/>
      <c r="G6685" s="380"/>
      <c r="H6685" s="380"/>
      <c r="I6685" s="383"/>
      <c r="J6685" s="380"/>
      <c r="K6685" s="380"/>
      <c r="L6685" s="378"/>
      <c r="M6685" s="380"/>
      <c r="N6685" s="380"/>
      <c r="O6685" s="380"/>
      <c r="P6685" s="380"/>
      <c r="Q6685" s="380"/>
    </row>
    <row r="6686" spans="1:17" x14ac:dyDescent="0.2">
      <c r="A6686" s="380"/>
      <c r="B6686" s="380"/>
      <c r="C6686" s="380"/>
      <c r="D6686" s="380"/>
      <c r="E6686" s="380"/>
      <c r="F6686" s="378"/>
      <c r="G6686" s="380"/>
      <c r="H6686" s="380"/>
      <c r="I6686" s="383"/>
      <c r="J6686" s="380"/>
      <c r="K6686" s="380"/>
      <c r="L6686" s="378"/>
      <c r="M6686" s="380"/>
      <c r="N6686" s="380"/>
      <c r="O6686" s="380"/>
      <c r="P6686" s="380"/>
      <c r="Q6686" s="380"/>
    </row>
    <row r="6687" spans="1:17" x14ac:dyDescent="0.2">
      <c r="A6687" s="380"/>
      <c r="B6687" s="380"/>
      <c r="C6687" s="380"/>
      <c r="D6687" s="380"/>
      <c r="E6687" s="380"/>
      <c r="F6687" s="378"/>
      <c r="G6687" s="380"/>
      <c r="H6687" s="380"/>
      <c r="I6687" s="383"/>
      <c r="J6687" s="380"/>
      <c r="K6687" s="380"/>
      <c r="L6687" s="378"/>
      <c r="M6687" s="380"/>
      <c r="N6687" s="380"/>
      <c r="O6687" s="380"/>
      <c r="P6687" s="380"/>
      <c r="Q6687" s="380"/>
    </row>
    <row r="6688" spans="1:17" x14ac:dyDescent="0.2">
      <c r="A6688" s="380"/>
      <c r="B6688" s="380"/>
      <c r="C6688" s="380"/>
      <c r="D6688" s="380"/>
      <c r="E6688" s="380"/>
      <c r="F6688" s="378"/>
      <c r="G6688" s="380"/>
      <c r="H6688" s="380"/>
      <c r="I6688" s="383"/>
      <c r="J6688" s="380"/>
      <c r="K6688" s="380"/>
      <c r="L6688" s="378"/>
      <c r="M6688" s="380"/>
      <c r="N6688" s="380"/>
      <c r="O6688" s="380"/>
      <c r="P6688" s="380"/>
      <c r="Q6688" s="380"/>
    </row>
    <row r="6689" spans="1:17" x14ac:dyDescent="0.2">
      <c r="A6689" s="380"/>
      <c r="B6689" s="380"/>
      <c r="C6689" s="380"/>
      <c r="D6689" s="380"/>
      <c r="E6689" s="380"/>
      <c r="F6689" s="378"/>
      <c r="G6689" s="380"/>
      <c r="H6689" s="380"/>
      <c r="I6689" s="383"/>
      <c r="J6689" s="380"/>
      <c r="K6689" s="380"/>
      <c r="L6689" s="378"/>
      <c r="M6689" s="380"/>
      <c r="N6689" s="380"/>
      <c r="O6689" s="380"/>
      <c r="P6689" s="380"/>
      <c r="Q6689" s="380"/>
    </row>
    <row r="6690" spans="1:17" x14ac:dyDescent="0.2">
      <c r="A6690" s="380"/>
      <c r="B6690" s="380"/>
      <c r="C6690" s="380"/>
      <c r="D6690" s="380"/>
      <c r="E6690" s="380"/>
      <c r="F6690" s="378"/>
      <c r="G6690" s="380"/>
      <c r="H6690" s="380"/>
      <c r="I6690" s="383"/>
      <c r="J6690" s="380"/>
      <c r="K6690" s="380"/>
      <c r="L6690" s="378"/>
      <c r="M6690" s="380"/>
      <c r="N6690" s="380"/>
      <c r="O6690" s="380"/>
      <c r="P6690" s="380"/>
      <c r="Q6690" s="380"/>
    </row>
    <row r="6691" spans="1:17" x14ac:dyDescent="0.2">
      <c r="A6691" s="380"/>
      <c r="B6691" s="380"/>
      <c r="C6691" s="380"/>
      <c r="D6691" s="380"/>
      <c r="E6691" s="380"/>
      <c r="F6691" s="378"/>
      <c r="G6691" s="380"/>
      <c r="H6691" s="380"/>
      <c r="I6691" s="383"/>
      <c r="J6691" s="380"/>
      <c r="K6691" s="380"/>
      <c r="L6691" s="378"/>
      <c r="M6691" s="380"/>
      <c r="N6691" s="380"/>
      <c r="O6691" s="380"/>
      <c r="P6691" s="380"/>
      <c r="Q6691" s="380"/>
    </row>
    <row r="6692" spans="1:17" x14ac:dyDescent="0.2">
      <c r="A6692" s="380"/>
      <c r="B6692" s="380"/>
      <c r="C6692" s="380"/>
      <c r="D6692" s="380"/>
      <c r="E6692" s="380"/>
      <c r="F6692" s="378"/>
      <c r="G6692" s="380"/>
      <c r="H6692" s="380"/>
      <c r="I6692" s="383"/>
      <c r="J6692" s="380"/>
      <c r="K6692" s="380"/>
      <c r="L6692" s="378"/>
      <c r="M6692" s="380"/>
      <c r="N6692" s="380"/>
      <c r="O6692" s="380"/>
      <c r="P6692" s="380"/>
      <c r="Q6692" s="380"/>
    </row>
    <row r="6693" spans="1:17" x14ac:dyDescent="0.2">
      <c r="A6693" s="380"/>
      <c r="B6693" s="380"/>
      <c r="C6693" s="380"/>
      <c r="D6693" s="380"/>
      <c r="E6693" s="380"/>
      <c r="F6693" s="378"/>
      <c r="G6693" s="380"/>
      <c r="H6693" s="380"/>
      <c r="I6693" s="383"/>
      <c r="J6693" s="380"/>
      <c r="K6693" s="380"/>
      <c r="L6693" s="378"/>
      <c r="M6693" s="380"/>
      <c r="N6693" s="380"/>
      <c r="O6693" s="380"/>
      <c r="P6693" s="380"/>
      <c r="Q6693" s="380"/>
    </row>
    <row r="6694" spans="1:17" x14ac:dyDescent="0.2">
      <c r="A6694" s="380"/>
      <c r="B6694" s="380"/>
      <c r="C6694" s="380"/>
      <c r="D6694" s="380"/>
      <c r="E6694" s="380"/>
      <c r="F6694" s="378"/>
      <c r="G6694" s="380"/>
      <c r="H6694" s="380"/>
      <c r="I6694" s="383"/>
      <c r="J6694" s="380"/>
      <c r="K6694" s="380"/>
      <c r="L6694" s="378"/>
      <c r="M6694" s="380"/>
      <c r="N6694" s="380"/>
      <c r="O6694" s="380"/>
      <c r="P6694" s="380"/>
      <c r="Q6694" s="380"/>
    </row>
    <row r="6695" spans="1:17" x14ac:dyDescent="0.2">
      <c r="A6695" s="380"/>
      <c r="B6695" s="380"/>
      <c r="C6695" s="380"/>
      <c r="D6695" s="380"/>
      <c r="E6695" s="380"/>
      <c r="F6695" s="378"/>
      <c r="G6695" s="380"/>
      <c r="H6695" s="380"/>
      <c r="I6695" s="383"/>
      <c r="J6695" s="380"/>
      <c r="K6695" s="380"/>
      <c r="L6695" s="378"/>
      <c r="M6695" s="380"/>
      <c r="N6695" s="380"/>
      <c r="O6695" s="380"/>
      <c r="P6695" s="380"/>
      <c r="Q6695" s="380"/>
    </row>
    <row r="6696" spans="1:17" x14ac:dyDescent="0.2">
      <c r="A6696" s="380"/>
      <c r="B6696" s="380"/>
      <c r="C6696" s="380"/>
      <c r="D6696" s="380"/>
      <c r="E6696" s="380"/>
      <c r="F6696" s="378"/>
      <c r="G6696" s="380"/>
      <c r="H6696" s="380"/>
      <c r="I6696" s="383"/>
      <c r="J6696" s="380"/>
      <c r="K6696" s="380"/>
      <c r="L6696" s="378"/>
      <c r="M6696" s="380"/>
      <c r="N6696" s="380"/>
      <c r="O6696" s="380"/>
      <c r="P6696" s="380"/>
      <c r="Q6696" s="380"/>
    </row>
    <row r="6697" spans="1:17" x14ac:dyDescent="0.2">
      <c r="A6697" s="380"/>
      <c r="B6697" s="380"/>
      <c r="C6697" s="380"/>
      <c r="D6697" s="380"/>
      <c r="E6697" s="380"/>
      <c r="F6697" s="378"/>
      <c r="G6697" s="380"/>
      <c r="H6697" s="380"/>
      <c r="I6697" s="383"/>
      <c r="J6697" s="380"/>
      <c r="K6697" s="380"/>
      <c r="L6697" s="378"/>
      <c r="M6697" s="380"/>
      <c r="N6697" s="380"/>
      <c r="O6697" s="380"/>
      <c r="P6697" s="380"/>
      <c r="Q6697" s="380"/>
    </row>
    <row r="6698" spans="1:17" x14ac:dyDescent="0.2">
      <c r="A6698" s="380"/>
      <c r="B6698" s="380"/>
      <c r="C6698" s="380"/>
      <c r="D6698" s="380"/>
      <c r="E6698" s="380"/>
      <c r="F6698" s="378"/>
      <c r="G6698" s="380"/>
      <c r="H6698" s="380"/>
      <c r="I6698" s="383"/>
      <c r="J6698" s="380"/>
      <c r="K6698" s="380"/>
      <c r="L6698" s="378"/>
      <c r="M6698" s="380"/>
      <c r="N6698" s="380"/>
      <c r="O6698" s="380"/>
      <c r="P6698" s="380"/>
      <c r="Q6698" s="380"/>
    </row>
    <row r="6699" spans="1:17" x14ac:dyDescent="0.2">
      <c r="A6699" s="380"/>
      <c r="B6699" s="380"/>
      <c r="C6699" s="380"/>
      <c r="D6699" s="380"/>
      <c r="E6699" s="380"/>
      <c r="F6699" s="378"/>
      <c r="G6699" s="380"/>
      <c r="H6699" s="380"/>
      <c r="I6699" s="383"/>
      <c r="J6699" s="380"/>
      <c r="K6699" s="380"/>
      <c r="L6699" s="378"/>
      <c r="M6699" s="380"/>
      <c r="N6699" s="380"/>
      <c r="O6699" s="380"/>
      <c r="P6699" s="380"/>
      <c r="Q6699" s="380"/>
    </row>
    <row r="6700" spans="1:17" x14ac:dyDescent="0.2">
      <c r="A6700" s="380"/>
      <c r="B6700" s="380"/>
      <c r="C6700" s="380"/>
      <c r="D6700" s="380"/>
      <c r="E6700" s="380"/>
      <c r="F6700" s="378"/>
      <c r="G6700" s="380"/>
      <c r="H6700" s="380"/>
      <c r="I6700" s="383"/>
      <c r="J6700" s="380"/>
      <c r="K6700" s="380"/>
      <c r="L6700" s="378"/>
      <c r="M6700" s="380"/>
      <c r="N6700" s="380"/>
      <c r="O6700" s="380"/>
      <c r="P6700" s="380"/>
      <c r="Q6700" s="380"/>
    </row>
    <row r="6701" spans="1:17" x14ac:dyDescent="0.2">
      <c r="A6701" s="380"/>
      <c r="B6701" s="380"/>
      <c r="C6701" s="380"/>
      <c r="D6701" s="380"/>
      <c r="E6701" s="380"/>
      <c r="F6701" s="378"/>
      <c r="G6701" s="380"/>
      <c r="H6701" s="380"/>
      <c r="I6701" s="383"/>
      <c r="J6701" s="380"/>
      <c r="K6701" s="380"/>
      <c r="L6701" s="378"/>
      <c r="M6701" s="380"/>
      <c r="N6701" s="380"/>
      <c r="O6701" s="380"/>
      <c r="P6701" s="380"/>
      <c r="Q6701" s="380"/>
    </row>
    <row r="6702" spans="1:17" x14ac:dyDescent="0.2">
      <c r="A6702" s="380"/>
      <c r="B6702" s="380"/>
      <c r="C6702" s="380"/>
      <c r="D6702" s="380"/>
      <c r="E6702" s="380"/>
      <c r="F6702" s="378"/>
      <c r="G6702" s="380"/>
      <c r="H6702" s="380"/>
      <c r="I6702" s="383"/>
      <c r="J6702" s="380"/>
      <c r="K6702" s="380"/>
      <c r="L6702" s="378"/>
      <c r="M6702" s="380"/>
      <c r="N6702" s="380"/>
      <c r="O6702" s="380"/>
      <c r="P6702" s="380"/>
      <c r="Q6702" s="380"/>
    </row>
    <row r="6703" spans="1:17" x14ac:dyDescent="0.2">
      <c r="A6703" s="380"/>
      <c r="B6703" s="380"/>
      <c r="C6703" s="380"/>
      <c r="D6703" s="380"/>
      <c r="E6703" s="380"/>
      <c r="F6703" s="378"/>
      <c r="G6703" s="380"/>
      <c r="H6703" s="380"/>
      <c r="I6703" s="383"/>
      <c r="J6703" s="382"/>
      <c r="K6703" s="382"/>
      <c r="L6703" s="380"/>
      <c r="M6703" s="380"/>
      <c r="N6703" s="380"/>
      <c r="O6703" s="380"/>
      <c r="P6703" s="380"/>
      <c r="Q6703" s="380"/>
    </row>
    <row r="6704" spans="1:17" x14ac:dyDescent="0.2">
      <c r="A6704" s="380"/>
      <c r="B6704" s="380"/>
      <c r="C6704" s="380"/>
      <c r="D6704" s="380"/>
      <c r="E6704" s="380"/>
      <c r="F6704" s="378"/>
      <c r="G6704" s="380"/>
      <c r="H6704" s="380"/>
      <c r="I6704" s="383"/>
      <c r="J6704" s="382"/>
      <c r="K6704" s="382"/>
      <c r="L6704" s="380"/>
      <c r="M6704" s="380"/>
      <c r="N6704" s="380"/>
      <c r="O6704" s="380"/>
      <c r="P6704" s="380"/>
      <c r="Q6704" s="380"/>
    </row>
    <row r="6705" spans="1:17" x14ac:dyDescent="0.2">
      <c r="A6705" s="380"/>
      <c r="B6705" s="380"/>
      <c r="C6705" s="380"/>
      <c r="D6705" s="380"/>
      <c r="E6705" s="380"/>
      <c r="F6705" s="378"/>
      <c r="G6705" s="380"/>
      <c r="H6705" s="380"/>
      <c r="I6705" s="383"/>
      <c r="J6705" s="382"/>
      <c r="K6705" s="382"/>
      <c r="L6705" s="380"/>
      <c r="M6705" s="380"/>
      <c r="N6705" s="380"/>
      <c r="O6705" s="380"/>
      <c r="P6705" s="380"/>
      <c r="Q6705" s="380"/>
    </row>
    <row r="6706" spans="1:17" x14ac:dyDescent="0.2">
      <c r="A6706" s="380"/>
      <c r="B6706" s="380"/>
      <c r="C6706" s="380"/>
      <c r="D6706" s="380"/>
      <c r="E6706" s="380"/>
      <c r="F6706" s="378"/>
      <c r="G6706" s="380"/>
      <c r="H6706" s="380"/>
      <c r="I6706" s="383"/>
      <c r="J6706" s="382"/>
      <c r="K6706" s="382"/>
      <c r="L6706" s="380"/>
      <c r="M6706" s="380"/>
      <c r="N6706" s="380"/>
      <c r="O6706" s="380"/>
      <c r="P6706" s="380"/>
      <c r="Q6706" s="380"/>
    </row>
    <row r="6707" spans="1:17" x14ac:dyDescent="0.2">
      <c r="A6707" s="380"/>
      <c r="B6707" s="380"/>
      <c r="C6707" s="380"/>
      <c r="D6707" s="380"/>
      <c r="E6707" s="380"/>
      <c r="F6707" s="380"/>
      <c r="G6707" s="380"/>
      <c r="H6707" s="380"/>
      <c r="I6707" s="380"/>
      <c r="J6707" s="380"/>
      <c r="K6707" s="380"/>
      <c r="L6707" s="380"/>
      <c r="M6707" s="380"/>
      <c r="N6707" s="380"/>
      <c r="O6707" s="380"/>
      <c r="P6707" s="380"/>
      <c r="Q6707" s="380"/>
    </row>
  </sheetData>
  <dataConsolidate function="stdDev">
    <dataRefs count="1">
      <dataRef ref="E50" sheet="Op Detail"/>
    </dataRefs>
  </dataConsolidate>
  <customSheetViews>
    <customSheetView guid="{32908539-2542-409A-8F82-90CA4AF2FA22}" showPageBreaks="1" printArea="1" hiddenColumns="1" topLeftCell="A4381">
      <selection activeCell="D4405" sqref="D4405"/>
      <rowBreaks count="252" manualBreakCount="252">
        <brk id="22" max="16383" man="1"/>
        <brk id="47" max="16383" man="1"/>
        <brk id="71" max="16383" man="1"/>
        <brk id="101" max="16383" man="1"/>
        <brk id="136" max="16383" man="1"/>
        <brk id="167" max="16383" man="1"/>
        <brk id="198" max="16383" man="1"/>
        <brk id="229" max="16383" man="1"/>
        <brk id="246" min="265" max="291" man="1"/>
        <brk id="252" max="16383" man="1"/>
        <brk id="282" max="16383" man="1"/>
        <brk id="307" max="16383" man="1"/>
        <brk id="327" min="355" max="385" man="1"/>
        <brk id="336" max="16383" man="1"/>
        <brk id="376" max="16383" man="1"/>
        <brk id="411" max="16383" man="1"/>
        <brk id="436" min="473" max="505" man="1"/>
        <brk id="453" max="16383" man="1"/>
        <brk id="497" max="6" man="1"/>
        <brk id="540" max="6" man="1"/>
        <brk id="540" min="560" max="590" man="1"/>
        <brk id="582" max="6" man="1"/>
        <brk id="625" max="6" man="1"/>
        <brk id="628" min="652" max="663" man="1"/>
        <brk id="668" max="6" man="1"/>
        <brk id="683" min="685" max="707" man="1"/>
        <brk id="712" max="6" man="1"/>
        <brk id="737" min="743" max="754" man="1"/>
        <brk id="757" max="6" man="1"/>
        <brk id="779" min="785" max="796" man="1"/>
        <brk id="801" max="6" man="1"/>
        <brk id="831" min="844" max="878" man="1"/>
        <brk id="845" max="6" man="1"/>
        <brk id="889" max="6" man="1"/>
        <brk id="917" min="929" max="942" man="1"/>
        <brk id="933" max="6" man="1"/>
        <brk id="964" min="966" max="977" man="1"/>
        <brk id="976" max="6" man="1"/>
        <brk id="997" min="999" max="1014" man="1"/>
        <brk id="1019" max="6" man="1"/>
        <brk id="1034" min="1053" max="1066" man="1"/>
        <brk id="1062" max="6" man="1"/>
        <brk id="1107" max="6" man="1"/>
        <brk id="1142" max="6" man="1"/>
        <brk id="1107" min="1118" max="1141" man="1"/>
        <brk id="1169" max="6" man="1"/>
        <brk id="1202" max="6" man="1"/>
        <brk id="1232" max="16383" man="1"/>
        <brk id="1185" min="1189" max="1216" man="1"/>
        <brk id="1264" max="16383" man="1"/>
        <brk id="1297" max="16383" man="1"/>
        <brk id="1249" min="1256" max="1282" man="1"/>
        <brk id="1308" max="16383" man="1"/>
        <brk id="1318" max="16383" man="1"/>
        <brk id="1330" max="16383" man="1"/>
        <brk id="1352" max="16383" man="1"/>
        <brk id="1315" min="1322" max="1345" man="1"/>
        <brk id="1375" max="16383" man="1"/>
        <brk id="1391" max="16383" man="1"/>
        <brk id="1401" max="16383" man="1"/>
        <brk id="1418" max="16383" man="1"/>
        <brk id="1372" min="1378" max="1403" man="1"/>
        <brk id="1434" max="16383" man="1"/>
        <brk id="1445" max="16383" man="1"/>
        <brk id="1473" max="16383" man="1"/>
        <brk id="1494" max="16383" man="1"/>
        <brk id="1437" min="1461" max="1480" man="1"/>
        <brk id="1528" max="16383" man="1"/>
        <brk id="1560" max="16383" man="1"/>
        <brk id="1525" min="1557" max="1599" man="1"/>
        <brk id="1585" max="16383" man="1"/>
        <brk id="1619" max="16383" man="1"/>
        <brk id="1632" max="16383" man="1"/>
        <brk id="1644" max="16383" man="1"/>
        <brk id="1654" max="16383" man="1"/>
        <brk id="1665" max="16383" man="1"/>
        <brk id="1677" max="16383" man="1"/>
        <brk id="1701" max="16383" man="1"/>
        <brk id="1710" max="16383" man="1"/>
        <brk id="1623" min="1624" max="1635" man="1"/>
        <brk id="1742" max="6" man="1"/>
        <brk id="1656" min="1663" max="1687" man="1"/>
        <brk id="1781" max="16383" man="1"/>
        <brk id="1800" max="6" man="1"/>
        <brk id="1835" max="16383" man="1"/>
        <brk id="1719" min="1725" max="1756" man="1"/>
        <brk id="1869" max="16383" man="1"/>
        <brk id="1889" max="16383" man="1"/>
        <brk id="1917" max="16383" man="1"/>
        <brk id="1788" min="1805" max="1829" man="1"/>
        <brk id="1956" max="16383" man="1"/>
        <brk id="1989" max="16383" man="1"/>
        <brk id="1866" min="1878" max="1901" man="1"/>
        <brk id="2015" max="16383" man="1"/>
        <brk id="2032" max="6" man="1"/>
        <brk id="2057" max="16383" man="1"/>
        <brk id="1936" min="1933" max="1957" man="1"/>
        <brk id="2082" max="16383" man="1"/>
        <brk id="2115" max="16383" man="1"/>
        <brk id="2136" max="6" man="1"/>
        <brk id="2001" min="2009" max="2048" man="1"/>
        <brk id="2148" max="16383" man="1"/>
        <brk id="2172" max="16383" man="1"/>
        <brk id="2202" max="16383" man="1"/>
        <brk id="2229" max="16383" man="1"/>
        <brk id="2267" max="16383" man="1"/>
        <brk id="2101" min="2104" max="2132" man="1"/>
        <brk id="2288" max="16383" man="1"/>
        <brk id="2326" max="16383" man="1"/>
        <brk id="2170" min="2174" max="2208" man="1"/>
        <brk id="2362" max="16383" man="1"/>
        <brk id="2236" min="2248" max="2270" man="1"/>
        <brk id="2410" max="16383" man="1"/>
        <brk id="2452" max="6" man="1"/>
        <brk id="2303" min="2319" max="2349" man="1"/>
        <brk id="2492" max="6" man="1"/>
        <brk id="2533" max="6" man="1"/>
        <brk id="2398" min="2408" max="2435" man="1"/>
        <brk id="2575" max="6" man="1"/>
        <brk id="2618" max="6" man="1"/>
        <brk id="2477" min="2494" max="2524" man="1"/>
        <brk id="2664" max="6" man="1"/>
        <brk id="2706" max="6" man="1"/>
        <brk id="2573" min="2584" max="2610" man="1"/>
        <brk id="2747" max="6" man="1"/>
        <brk id="2794" max="6" man="1"/>
        <brk id="2835" max="16383" man="1"/>
        <brk id="2660" min="2680" max="2713" man="1"/>
        <brk id="2873" max="16383" man="1"/>
        <brk id="2884" max="16383" man="1"/>
        <brk id="2895" max="16383" man="1"/>
        <brk id="2914" max="16383" man="1"/>
        <brk id="2940" max="16383" man="1"/>
        <brk id="2971" max="16383" man="1"/>
        <brk id="2768" min="2778" max="2805" man="1"/>
        <brk id="2988" max="16383" man="1"/>
        <brk id="3025" max="16383" man="1"/>
        <brk id="3045" max="16383" man="1"/>
        <brk id="2849" min="2857" max="2883" man="1"/>
        <brk id="3081" max="16383" man="1"/>
        <brk id="3106" max="16383" man="1"/>
        <brk id="3133" max="16383" man="1"/>
        <brk id="2927" min="2935" max="2946" man="1"/>
        <brk id="3160" max="16383" man="1"/>
        <brk id="3186" max="16383" man="1"/>
        <brk id="2991" min="2999" max="3023" man="1"/>
        <brk id="3210" max="16383" man="1"/>
        <brk id="3235" max="16383" man="1"/>
        <brk id="3264" max="16383" man="1"/>
        <brk id="3067" min="3081" max="3104" man="1"/>
        <brk id="3287" max="16383" man="1"/>
        <brk id="3335" max="16383" man="1"/>
        <brk id="3149" min="3144" max="3165" man="1"/>
        <brk id="3382" max="16383" man="1"/>
        <brk id="3414" max="16383" man="1"/>
        <brk id="3205" min="3197" max="3220" man="1"/>
        <brk id="3438" max="16383" man="1"/>
        <brk id="3462" max="16383" man="1"/>
        <brk id="3259" min="3258" max="3293" man="1"/>
        <brk id="3499" max="16383" man="1"/>
        <brk id="3509" max="16383" man="1"/>
        <brk id="3544" max="16383" man="1"/>
        <brk id="3342" min="3342" max="3361" man="1"/>
        <brk id="3572" max="16383" man="1"/>
        <brk id="3589" max="16383" man="1"/>
        <brk id="3624" max="16383" man="1"/>
        <brk id="3402" min="3408" max="3439" man="1"/>
        <brk id="3654" max="16383" man="1"/>
        <brk id="3690" max="16383" man="1"/>
        <brk id="3718" max="16383" man="1"/>
        <brk id="3487" min="3497" max="3513" man="1"/>
        <brk id="3749" max="16383" man="1"/>
        <brk id="3784" max="16383" man="1"/>
        <brk id="3548" min="3548" max="3570" man="1"/>
        <brk id="3821" max="16383" man="1"/>
        <brk id="3856" max="16383" man="1"/>
        <brk id="3613" min="3617" max="3645" man="1"/>
        <brk id="3893" max="16383" man="1"/>
        <brk id="3924" max="16383" man="1"/>
        <brk id="3666" min="3687" max="34486" man="1"/>
        <brk id="3958" max="16383" man="1"/>
        <brk id="3991" max="16383" man="1"/>
        <brk id="4027" max="16383" man="1"/>
        <brk id="4064" max="16383" man="1"/>
        <brk id="4111" max="16383" man="1"/>
        <brk id="4148" max="16383" man="1"/>
        <brk id="4175" max="16383" man="1"/>
        <brk id="4202" max="16383" man="1"/>
        <brk id="4227" max="16383" man="1"/>
        <brk id="4254" max="16383" man="1"/>
        <brk id="4280" max="16383" man="1"/>
        <brk id="4306" max="16383" man="1"/>
        <brk id="4332" max="16383" man="1"/>
        <brk id="4345" max="16383" man="1"/>
        <brk id="4356" max="16383" man="1"/>
        <brk id="4385" max="16383" man="1"/>
        <brk id="4409" max="16383" man="1"/>
        <brk id="4437" max="16383" man="1"/>
        <brk id="4471" max="16383" man="1"/>
        <brk id="4499" max="16383" man="1"/>
        <brk id="4526" max="16383" man="1"/>
        <brk id="4539" max="16383" man="1"/>
        <brk id="4563" max="16383" man="1"/>
        <brk id="4588" max="16383" man="1"/>
        <brk id="4599" max="16383" man="1"/>
        <brk id="4623" max="16383" man="1"/>
        <brk id="4646" max="16383" man="1"/>
        <brk id="4663" max="16383" man="1"/>
        <brk id="4702" max="16383" man="1"/>
        <brk id="4731" max="16383" man="1"/>
        <brk id="4754" max="16383" man="1"/>
        <brk id="4783" max="16383" man="1"/>
        <brk id="4815" max="16383" man="1"/>
        <brk id="4842" max="16383" man="1"/>
        <brk id="4868" max="16383" man="1"/>
        <brk id="4904" max="16383" man="1"/>
        <brk id="4932" max="16383" man="1"/>
        <brk id="4964" max="16383" man="1"/>
        <brk id="4982" max="16383" man="1"/>
        <brk id="4997" max="16383" man="1"/>
        <brk id="5023" max="16383" man="1"/>
        <brk id="5046" max="16383" man="1"/>
        <brk id="5076" max="6" man="1"/>
        <brk id="5106" max="6" man="1"/>
        <brk id="5133" max="16383" man="1"/>
        <brk id="5160" max="16383" man="1"/>
        <brk id="5191" max="16383" man="1"/>
        <brk id="5213" max="16383" man="1"/>
        <brk id="5246" max="6" man="1"/>
        <brk id="5277" max="7" man="1"/>
        <brk id="5315" max="6" man="1"/>
        <brk id="5352" max="6" man="1"/>
        <brk id="5390" max="6" man="1"/>
        <brk id="5427" max="6" man="1"/>
        <brk id="5465" max="6" man="1"/>
        <brk id="5503" max="6" man="1"/>
        <brk id="5541" max="6" man="1"/>
        <brk id="5579" max="6" man="1"/>
        <brk id="5617" max="6" man="1"/>
        <brk id="5655" max="6" man="1"/>
        <brk id="5692" max="6" man="1"/>
        <brk id="5730" max="6" man="1"/>
        <brk id="5771" max="6" man="1"/>
        <brk id="5812" max="6" man="1"/>
        <brk id="5853" max="6" man="1"/>
        <brk id="5893" max="6" man="1"/>
        <brk id="5933" max="6" man="1"/>
        <brk id="5974" max="6" man="1"/>
        <brk id="5984" max="16383" man="1"/>
        <brk id="6021" max="6" man="1"/>
        <brk id="6063" max="6" man="1"/>
        <brk id="6106" max="6" man="1"/>
      </rowBreaks>
      <pageMargins left="0.75" right="0.75" top="1" bottom="1" header="0.5" footer="0.5"/>
      <printOptions horizontalCentered="1"/>
      <pageSetup scale="87" orientation="portrait" r:id="rId1"/>
      <headerFooter alignWithMargins="0">
        <oddFooter>&amp;C4-&amp;P</oddFooter>
      </headerFooter>
    </customSheetView>
    <customSheetView guid="{A8860A6A-D8F5-A548-B67D-3E99578E1F8E}" showPageBreaks="1" printArea="1" hiddenColumns="1" topLeftCell="A2579">
      <selection activeCell="F2585" sqref="F2585"/>
      <rowBreaks count="252" manualBreakCount="252">
        <brk id="22" max="16383" man="1"/>
        <brk id="47" max="16383" man="1"/>
        <brk id="71" max="16383" man="1"/>
        <brk id="101" max="16383" man="1"/>
        <brk id="136" max="16383" man="1"/>
        <brk id="167" max="16383" man="1"/>
        <brk id="198" max="16383" man="1"/>
        <brk id="229" max="16383" man="1"/>
        <brk id="246" min="265" max="291" man="1"/>
        <brk id="252" max="16383" man="1"/>
        <brk id="282" max="16383" man="1"/>
        <brk id="307" max="16383" man="1"/>
        <brk id="327" min="355" max="385" man="1"/>
        <brk id="336" max="16383" man="1"/>
        <brk id="376" max="16383" man="1"/>
        <brk id="411" max="16383" man="1"/>
        <brk id="436" min="473" max="505" man="1"/>
        <brk id="453" max="16383" man="1"/>
        <brk id="497" max="6" man="1"/>
        <brk id="540" max="6" man="1"/>
        <brk id="540" min="560" max="590" man="1"/>
        <brk id="582" max="6" man="1"/>
        <brk id="625" max="6" man="1"/>
        <brk id="628" min="652" max="663" man="1"/>
        <brk id="668" max="6" man="1"/>
        <brk id="683" min="685" max="707" man="1"/>
        <brk id="712" max="6" man="1"/>
        <brk id="737" min="743" max="754" man="1"/>
        <brk id="757" max="6" man="1"/>
        <brk id="779" min="785" max="796" man="1"/>
        <brk id="801" max="6" man="1"/>
        <brk id="831" min="844" max="878" man="1"/>
        <brk id="845" max="6" man="1"/>
        <brk id="889" max="6" man="1"/>
        <brk id="917" min="929" max="942" man="1"/>
        <brk id="933" max="6" man="1"/>
        <brk id="964" min="966" max="977" man="1"/>
        <brk id="976" max="6" man="1"/>
        <brk id="997" min="999" max="1014" man="1"/>
        <brk id="1019" max="6" man="1"/>
        <brk id="1034" min="1053" max="1066" man="1"/>
        <brk id="1062" max="6" man="1"/>
        <brk id="1107" max="6" man="1"/>
        <brk id="1142" max="6" man="1"/>
        <brk id="1107" min="1118" max="1141" man="1"/>
        <brk id="1169" max="6" man="1"/>
        <brk id="1202" max="6" man="1"/>
        <brk id="1232" max="16383" man="1"/>
        <brk id="1185" min="1189" max="1216" man="1"/>
        <brk id="1264" max="16383" man="1"/>
        <brk id="1297" max="16383" man="1"/>
        <brk id="1249" min="1256" max="1282" man="1"/>
        <brk id="1308" max="16383" man="1"/>
        <brk id="1318" max="16383" man="1"/>
        <brk id="1330" max="16383" man="1"/>
        <brk id="1352" max="16383" man="1"/>
        <brk id="1315" min="1322" max="1345" man="1"/>
        <brk id="1375" max="16383" man="1"/>
        <brk id="1391" max="16383" man="1"/>
        <brk id="1401" max="16383" man="1"/>
        <brk id="1418" max="16383" man="1"/>
        <brk id="1372" min="1378" max="1403" man="1"/>
        <brk id="1434" max="16383" man="1"/>
        <brk id="1445" max="16383" man="1"/>
        <brk id="1473" max="16383" man="1"/>
        <brk id="1494" max="16383" man="1"/>
        <brk id="1437" min="1461" max="1480" man="1"/>
        <brk id="1528" max="16383" man="1"/>
        <brk id="1560" max="16383" man="1"/>
        <brk id="1525" min="1557" max="1599" man="1"/>
        <brk id="1585" max="16383" man="1"/>
        <brk id="1619" max="16383" man="1"/>
        <brk id="1632" max="16383" man="1"/>
        <brk id="1644" max="16383" man="1"/>
        <brk id="1654" max="16383" man="1"/>
        <brk id="1665" max="16383" man="1"/>
        <brk id="1677" max="16383" man="1"/>
        <brk id="1701" max="16383" man="1"/>
        <brk id="1710" max="16383" man="1"/>
        <brk id="1623" min="1624" max="1635" man="1"/>
        <brk id="1742" max="6" man="1"/>
        <brk id="1656" min="1663" max="1687" man="1"/>
        <brk id="1781" max="16383" man="1"/>
        <brk id="1800" max="6" man="1"/>
        <brk id="1835" max="16383" man="1"/>
        <brk id="1719" min="1725" max="1756" man="1"/>
        <brk id="1869" max="16383" man="1"/>
        <brk id="1889" max="16383" man="1"/>
        <brk id="1917" max="16383" man="1"/>
        <brk id="1788" min="1805" max="1829" man="1"/>
        <brk id="1956" max="16383" man="1"/>
        <brk id="1989" max="16383" man="1"/>
        <brk id="1866" min="1878" max="1901" man="1"/>
        <brk id="2015" max="16383" man="1"/>
        <brk id="2032" max="6" man="1"/>
        <brk id="2057" max="16383" man="1"/>
        <brk id="1936" min="1933" max="1957" man="1"/>
        <brk id="2082" max="16383" man="1"/>
        <brk id="2115" max="16383" man="1"/>
        <brk id="2136" max="6" man="1"/>
        <brk id="2001" min="2009" max="2048" man="1"/>
        <brk id="2148" max="16383" man="1"/>
        <brk id="2172" max="16383" man="1"/>
        <brk id="2202" max="16383" man="1"/>
        <brk id="2229" max="16383" man="1"/>
        <brk id="2267" max="16383" man="1"/>
        <brk id="2101" min="2104" max="2132" man="1"/>
        <brk id="2288" max="16383" man="1"/>
        <brk id="2326" max="16383" man="1"/>
        <brk id="2170" min="2174" max="2208" man="1"/>
        <brk id="2362" max="16383" man="1"/>
        <brk id="2236" min="2248" max="2270" man="1"/>
        <brk id="2410" max="16383" man="1"/>
        <brk id="2452" max="6" man="1"/>
        <brk id="2303" min="2319" max="2349" man="1"/>
        <brk id="2492" max="6" man="1"/>
        <brk id="2533" max="6" man="1"/>
        <brk id="2398" min="2408" max="2435" man="1"/>
        <brk id="2575" max="6" man="1"/>
        <brk id="2618" max="6" man="1"/>
        <brk id="2477" min="2494" max="2524" man="1"/>
        <brk id="2664" max="6" man="1"/>
        <brk id="2706" max="6" man="1"/>
        <brk id="2573" min="2584" max="2610" man="1"/>
        <brk id="2747" max="6" man="1"/>
        <brk id="2794" max="6" man="1"/>
        <brk id="2835" max="16383" man="1"/>
        <brk id="2660" min="2680" max="2713" man="1"/>
        <brk id="2873" max="16383" man="1"/>
        <brk id="2884" max="16383" man="1"/>
        <brk id="2895" max="16383" man="1"/>
        <brk id="2914" max="16383" man="1"/>
        <brk id="2940" max="16383" man="1"/>
        <brk id="2971" max="16383" man="1"/>
        <brk id="2768" min="2778" max="2805" man="1"/>
        <brk id="2988" max="16383" man="1"/>
        <brk id="3025" max="16383" man="1"/>
        <brk id="3045" max="16383" man="1"/>
        <brk id="2849" min="2857" max="2883" man="1"/>
        <brk id="3081" max="16383" man="1"/>
        <brk id="3106" max="16383" man="1"/>
        <brk id="3133" max="16383" man="1"/>
        <brk id="2927" min="2935" max="2946" man="1"/>
        <brk id="3160" max="16383" man="1"/>
        <brk id="3186" max="16383" man="1"/>
        <brk id="2991" min="2999" max="3023" man="1"/>
        <brk id="3210" max="16383" man="1"/>
        <brk id="3235" max="16383" man="1"/>
        <brk id="3264" max="16383" man="1"/>
        <brk id="3067" min="3081" max="3104" man="1"/>
        <brk id="3287" max="16383" man="1"/>
        <brk id="3335" max="16383" man="1"/>
        <brk id="3149" min="3144" max="3165" man="1"/>
        <brk id="3382" max="16383" man="1"/>
        <brk id="3414" max="16383" man="1"/>
        <brk id="3205" min="3197" max="3220" man="1"/>
        <brk id="3438" max="16383" man="1"/>
        <brk id="3462" max="16383" man="1"/>
        <brk id="3259" min="3258" max="3293" man="1"/>
        <brk id="3499" max="16383" man="1"/>
        <brk id="3509" max="16383" man="1"/>
        <brk id="3544" max="16383" man="1"/>
        <brk id="3342" min="3342" max="3361" man="1"/>
        <brk id="3572" max="16383" man="1"/>
        <brk id="3589" max="16383" man="1"/>
        <brk id="3624" max="16383" man="1"/>
        <brk id="3402" min="3408" max="3439" man="1"/>
        <brk id="3654" max="16383" man="1"/>
        <brk id="3690" max="16383" man="1"/>
        <brk id="3718" max="16383" man="1"/>
        <brk id="3487" min="3497" max="3513" man="1"/>
        <brk id="3749" max="16383" man="1"/>
        <brk id="3784" max="16383" man="1"/>
        <brk id="3548" min="3548" max="3570" man="1"/>
        <brk id="3821" max="16383" man="1"/>
        <brk id="3856" max="16383" man="1"/>
        <brk id="3613" min="3617" max="3645" man="1"/>
        <brk id="3893" max="16383" man="1"/>
        <brk id="3924" max="16383" man="1"/>
        <brk id="3666" min="3687" max="34486" man="1"/>
        <brk id="3958" max="16383" man="1"/>
        <brk id="3991" max="16383" man="1"/>
        <brk id="4027" max="16383" man="1"/>
        <brk id="4064" max="16383" man="1"/>
        <brk id="4111" max="16383" man="1"/>
        <brk id="4148" max="16383" man="1"/>
        <brk id="4175" max="16383" man="1"/>
        <brk id="4202" max="16383" man="1"/>
        <brk id="4227" max="16383" man="1"/>
        <brk id="4254" max="16383" man="1"/>
        <brk id="4280" max="16383" man="1"/>
        <brk id="4306" max="16383" man="1"/>
        <brk id="4332" max="16383" man="1"/>
        <brk id="4345" max="16383" man="1"/>
        <brk id="4356" max="16383" man="1"/>
        <brk id="4385" max="16383" man="1"/>
        <brk id="4409" max="16383" man="1"/>
        <brk id="4437" max="16383" man="1"/>
        <brk id="4471" max="16383" man="1"/>
        <brk id="4499" max="16383" man="1"/>
        <brk id="4526" max="16383" man="1"/>
        <brk id="4539" max="16383" man="1"/>
        <brk id="4563" max="16383" man="1"/>
        <brk id="4588" max="16383" man="1"/>
        <brk id="4599" max="16383" man="1"/>
        <brk id="4623" max="16383" man="1"/>
        <brk id="4646" max="16383" man="1"/>
        <brk id="4663" max="16383" man="1"/>
        <brk id="4702" max="16383" man="1"/>
        <brk id="4731" max="16383" man="1"/>
        <brk id="4754" max="16383" man="1"/>
        <brk id="4783" max="16383" man="1"/>
        <brk id="4815" max="16383" man="1"/>
        <brk id="4842" max="16383" man="1"/>
        <brk id="4868" max="16383" man="1"/>
        <brk id="4904" max="16383" man="1"/>
        <brk id="4932" max="16383" man="1"/>
        <brk id="4964" max="16383" man="1"/>
        <brk id="4982" max="16383" man="1"/>
        <brk id="4997" max="16383" man="1"/>
        <brk id="5023" max="16383" man="1"/>
        <brk id="5046" max="16383" man="1"/>
        <brk id="5076" max="6" man="1"/>
        <brk id="5106" max="6" man="1"/>
        <brk id="5133" max="16383" man="1"/>
        <brk id="5160" max="16383" man="1"/>
        <brk id="5191" max="16383" man="1"/>
        <brk id="5213" max="16383" man="1"/>
        <brk id="5246" max="6" man="1"/>
        <brk id="5277" max="7" man="1"/>
        <brk id="5315" max="6" man="1"/>
        <brk id="5352" max="6" man="1"/>
        <brk id="5390" max="6" man="1"/>
        <brk id="5427" max="6" man="1"/>
        <brk id="5465" max="6" man="1"/>
        <brk id="5503" max="6" man="1"/>
        <brk id="5541" max="6" man="1"/>
        <brk id="5579" max="6" man="1"/>
        <brk id="5617" max="6" man="1"/>
        <brk id="5655" max="6" man="1"/>
        <brk id="5692" max="6" man="1"/>
        <brk id="5730" max="6" man="1"/>
        <brk id="5771" max="6" man="1"/>
        <brk id="5812" max="6" man="1"/>
        <brk id="5853" max="6" man="1"/>
        <brk id="5893" max="6" man="1"/>
        <brk id="5933" max="6" man="1"/>
        <brk id="5974" max="6" man="1"/>
        <brk id="5984" max="16383" man="1"/>
        <brk id="6021" max="6" man="1"/>
        <brk id="6063" max="6" man="1"/>
        <brk id="6106" max="6" man="1"/>
      </rowBreaks>
      <pageMargins left="0.7" right="0.7" top="0.75" bottom="0.75" header="0.3" footer="0.3"/>
      <printOptions horizontalCentered="1"/>
      <headerFooter alignWithMargins="0">
        <oddFooter>&amp;C4-&amp;P</oddFooter>
      </headerFooter>
    </customSheetView>
  </customSheetViews>
  <mergeCells count="4">
    <mergeCell ref="D1579:E1579"/>
    <mergeCell ref="J1579:K1579"/>
    <mergeCell ref="D3082:F3082"/>
    <mergeCell ref="C6145:E6145"/>
  </mergeCells>
  <phoneticPr fontId="0" type="noConversion"/>
  <printOptions horizontalCentered="1"/>
  <pageMargins left="0.7" right="0.7" top="0.75" bottom="0.75" header="0.3" footer="0.3"/>
  <pageSetup scale="75" orientation="portrait" r:id="rId2"/>
  <headerFooter alignWithMargins="0">
    <oddFooter>&amp;C4-&amp;P</oddFooter>
  </headerFooter>
  <rowBreaks count="260" manualBreakCount="260">
    <brk id="24" max="7" man="1"/>
    <brk id="52" max="7" man="1"/>
    <brk id="78" max="7" man="1"/>
    <brk id="108" max="7" man="1"/>
    <brk id="146" max="7" man="1"/>
    <brk id="181" max="7" man="1"/>
    <brk id="216" max="7" man="1"/>
    <brk id="252" min="265" max="291" man="1"/>
    <brk id="252" max="7" man="1"/>
    <brk id="275" max="7" man="1"/>
    <brk id="305" max="7" man="1"/>
    <brk id="333" min="355" max="385" man="1"/>
    <brk id="333" max="7" man="1"/>
    <brk id="361" max="7" man="1"/>
    <brk id="402" max="7" man="1"/>
    <brk id="437" max="7" man="1"/>
    <brk id="442" min="473" max="505" man="1"/>
    <brk id="479" max="7" man="1"/>
    <brk id="523" max="7" man="1"/>
    <brk id="546" min="560" max="590" man="1"/>
    <brk id="568" max="7" man="1"/>
    <brk id="612" max="7" man="1"/>
    <brk id="634" min="652" max="663" man="1"/>
    <brk id="655" max="7" man="1"/>
    <brk id="689" min="685" max="707" man="1"/>
    <brk id="699" max="7" man="1"/>
    <brk id="743" min="743" max="754" man="1"/>
    <brk id="744" max="7" man="1"/>
    <brk id="785" min="785" max="796" man="1"/>
    <brk id="788" max="7" man="1"/>
    <brk id="832" max="7" man="1"/>
    <brk id="837" min="844" max="878" man="1"/>
    <brk id="876" max="7" man="1"/>
    <brk id="920" max="7" man="1"/>
    <brk id="923" min="929" max="942" man="1"/>
    <brk id="965" max="7" man="1"/>
    <brk id="970" min="966" max="977" man="1"/>
    <brk id="1003" min="999" max="1014" man="1"/>
    <brk id="1008" max="7" man="1"/>
    <brk id="1040" min="1053" max="1066" man="1"/>
    <brk id="1051" max="7" man="1"/>
    <brk id="1094" max="7" man="1"/>
    <brk id="1113" min="1118" max="1141" man="1"/>
    <brk id="1139" max="7" man="1"/>
    <brk id="1175" max="7" man="1"/>
    <brk id="1191" min="1189" max="1216" man="1"/>
    <brk id="1204" max="7" man="1"/>
    <brk id="1236" max="7" man="1"/>
    <brk id="1255" min="1256" max="1282" man="1"/>
    <brk id="1267" max="7" man="1"/>
    <brk id="1300" max="7" man="1"/>
    <brk id="1321" min="1322" max="1345" man="1"/>
    <brk id="1333" max="7" man="1"/>
    <brk id="1345" max="7" man="1"/>
    <brk id="1356" max="7" man="1"/>
    <brk id="1368" max="7" man="1"/>
    <brk id="1380" min="1378" max="1403" man="1"/>
    <brk id="1393" max="7" man="1"/>
    <brk id="1415" max="7" man="1"/>
    <brk id="1430" max="7" man="1"/>
    <brk id="1442" max="16383" man="1"/>
    <brk id="1445" min="1461" max="1480" man="1"/>
    <brk id="1459" max="7" man="1"/>
    <brk id="1477" max="7" man="1"/>
    <brk id="1488" max="7" man="1"/>
    <brk id="1519" max="7" man="1"/>
    <brk id="1533" min="1557" max="1599" man="1"/>
    <brk id="1540" max="7" man="1"/>
    <brk id="1574" max="7" man="1"/>
    <brk id="1606" max="7" man="1"/>
    <brk id="1631" min="1624" max="1635" man="1"/>
    <brk id="1633" max="7" man="1"/>
    <brk id="1664" min="1663" max="1687" man="1"/>
    <brk id="1667" max="7" man="1"/>
    <brk id="1680" max="7" man="1"/>
    <brk id="1693" max="7" man="1"/>
    <brk id="1704" max="7" man="1"/>
    <brk id="1715" max="7" man="1"/>
    <brk id="1725" max="7" man="1"/>
    <brk id="1727" min="1725" max="1756" man="1"/>
    <brk id="1750" max="7" man="1"/>
    <brk id="1759" max="7" man="1"/>
    <brk id="1792" max="7" man="1"/>
    <brk id="1796" min="1805" max="1829" man="1"/>
    <brk id="1837" max="7" man="1"/>
    <brk id="1864" max="7" man="1"/>
    <brk id="1875" min="1878" max="1901" man="1"/>
    <brk id="1900" max="7" man="1"/>
    <brk id="1934" max="7" man="1"/>
    <brk id="1945" min="1933" max="1957" man="1"/>
    <brk id="1955" max="7" man="1"/>
    <brk id="1982" max="7" man="1"/>
    <brk id="2010" min="2009" max="2048" man="1"/>
    <brk id="2024" max="16383" man="1"/>
    <brk id="2056" max="7" man="1"/>
    <brk id="2081" max="7" man="1"/>
    <brk id="2097" max="7" man="1"/>
    <brk id="2110" min="2104" max="2132" man="1"/>
    <brk id="2125" max="16383" man="1"/>
    <brk id="2150" max="7" man="1"/>
    <brk id="2181" min="2174" max="2208" man="1"/>
    <brk id="2189" max="7" man="1"/>
    <brk id="2210" max="7" man="1"/>
    <brk id="2223" max="7" man="1"/>
    <brk id="2254" max="7" man="1"/>
    <brk id="2254" min="2248" max="2270" man="1"/>
    <brk id="2285" max="16383" man="1"/>
    <brk id="2312" max="7" man="1"/>
    <brk id="2321" min="2319" max="2349" man="1"/>
    <brk id="2350" max="7" man="1"/>
    <brk id="2371" max="7" man="1"/>
    <brk id="2408" max="7" man="1"/>
    <brk id="2416" min="2408" max="2435" man="1"/>
    <brk id="2445" max="7" man="1"/>
    <brk id="2492" max="7" man="1"/>
    <brk id="2495" min="2494" max="2524" man="1"/>
    <brk id="2534" max="7" man="1"/>
    <brk id="2574" max="7" man="1"/>
    <brk id="2591" min="2584" max="2610" man="1"/>
    <brk id="2615" max="7" man="1"/>
    <brk id="2657" max="7" man="1"/>
    <brk id="2679" min="2680" max="2713" man="1"/>
    <brk id="2703" max="7" man="1"/>
    <brk id="2750" max="7" man="1"/>
    <brk id="2787" min="2778" max="2805" man="1"/>
    <brk id="2791" max="7" man="1"/>
    <brk id="2832" max="7" man="1"/>
    <brk id="2868" min="2857" max="2883" man="1"/>
    <brk id="2880" max="7" man="1"/>
    <brk id="2922" max="7" man="1"/>
    <brk id="2947" min="2935" max="2946" man="1"/>
    <brk id="2964" max="7" man="1"/>
    <brk id="2984" max="7" man="1"/>
    <brk id="3011" max="7" man="1"/>
    <brk id="3013" min="2999" max="3023" man="1"/>
    <brk id="3040" max="7" man="1"/>
    <brk id="3078" max="7" man="1"/>
    <brk id="3089" min="3081" max="3104" man="1"/>
    <brk id="3098" max="7" man="1"/>
    <brk id="3133" max="7" man="1"/>
    <brk id="3160" max="7" man="1"/>
    <brk id="3171" min="3144" max="3165" man="1"/>
    <brk id="3187" max="7" man="1"/>
    <brk id="3217" max="7" man="1"/>
    <brk id="3227" min="3197" max="3220" man="1"/>
    <brk id="3243" max="7" man="1"/>
    <brk id="3268" max="7" man="1"/>
    <brk id="3281" min="3258" max="3293" man="1"/>
    <brk id="3293" max="7" man="1"/>
    <brk id="3322" max="7" man="1"/>
    <brk id="3345" max="7" man="1"/>
    <brk id="3364" min="3342" max="3361" man="1"/>
    <brk id="3392" max="7" man="1"/>
    <brk id="3424" min="3408" max="3439" man="1"/>
    <brk id="3438" max="7" man="1"/>
    <brk id="3472" max="7" man="1"/>
    <brk id="3501" max="7" man="1"/>
    <brk id="3512" min="3497" max="3513" man="1"/>
    <brk id="3526" max="7" man="1"/>
    <brk id="3564" max="7" man="1"/>
    <brk id="3602" max="7" man="1"/>
    <brk id="3642" max="7" man="1"/>
    <brk id="3665" min="3617" max="3645" man="1"/>
    <brk id="3670" max="7" man="1"/>
    <brk id="3687" max="7" man="1"/>
    <brk id="3666" min="3687" max="34486" man="1"/>
    <brk id="3723" max="7" man="1"/>
    <brk id="3755" max="7" man="1"/>
    <brk id="3793" max="7" man="1"/>
    <brk id="3821" max="7" man="1"/>
    <brk id="3852" max="7" man="1"/>
    <brk id="3887" max="7" man="1"/>
    <brk id="3923" max="7" man="1"/>
    <brk id="3958" max="7" man="1"/>
    <brk id="3995" max="7" man="1"/>
    <brk id="4026" max="7" man="1"/>
    <brk id="4060" max="7" man="1"/>
    <brk id="4094" max="7" man="1"/>
    <brk id="4131" max="7" man="1"/>
    <brk id="4169" max="7" man="1"/>
    <brk id="4214" max="7" man="1"/>
    <brk id="4254" max="16383" man="1"/>
    <brk id="4282" max="7" man="1"/>
    <brk id="4309" max="7" man="1"/>
    <brk id="4335" max="7" man="1"/>
    <brk id="4361" max="7" man="1"/>
    <brk id="4387" max="7" man="1"/>
    <brk id="4413" max="7" man="1"/>
    <brk id="4438" max="7" man="1"/>
    <brk id="4455" max="7" man="1"/>
    <brk id="4466" max="7" man="1"/>
    <brk id="4495" max="7" man="1"/>
    <brk id="4520" max="7" man="1"/>
    <brk id="4549" max="7" man="1"/>
    <brk id="4591" max="7" man="1"/>
    <brk id="4620" max="7" man="1"/>
    <brk id="4649" max="7" man="1"/>
    <brk id="4663" max="7" man="1"/>
    <brk id="4691" max="7" man="1"/>
    <brk id="4719" max="7" man="1"/>
    <brk id="4735" max="7" man="1"/>
    <brk id="4758" max="7" man="1"/>
    <brk id="4781" max="7" man="1"/>
    <brk id="4800" max="7" man="1"/>
    <brk id="4838" max="7" man="1"/>
    <brk id="4869" max="7" man="1"/>
    <brk id="4890" max="7" man="1"/>
    <brk id="4923" max="7" man="1"/>
    <brk id="4954" max="7" man="1"/>
    <brk id="4980" max="7" man="1"/>
    <brk id="5009" max="7" man="1"/>
    <brk id="5047" max="7" man="1"/>
    <brk id="5078" max="7" man="1"/>
    <brk id="5115" max="7" man="1"/>
    <brk id="5132" max="7" man="1"/>
    <brk id="5147" max="7" man="1"/>
    <brk id="5174" max="7" man="1"/>
    <brk id="5197" max="7" man="1"/>
    <brk id="5227" max="7" man="1"/>
    <brk id="5257" max="7" man="1"/>
    <brk id="5284" max="7" man="1"/>
    <brk id="5311" max="7" man="1"/>
    <brk id="5342" max="7" man="1"/>
    <brk id="5364" max="7" man="1"/>
    <brk id="5397" max="7" man="1"/>
    <brk id="5428" max="7" man="1"/>
    <brk id="5466" max="7" man="1"/>
    <brk id="5503" max="7" man="1"/>
    <brk id="5541" max="7" man="1"/>
    <brk id="5577" max="7" man="1"/>
    <brk id="5616" max="7" man="1"/>
    <brk id="5654" max="7" man="1"/>
    <brk id="5692" max="7" man="1"/>
    <brk id="5730" max="7" man="1"/>
    <brk id="5768" max="7" man="1"/>
    <brk id="5806" max="7" man="1"/>
    <brk id="5844" max="7" man="1"/>
    <brk id="5881" max="7" man="1"/>
    <brk id="5924" max="7" man="1"/>
    <brk id="5966" max="7" man="1"/>
    <brk id="6008" max="7" man="1"/>
    <brk id="6049" max="7" man="1"/>
    <brk id="6090" max="7" man="1"/>
    <brk id="6131" max="7" man="1"/>
    <brk id="6178" max="7" man="1"/>
    <brk id="6221" max="7" man="1"/>
    <brk id="6264" max="7" man="1"/>
    <brk id="6313" max="7" man="1"/>
    <brk id="6361" max="7" man="1"/>
    <brk id="6388" max="7" man="1"/>
    <brk id="6400" max="7" man="1"/>
    <brk id="6412" max="7" man="1"/>
    <brk id="6436" max="7" man="1"/>
    <brk id="6461" max="7" man="1"/>
    <brk id="6500" max="7" man="1"/>
    <brk id="6539" max="7" man="1"/>
    <brk id="6579" max="7" man="1"/>
    <brk id="6603" max="7" man="1"/>
    <brk id="6642" max="7" man="1"/>
    <brk id="6658" max="7" man="1"/>
  </rowBreaks>
  <ignoredErrors>
    <ignoredError sqref="A378:A398 A368:A376" numberStoredAsText="1"/>
  </ignoredError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6"/>
  <dimension ref="A1:ED408"/>
  <sheetViews>
    <sheetView zoomScale="90" zoomScaleNormal="90" zoomScalePageLayoutView="70" workbookViewId="0">
      <pane xSplit="8" ySplit="6" topLeftCell="DR352" activePane="bottomRight" state="frozen"/>
      <selection pane="topRight" activeCell="I1" sqref="I1"/>
      <selection pane="bottomLeft" activeCell="A7" sqref="A7"/>
      <selection pane="bottomRight" activeCell="DR365" sqref="DR365"/>
    </sheetView>
  </sheetViews>
  <sheetFormatPr defaultColWidth="8.88671875" defaultRowHeight="15" x14ac:dyDescent="0.2"/>
  <cols>
    <col min="1" max="1" width="10.77734375" style="25" customWidth="1"/>
    <col min="2" max="2" width="4" style="7" customWidth="1"/>
    <col min="3" max="4" width="8.88671875" style="7" customWidth="1"/>
    <col min="5" max="5" width="22" style="218" customWidth="1"/>
    <col min="6" max="6" width="12.77734375" style="7" customWidth="1"/>
    <col min="7" max="7" width="13.6640625" style="7" customWidth="1"/>
    <col min="8" max="8" width="1.6640625" style="7" customWidth="1"/>
    <col min="9" max="10" width="20.77734375" style="7" bestFit="1" customWidth="1"/>
    <col min="11" max="11" width="15.6640625" style="7" bestFit="1" customWidth="1"/>
    <col min="12" max="12" width="15.6640625" style="7" customWidth="1"/>
    <col min="13" max="13" width="13.6640625" style="7" customWidth="1"/>
    <col min="14" max="14" width="10.88671875" style="7" customWidth="1"/>
    <col min="15" max="15" width="11.6640625" style="7" customWidth="1"/>
    <col min="16" max="16" width="11.109375" style="7" customWidth="1"/>
    <col min="17" max="17" width="10.44140625" style="7" customWidth="1"/>
    <col min="18" max="19" width="11.6640625" style="7" customWidth="1"/>
    <col min="20" max="20" width="11.5546875" style="7" customWidth="1"/>
    <col min="21" max="22" width="11.33203125" style="7" customWidth="1"/>
    <col min="23" max="34" width="11.6640625" style="7" customWidth="1"/>
    <col min="35" max="35" width="9.6640625" style="7" customWidth="1"/>
    <col min="36" max="36" width="11.6640625" style="7" customWidth="1"/>
    <col min="37" max="37" width="11.6640625" style="286" customWidth="1"/>
    <col min="38" max="38" width="11.6640625" style="7" customWidth="1"/>
    <col min="39" max="39" width="9.6640625" style="7" customWidth="1"/>
    <col min="40" max="40" width="11.21875" style="7" customWidth="1"/>
    <col min="41" max="43" width="12" style="7" customWidth="1"/>
    <col min="44" max="44" width="9.6640625" style="7" customWidth="1"/>
    <col min="45" max="50" width="11.6640625" style="7" customWidth="1"/>
    <col min="51" max="51" width="10.6640625" style="7" customWidth="1"/>
    <col min="52" max="54" width="14.6640625" style="7" customWidth="1"/>
    <col min="55" max="62" width="11.6640625" style="7" customWidth="1"/>
    <col min="63" max="63" width="14.109375" style="7" bestFit="1" customWidth="1"/>
    <col min="64" max="64" width="10.77734375" style="7" customWidth="1"/>
    <col min="65" max="65" width="11.6640625" style="7" customWidth="1"/>
    <col min="66" max="69" width="9.6640625" style="7" customWidth="1"/>
    <col min="70" max="70" width="11.21875" style="7" customWidth="1"/>
    <col min="71" max="72" width="9.6640625" style="7" customWidth="1"/>
    <col min="73" max="73" width="12.6640625" style="7" customWidth="1"/>
    <col min="74" max="77" width="11.6640625" style="7" customWidth="1"/>
    <col min="78" max="78" width="11" style="7" customWidth="1"/>
    <col min="79" max="79" width="10.5546875" style="7" customWidth="1"/>
    <col min="80" max="85" width="11.6640625" style="7" customWidth="1"/>
    <col min="86" max="86" width="12.6640625" style="7" customWidth="1"/>
    <col min="87" max="88" width="9.6640625" style="7" customWidth="1"/>
    <col min="89" max="90" width="12.6640625" style="7" customWidth="1"/>
    <col min="91" max="91" width="9.6640625" style="7" customWidth="1"/>
    <col min="92" max="93" width="13.5546875" style="7" customWidth="1"/>
    <col min="94" max="95" width="15.44140625" style="7" customWidth="1"/>
    <col min="96" max="96" width="12.6640625" style="7" customWidth="1"/>
    <col min="97" max="97" width="10.109375" style="7" customWidth="1"/>
    <col min="98" max="99" width="12.6640625" style="7" customWidth="1"/>
    <col min="100" max="102" width="11.6640625" style="7" customWidth="1"/>
    <col min="103" max="106" width="12.6640625" style="7" customWidth="1"/>
    <col min="107" max="107" width="11.6640625" style="7" customWidth="1"/>
    <col min="108" max="108" width="12.6640625" style="7" customWidth="1"/>
    <col min="109" max="114" width="11.6640625" style="7" customWidth="1"/>
    <col min="115" max="115" width="12.6640625" style="7" customWidth="1"/>
    <col min="116" max="118" width="11.6640625" style="7" customWidth="1"/>
    <col min="119" max="119" width="13.33203125" style="7" customWidth="1"/>
    <col min="120" max="120" width="15.6640625" style="7" customWidth="1"/>
    <col min="121" max="122" width="14.6640625" style="7" customWidth="1"/>
    <col min="123" max="123" width="12.109375" style="7" customWidth="1"/>
    <col min="124" max="124" width="8.88671875" style="7"/>
    <col min="125" max="125" width="13.88671875" style="7" customWidth="1"/>
    <col min="126" max="126" width="8.88671875" style="7"/>
    <col min="127" max="127" width="11.33203125" style="7" customWidth="1"/>
    <col min="128" max="16384" width="8.88671875" style="7"/>
  </cols>
  <sheetData>
    <row r="1" spans="1:125" x14ac:dyDescent="0.2">
      <c r="C1" s="147" t="s">
        <v>2656</v>
      </c>
      <c r="D1" s="203">
        <v>7102</v>
      </c>
      <c r="E1" s="218">
        <v>7108</v>
      </c>
      <c r="G1" s="52" t="s">
        <v>207</v>
      </c>
      <c r="H1" s="219"/>
      <c r="I1" s="219"/>
      <c r="J1" s="219"/>
      <c r="K1" s="219"/>
      <c r="L1" s="219"/>
      <c r="M1" s="47" t="s">
        <v>1281</v>
      </c>
      <c r="N1" s="47" t="s">
        <v>1425</v>
      </c>
      <c r="O1" s="47" t="s">
        <v>1426</v>
      </c>
      <c r="P1" s="47" t="s">
        <v>1427</v>
      </c>
      <c r="Q1" s="47" t="s">
        <v>1428</v>
      </c>
      <c r="R1" s="47" t="s">
        <v>1430</v>
      </c>
      <c r="S1" s="47" t="s">
        <v>1432</v>
      </c>
      <c r="T1" s="47" t="s">
        <v>1433</v>
      </c>
      <c r="U1" s="509" t="s">
        <v>1434</v>
      </c>
      <c r="V1" s="510"/>
      <c r="W1" s="511"/>
      <c r="X1" s="509" t="s">
        <v>1435</v>
      </c>
      <c r="Y1" s="510"/>
      <c r="Z1" s="511"/>
      <c r="AA1" s="47" t="s">
        <v>1437</v>
      </c>
      <c r="AB1" s="509" t="s">
        <v>1439</v>
      </c>
      <c r="AC1" s="510"/>
      <c r="AD1" s="511"/>
      <c r="AE1" s="47" t="s">
        <v>1440</v>
      </c>
      <c r="AF1" s="47" t="s">
        <v>1442</v>
      </c>
      <c r="AG1" s="47">
        <v>510040</v>
      </c>
      <c r="AH1" s="47" t="s">
        <v>1444</v>
      </c>
      <c r="AI1" s="212" t="s">
        <v>1446</v>
      </c>
      <c r="AJ1" s="47" t="s">
        <v>1448</v>
      </c>
      <c r="AK1" s="280">
        <v>500081</v>
      </c>
      <c r="AL1" s="47" t="s">
        <v>1597</v>
      </c>
      <c r="AM1" s="47" t="s">
        <v>1599</v>
      </c>
      <c r="AN1" s="47">
        <v>510011</v>
      </c>
      <c r="AO1" s="47" t="s">
        <v>1601</v>
      </c>
      <c r="AP1" s="47">
        <v>510014</v>
      </c>
      <c r="AQ1" s="47">
        <v>510015</v>
      </c>
      <c r="AR1" s="47">
        <v>510018</v>
      </c>
      <c r="AS1" s="212">
        <v>500082</v>
      </c>
      <c r="AT1" s="278">
        <v>500084</v>
      </c>
      <c r="AU1" s="509">
        <v>500083</v>
      </c>
      <c r="AV1" s="510"/>
      <c r="AW1" s="510"/>
      <c r="AX1" s="511"/>
      <c r="AY1" s="214" t="s">
        <v>1604</v>
      </c>
      <c r="AZ1" s="47" t="s">
        <v>1606</v>
      </c>
      <c r="BA1" s="47">
        <v>310017</v>
      </c>
      <c r="BB1" s="47">
        <v>310035</v>
      </c>
      <c r="BC1" s="212" t="s">
        <v>209</v>
      </c>
      <c r="BD1" s="509">
        <v>310011</v>
      </c>
      <c r="BE1" s="510"/>
      <c r="BF1" s="510"/>
      <c r="BG1" s="511"/>
      <c r="BH1" s="369">
        <v>100602</v>
      </c>
      <c r="BI1" s="369">
        <v>100602</v>
      </c>
      <c r="BJ1" s="214" t="s">
        <v>211</v>
      </c>
      <c r="BK1" s="47" t="s">
        <v>213</v>
      </c>
      <c r="BL1" s="47" t="s">
        <v>214</v>
      </c>
      <c r="BM1" s="47" t="s">
        <v>1272</v>
      </c>
      <c r="BN1" s="47">
        <v>110501</v>
      </c>
      <c r="BO1" s="47">
        <v>110501</v>
      </c>
      <c r="BP1" s="47">
        <v>110501</v>
      </c>
      <c r="BQ1" s="75">
        <v>110506</v>
      </c>
      <c r="BR1" s="75">
        <v>110510</v>
      </c>
      <c r="BS1" s="47" t="s">
        <v>1276</v>
      </c>
      <c r="BT1" s="47" t="s">
        <v>1276</v>
      </c>
      <c r="BU1" s="47" t="s">
        <v>1279</v>
      </c>
      <c r="BV1" s="47">
        <v>310030</v>
      </c>
      <c r="BW1" s="47" t="s">
        <v>218</v>
      </c>
      <c r="BX1" s="51" t="s">
        <v>1782</v>
      </c>
      <c r="BY1" s="51">
        <v>310016</v>
      </c>
      <c r="BZ1" s="47" t="s">
        <v>220</v>
      </c>
      <c r="CA1" s="47" t="s">
        <v>221</v>
      </c>
      <c r="CB1" s="47" t="s">
        <v>223</v>
      </c>
      <c r="CC1" s="212" t="s">
        <v>224</v>
      </c>
      <c r="CD1" s="509">
        <v>310020</v>
      </c>
      <c r="CE1" s="510"/>
      <c r="CF1" s="511"/>
      <c r="CG1" s="213">
        <v>300020</v>
      </c>
      <c r="CH1" s="509">
        <v>300010</v>
      </c>
      <c r="CI1" s="510"/>
      <c r="CJ1" s="511"/>
      <c r="CK1" s="214" t="s">
        <v>400</v>
      </c>
      <c r="CL1" s="47" t="s">
        <v>402</v>
      </c>
      <c r="CM1" s="47" t="s">
        <v>404</v>
      </c>
      <c r="CN1" s="47" t="s">
        <v>406</v>
      </c>
      <c r="CO1" s="75">
        <v>127001</v>
      </c>
      <c r="CP1" s="47" t="s">
        <v>408</v>
      </c>
      <c r="CQ1" s="75">
        <v>127040</v>
      </c>
      <c r="CR1" s="51">
        <v>740010</v>
      </c>
      <c r="CS1" s="47" t="s">
        <v>413</v>
      </c>
      <c r="CT1" s="47" t="s">
        <v>415</v>
      </c>
      <c r="CU1" s="47">
        <v>110592</v>
      </c>
      <c r="CV1" s="47" t="s">
        <v>417</v>
      </c>
      <c r="CW1" s="47" t="s">
        <v>419</v>
      </c>
      <c r="CX1" s="47" t="s">
        <v>260</v>
      </c>
      <c r="CY1" s="212" t="s">
        <v>262</v>
      </c>
      <c r="CZ1" s="509" t="s">
        <v>264</v>
      </c>
      <c r="DA1" s="510"/>
      <c r="DB1" s="511"/>
      <c r="DC1" s="214" t="s">
        <v>1613</v>
      </c>
      <c r="DD1" s="47" t="s">
        <v>1615</v>
      </c>
      <c r="DE1" s="47" t="s">
        <v>1617</v>
      </c>
      <c r="DF1" s="47" t="s">
        <v>1619</v>
      </c>
      <c r="DG1" s="47">
        <v>900011</v>
      </c>
      <c r="DH1" s="47" t="s">
        <v>1621</v>
      </c>
      <c r="DI1" s="47" t="s">
        <v>1622</v>
      </c>
      <c r="DJ1" s="47" t="s">
        <v>1624</v>
      </c>
      <c r="DK1" s="47">
        <v>210025</v>
      </c>
      <c r="DL1" s="47" t="s">
        <v>1626</v>
      </c>
      <c r="DM1" s="47">
        <v>127021</v>
      </c>
      <c r="DN1" s="47">
        <v>127082</v>
      </c>
      <c r="DO1" s="47" t="s">
        <v>1628</v>
      </c>
      <c r="DP1" s="47">
        <v>390024</v>
      </c>
      <c r="DQ1" s="47" t="s">
        <v>1629</v>
      </c>
      <c r="DR1" s="516" t="s">
        <v>1630</v>
      </c>
      <c r="DU1" s="52" t="s">
        <v>207</v>
      </c>
    </row>
    <row r="2" spans="1:125" x14ac:dyDescent="0.2">
      <c r="C2" s="148" t="s">
        <v>2657</v>
      </c>
      <c r="D2" s="205">
        <v>7103</v>
      </c>
      <c r="E2" s="220">
        <v>7109</v>
      </c>
      <c r="G2" s="371" t="s">
        <v>3217</v>
      </c>
      <c r="H2" s="175"/>
      <c r="I2" s="175" t="s">
        <v>2711</v>
      </c>
      <c r="J2" s="175" t="s">
        <v>2711</v>
      </c>
      <c r="K2" s="175" t="s">
        <v>2711</v>
      </c>
      <c r="L2" s="175" t="s">
        <v>2711</v>
      </c>
      <c r="M2" s="48" t="s">
        <v>1282</v>
      </c>
      <c r="N2" s="48" t="s">
        <v>2946</v>
      </c>
      <c r="O2" s="48" t="s">
        <v>1776</v>
      </c>
      <c r="P2" s="48" t="s">
        <v>2912</v>
      </c>
      <c r="Q2" s="48" t="s">
        <v>1429</v>
      </c>
      <c r="R2" s="48" t="s">
        <v>1431</v>
      </c>
      <c r="S2" s="48" t="s">
        <v>3127</v>
      </c>
      <c r="T2" s="48" t="s">
        <v>2947</v>
      </c>
      <c r="U2" s="512" t="s">
        <v>1192</v>
      </c>
      <c r="V2" s="513"/>
      <c r="W2" s="514"/>
      <c r="X2" s="512" t="s">
        <v>1436</v>
      </c>
      <c r="Y2" s="513"/>
      <c r="Z2" s="514"/>
      <c r="AA2" s="48" t="s">
        <v>1438</v>
      </c>
      <c r="AB2" s="512" t="s">
        <v>348</v>
      </c>
      <c r="AC2" s="513"/>
      <c r="AD2" s="514"/>
      <c r="AE2" s="48" t="s">
        <v>1441</v>
      </c>
      <c r="AF2" s="48" t="s">
        <v>1443</v>
      </c>
      <c r="AG2" s="48" t="s">
        <v>1891</v>
      </c>
      <c r="AH2" s="48" t="s">
        <v>1445</v>
      </c>
      <c r="AI2" s="215" t="s">
        <v>1447</v>
      </c>
      <c r="AJ2" s="48" t="s">
        <v>1449</v>
      </c>
      <c r="AK2" s="281" t="s">
        <v>1596</v>
      </c>
      <c r="AL2" s="48" t="s">
        <v>1598</v>
      </c>
      <c r="AM2" s="48" t="s">
        <v>1600</v>
      </c>
      <c r="AN2" s="48" t="s">
        <v>431</v>
      </c>
      <c r="AO2" s="48" t="s">
        <v>3693</v>
      </c>
      <c r="AP2" s="48" t="s">
        <v>2953</v>
      </c>
      <c r="AQ2" s="48" t="s">
        <v>1408</v>
      </c>
      <c r="AR2" s="48" t="s">
        <v>1602</v>
      </c>
      <c r="AS2" s="215" t="s">
        <v>1603</v>
      </c>
      <c r="AT2" s="279" t="s">
        <v>2856</v>
      </c>
      <c r="AU2" s="512" t="s">
        <v>1770</v>
      </c>
      <c r="AV2" s="513"/>
      <c r="AW2" s="513"/>
      <c r="AX2" s="514"/>
      <c r="AY2" s="217" t="s">
        <v>1605</v>
      </c>
      <c r="AZ2" s="48" t="s">
        <v>422</v>
      </c>
      <c r="BA2" s="48" t="s">
        <v>1941</v>
      </c>
      <c r="BB2" s="48" t="s">
        <v>1610</v>
      </c>
      <c r="BC2" s="336" t="s">
        <v>2943</v>
      </c>
      <c r="BD2" s="512" t="s">
        <v>2972</v>
      </c>
      <c r="BE2" s="513"/>
      <c r="BF2" s="513"/>
      <c r="BG2" s="514"/>
      <c r="BH2" s="370" t="s">
        <v>3212</v>
      </c>
      <c r="BI2" s="370" t="s">
        <v>3213</v>
      </c>
      <c r="BJ2" s="217" t="s">
        <v>212</v>
      </c>
      <c r="BK2" s="48" t="s">
        <v>2750</v>
      </c>
      <c r="BL2" s="48" t="s">
        <v>215</v>
      </c>
      <c r="BM2" s="48" t="s">
        <v>1273</v>
      </c>
      <c r="BN2" s="48" t="s">
        <v>1274</v>
      </c>
      <c r="BO2" s="48" t="s">
        <v>1275</v>
      </c>
      <c r="BP2" s="48" t="s">
        <v>424</v>
      </c>
      <c r="BQ2" s="76" t="s">
        <v>599</v>
      </c>
      <c r="BR2" s="76" t="s">
        <v>2986</v>
      </c>
      <c r="BS2" s="48" t="s">
        <v>1277</v>
      </c>
      <c r="BT2" s="48" t="s">
        <v>1278</v>
      </c>
      <c r="BU2" s="48" t="s">
        <v>1280</v>
      </c>
      <c r="BV2" s="48" t="s">
        <v>217</v>
      </c>
      <c r="BW2" s="48" t="s">
        <v>219</v>
      </c>
      <c r="BX2" s="48" t="s">
        <v>2950</v>
      </c>
      <c r="BY2" s="48" t="s">
        <v>2030</v>
      </c>
      <c r="BZ2" s="48" t="s">
        <v>2963</v>
      </c>
      <c r="CA2" s="48" t="s">
        <v>222</v>
      </c>
      <c r="CB2" s="48" t="s">
        <v>670</v>
      </c>
      <c r="CC2" s="215" t="s">
        <v>225</v>
      </c>
      <c r="CD2" s="512" t="s">
        <v>1193</v>
      </c>
      <c r="CE2" s="513"/>
      <c r="CF2" s="514"/>
      <c r="CG2" s="216" t="s">
        <v>226</v>
      </c>
      <c r="CH2" s="512" t="s">
        <v>351</v>
      </c>
      <c r="CI2" s="513"/>
      <c r="CJ2" s="514"/>
      <c r="CK2" s="217" t="s">
        <v>401</v>
      </c>
      <c r="CL2" s="48" t="s">
        <v>403</v>
      </c>
      <c r="CM2" s="48" t="s">
        <v>405</v>
      </c>
      <c r="CN2" s="48" t="s">
        <v>407</v>
      </c>
      <c r="CO2" s="76" t="s">
        <v>739</v>
      </c>
      <c r="CP2" s="48" t="s">
        <v>409</v>
      </c>
      <c r="CQ2" s="76" t="s">
        <v>741</v>
      </c>
      <c r="CR2" s="48" t="s">
        <v>1894</v>
      </c>
      <c r="CS2" s="48" t="s">
        <v>414</v>
      </c>
      <c r="CT2" s="48" t="s">
        <v>416</v>
      </c>
      <c r="CU2" s="48" t="s">
        <v>1379</v>
      </c>
      <c r="CV2" s="48" t="s">
        <v>418</v>
      </c>
      <c r="CW2" s="48" t="s">
        <v>420</v>
      </c>
      <c r="CX2" s="48" t="s">
        <v>261</v>
      </c>
      <c r="CY2" s="215" t="s">
        <v>263</v>
      </c>
      <c r="CZ2" s="512" t="s">
        <v>1374</v>
      </c>
      <c r="DA2" s="513"/>
      <c r="DB2" s="514"/>
      <c r="DC2" s="217" t="s">
        <v>1614</v>
      </c>
      <c r="DD2" s="48" t="s">
        <v>1616</v>
      </c>
      <c r="DE2" s="48" t="s">
        <v>1618</v>
      </c>
      <c r="DF2" s="48" t="s">
        <v>1620</v>
      </c>
      <c r="DG2" s="48" t="s">
        <v>1620</v>
      </c>
      <c r="DH2" s="48" t="s">
        <v>185</v>
      </c>
      <c r="DI2" s="48" t="s">
        <v>1623</v>
      </c>
      <c r="DJ2" s="48" t="s">
        <v>1625</v>
      </c>
      <c r="DK2" s="48" t="s">
        <v>1072</v>
      </c>
      <c r="DL2" s="48" t="s">
        <v>1627</v>
      </c>
      <c r="DM2" s="48" t="s">
        <v>1609</v>
      </c>
      <c r="DN2" s="48" t="s">
        <v>423</v>
      </c>
      <c r="DO2" s="48" t="s">
        <v>38</v>
      </c>
      <c r="DP2" s="48" t="s">
        <v>1774</v>
      </c>
      <c r="DQ2" s="48" t="s">
        <v>1775</v>
      </c>
      <c r="DR2" s="517"/>
      <c r="DU2" s="371" t="s">
        <v>1271</v>
      </c>
    </row>
    <row r="3" spans="1:125" s="218" customFormat="1" x14ac:dyDescent="0.2">
      <c r="A3" s="25"/>
      <c r="C3" s="221">
        <v>7050</v>
      </c>
      <c r="D3" s="222">
        <v>7104</v>
      </c>
      <c r="G3" s="223" t="s">
        <v>3216</v>
      </c>
      <c r="H3" s="224"/>
      <c r="I3" s="224"/>
      <c r="J3" s="224"/>
      <c r="K3" s="224"/>
      <c r="L3" s="224"/>
      <c r="M3" s="49"/>
      <c r="N3" s="49"/>
      <c r="O3" s="49"/>
      <c r="P3" s="49"/>
      <c r="Q3" s="49"/>
      <c r="R3" s="49"/>
      <c r="S3" s="49"/>
      <c r="T3" s="49" t="s">
        <v>342</v>
      </c>
      <c r="U3" s="46" t="s">
        <v>719</v>
      </c>
      <c r="V3" s="50" t="s">
        <v>1190</v>
      </c>
      <c r="W3" s="225" t="s">
        <v>1191</v>
      </c>
      <c r="X3" s="46" t="s">
        <v>719</v>
      </c>
      <c r="Y3" s="50" t="s">
        <v>1190</v>
      </c>
      <c r="Z3" s="225" t="s">
        <v>1191</v>
      </c>
      <c r="AA3" s="49"/>
      <c r="AB3" s="46" t="s">
        <v>719</v>
      </c>
      <c r="AC3" s="50" t="s">
        <v>1190</v>
      </c>
      <c r="AD3" s="225" t="s">
        <v>1191</v>
      </c>
      <c r="AE3" s="49"/>
      <c r="AF3" s="49"/>
      <c r="AG3" s="49"/>
      <c r="AH3" s="49"/>
      <c r="AI3" s="46"/>
      <c r="AJ3" s="49"/>
      <c r="AK3" s="282"/>
      <c r="AL3" s="49"/>
      <c r="AM3" s="49"/>
      <c r="AN3" s="49"/>
      <c r="AO3" s="49" t="s">
        <v>3694</v>
      </c>
      <c r="AP3" s="49"/>
      <c r="AQ3" s="49"/>
      <c r="AR3" s="49"/>
      <c r="AS3" s="46"/>
      <c r="AT3" s="46"/>
      <c r="AU3" s="46" t="s">
        <v>719</v>
      </c>
      <c r="AV3" s="50" t="s">
        <v>1190</v>
      </c>
      <c r="AW3" s="50" t="s">
        <v>1191</v>
      </c>
      <c r="AX3" s="225" t="s">
        <v>1293</v>
      </c>
      <c r="AY3" s="225"/>
      <c r="AZ3" s="49"/>
      <c r="BA3" s="49"/>
      <c r="BB3" s="49"/>
      <c r="BC3" s="46"/>
      <c r="BD3" s="46" t="s">
        <v>719</v>
      </c>
      <c r="BE3" s="50" t="s">
        <v>1190</v>
      </c>
      <c r="BF3" s="50" t="s">
        <v>1191</v>
      </c>
      <c r="BG3" s="225" t="s">
        <v>1293</v>
      </c>
      <c r="BH3" s="225" t="s">
        <v>3211</v>
      </c>
      <c r="BI3" s="370" t="s">
        <v>3211</v>
      </c>
      <c r="BJ3" s="225"/>
      <c r="BK3" s="49" t="s">
        <v>2751</v>
      </c>
      <c r="BL3" s="49"/>
      <c r="BM3" s="49"/>
      <c r="BN3" s="49"/>
      <c r="BO3" s="49"/>
      <c r="BP3" s="49"/>
      <c r="BQ3" s="226"/>
      <c r="BR3" s="226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6"/>
      <c r="CD3" s="46" t="s">
        <v>719</v>
      </c>
      <c r="CE3" s="50" t="s">
        <v>1191</v>
      </c>
      <c r="CF3" s="225" t="s">
        <v>1190</v>
      </c>
      <c r="CG3" s="50"/>
      <c r="CH3" s="46" t="s">
        <v>719</v>
      </c>
      <c r="CI3" s="50" t="s">
        <v>1190</v>
      </c>
      <c r="CJ3" s="225" t="s">
        <v>1191</v>
      </c>
      <c r="CK3" s="225"/>
      <c r="CL3" s="49"/>
      <c r="CM3" s="49"/>
      <c r="CN3" s="49"/>
      <c r="CO3" s="226"/>
      <c r="CP3" s="49"/>
      <c r="CQ3" s="226"/>
      <c r="CR3" s="49"/>
      <c r="CS3" s="49"/>
      <c r="CT3" s="49"/>
      <c r="CU3" s="49"/>
      <c r="CV3" s="49"/>
      <c r="CW3" s="49"/>
      <c r="CX3" s="49"/>
      <c r="CY3" s="46"/>
      <c r="CZ3" s="46" t="s">
        <v>719</v>
      </c>
      <c r="DA3" s="50" t="s">
        <v>1190</v>
      </c>
      <c r="DB3" s="225" t="s">
        <v>1191</v>
      </c>
      <c r="DC3" s="225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 t="s">
        <v>342</v>
      </c>
      <c r="DU3" s="223"/>
    </row>
    <row r="4" spans="1:125" x14ac:dyDescent="0.2">
      <c r="C4" s="227">
        <v>7060</v>
      </c>
      <c r="D4" s="228">
        <v>7105</v>
      </c>
      <c r="G4" s="200" t="s">
        <v>2777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28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 t="s">
        <v>342</v>
      </c>
    </row>
    <row r="5" spans="1:125" x14ac:dyDescent="0.2">
      <c r="C5" s="229">
        <v>7100</v>
      </c>
      <c r="D5" s="218">
        <v>7106</v>
      </c>
      <c r="E5" s="1" t="s">
        <v>342</v>
      </c>
      <c r="G5" s="199" t="s">
        <v>2758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28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 t="s">
        <v>365</v>
      </c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 t="s">
        <v>342</v>
      </c>
    </row>
    <row r="6" spans="1:125" x14ac:dyDescent="0.2">
      <c r="C6" s="202">
        <v>7101</v>
      </c>
      <c r="D6" s="218">
        <v>7107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28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24"/>
    </row>
    <row r="7" spans="1:125" ht="15.75" x14ac:dyDescent="0.25">
      <c r="E7" s="518" t="s">
        <v>1291</v>
      </c>
      <c r="F7" s="518"/>
      <c r="G7" s="51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8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24"/>
    </row>
    <row r="8" spans="1:125" x14ac:dyDescent="0.2">
      <c r="A8" s="273"/>
      <c r="C8" s="7" t="s">
        <v>2509</v>
      </c>
      <c r="D8" s="7" t="s">
        <v>2245</v>
      </c>
      <c r="E8" s="149" t="s">
        <v>1292</v>
      </c>
      <c r="F8" s="33" t="s">
        <v>2659</v>
      </c>
      <c r="G8" s="230">
        <f t="shared" ref="G8:G71" si="0">IF(DU8&lt;30000,DU8*1.03,+DU8)</f>
        <v>55974</v>
      </c>
      <c r="H8" s="207"/>
      <c r="I8" s="2" t="s">
        <v>2687</v>
      </c>
      <c r="J8" s="2"/>
      <c r="K8" s="2"/>
      <c r="L8" s="2"/>
      <c r="M8" s="3"/>
      <c r="N8" s="3"/>
      <c r="O8" s="24"/>
      <c r="P8" s="3"/>
      <c r="Q8" s="3"/>
      <c r="R8" s="24"/>
      <c r="S8" s="24"/>
      <c r="T8" s="3"/>
      <c r="U8" s="3"/>
      <c r="V8" s="3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3"/>
      <c r="AJ8" s="24"/>
      <c r="AK8" s="284"/>
      <c r="AL8" s="24"/>
      <c r="AM8" s="3"/>
      <c r="AN8" s="3"/>
      <c r="AO8" s="3"/>
      <c r="AP8" s="3"/>
      <c r="AQ8" s="3"/>
      <c r="AR8" s="3"/>
      <c r="AS8" s="24"/>
      <c r="AT8" s="24"/>
      <c r="AU8" s="24"/>
      <c r="AV8" s="24"/>
      <c r="AW8" s="24"/>
      <c r="AX8" s="24"/>
      <c r="AY8" s="3"/>
      <c r="AZ8" s="24">
        <f t="shared" ref="AZ8:AZ11" si="1">G8</f>
        <v>55974</v>
      </c>
      <c r="BA8" s="24"/>
      <c r="BB8" s="24"/>
      <c r="BC8" s="24"/>
      <c r="BD8" s="24"/>
      <c r="BE8" s="24"/>
      <c r="BF8" s="24"/>
      <c r="BG8" s="24"/>
      <c r="BH8" s="343"/>
      <c r="BI8" s="343"/>
      <c r="BJ8" s="24"/>
      <c r="BK8" s="3"/>
      <c r="BL8" s="3"/>
      <c r="BM8" s="24"/>
      <c r="BN8" s="3"/>
      <c r="BO8" s="3"/>
      <c r="BP8" s="3"/>
      <c r="BQ8" s="3"/>
      <c r="BR8" s="3"/>
      <c r="BS8" s="3"/>
      <c r="BT8" s="3"/>
      <c r="BU8" s="24" t="s">
        <v>342</v>
      </c>
      <c r="BV8" s="24"/>
      <c r="BW8" s="24"/>
      <c r="BX8" s="24"/>
      <c r="BY8" s="24"/>
      <c r="BZ8" s="3"/>
      <c r="CA8" s="3"/>
      <c r="CB8" s="24"/>
      <c r="CC8" s="24"/>
      <c r="CD8" s="24"/>
      <c r="CE8" s="24"/>
      <c r="CF8" s="24"/>
      <c r="CG8" s="24"/>
      <c r="CH8" s="24"/>
      <c r="CI8" s="3"/>
      <c r="CJ8" s="3"/>
      <c r="CK8" s="24"/>
      <c r="CL8" s="3" t="s">
        <v>342</v>
      </c>
      <c r="CM8" s="3"/>
      <c r="CN8" s="24"/>
      <c r="CO8" s="24"/>
      <c r="CP8" s="24"/>
      <c r="CQ8" s="24"/>
      <c r="CR8" s="24"/>
      <c r="CS8" s="3"/>
      <c r="CT8" s="3"/>
      <c r="CU8" s="3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3" t="s">
        <v>342</v>
      </c>
      <c r="DG8" s="3"/>
      <c r="DH8" s="3"/>
      <c r="DI8" s="3"/>
      <c r="DJ8" s="3"/>
      <c r="DK8" s="3"/>
      <c r="DL8" s="3"/>
      <c r="DM8" s="3"/>
      <c r="DN8" s="3"/>
      <c r="DO8" s="24"/>
      <c r="DP8" s="24"/>
      <c r="DQ8" s="3" t="s">
        <v>342</v>
      </c>
      <c r="DR8" s="24">
        <f t="shared" ref="DR8:DR37" si="2">SUM(M8:DQ8)</f>
        <v>55974</v>
      </c>
      <c r="DS8" s="3">
        <f t="shared" ref="DS8:DS37" si="3">DR8-G8</f>
        <v>0</v>
      </c>
      <c r="DU8" s="3">
        <v>55974</v>
      </c>
    </row>
    <row r="9" spans="1:125" x14ac:dyDescent="0.2">
      <c r="A9" s="273"/>
      <c r="C9" s="7" t="s">
        <v>2547</v>
      </c>
      <c r="D9" s="7" t="s">
        <v>2548</v>
      </c>
      <c r="E9" s="149" t="s">
        <v>1451</v>
      </c>
      <c r="F9" s="33" t="s">
        <v>2659</v>
      </c>
      <c r="G9" s="231">
        <f t="shared" si="0"/>
        <v>50763</v>
      </c>
      <c r="H9" s="208"/>
      <c r="I9" s="2" t="s">
        <v>2687</v>
      </c>
      <c r="J9" s="3"/>
      <c r="K9" s="3"/>
      <c r="L9" s="3"/>
      <c r="M9" s="24"/>
      <c r="N9" s="3"/>
      <c r="O9" s="24"/>
      <c r="P9" s="3"/>
      <c r="Q9" s="3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4"/>
      <c r="AL9" s="24"/>
      <c r="AM9" s="24"/>
      <c r="AN9" s="24"/>
      <c r="AO9" s="3"/>
      <c r="AP9" s="3"/>
      <c r="AQ9" s="3"/>
      <c r="AR9" s="3"/>
      <c r="AS9" s="24"/>
      <c r="AT9" s="24"/>
      <c r="AU9" s="24"/>
      <c r="AV9" s="24"/>
      <c r="AW9" s="24"/>
      <c r="AX9" s="24"/>
      <c r="AY9" s="3"/>
      <c r="AZ9" s="24">
        <f t="shared" si="1"/>
        <v>50763</v>
      </c>
      <c r="BA9" s="24"/>
      <c r="BB9" s="24"/>
      <c r="BC9" s="24"/>
      <c r="BD9" s="24"/>
      <c r="BE9" s="24"/>
      <c r="BF9" s="24"/>
      <c r="BG9" s="24"/>
      <c r="BH9" s="343"/>
      <c r="BI9" s="343"/>
      <c r="BJ9" s="24"/>
      <c r="BK9" s="24"/>
      <c r="BL9" s="3"/>
      <c r="BM9" s="24"/>
      <c r="BN9" s="3"/>
      <c r="BO9" s="3"/>
      <c r="BP9" s="3"/>
      <c r="BQ9" s="3"/>
      <c r="BR9" s="3"/>
      <c r="BS9" s="24"/>
      <c r="BT9" s="24"/>
      <c r="BU9" s="24"/>
      <c r="BV9" s="24"/>
      <c r="BW9" s="24"/>
      <c r="BX9" s="24"/>
      <c r="BY9" s="24"/>
      <c r="BZ9" s="3"/>
      <c r="CA9" s="3"/>
      <c r="CB9" s="24"/>
      <c r="CC9" s="24"/>
      <c r="CD9" s="24"/>
      <c r="CE9" s="24"/>
      <c r="CF9" s="24"/>
      <c r="CG9" s="24"/>
      <c r="CH9" s="24"/>
      <c r="CI9" s="3"/>
      <c r="CJ9" s="3"/>
      <c r="CK9" s="24"/>
      <c r="CL9" s="24"/>
      <c r="CM9" s="24"/>
      <c r="CN9" s="24"/>
      <c r="CO9" s="24"/>
      <c r="CP9" s="24"/>
      <c r="CQ9" s="24"/>
      <c r="CR9" s="24"/>
      <c r="CS9" s="3"/>
      <c r="CT9" s="3"/>
      <c r="CU9" s="3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>
        <f t="shared" si="2"/>
        <v>50763</v>
      </c>
      <c r="DS9" s="3">
        <f t="shared" si="3"/>
        <v>0</v>
      </c>
      <c r="DU9" s="3">
        <v>50763</v>
      </c>
    </row>
    <row r="10" spans="1:125" x14ac:dyDescent="0.2">
      <c r="A10" s="273"/>
      <c r="C10" s="7" t="s">
        <v>2549</v>
      </c>
      <c r="D10" s="7" t="s">
        <v>2550</v>
      </c>
      <c r="E10" s="149" t="s">
        <v>561</v>
      </c>
      <c r="F10" s="33" t="s">
        <v>2659</v>
      </c>
      <c r="G10" s="231">
        <f t="shared" si="0"/>
        <v>43922</v>
      </c>
      <c r="H10" s="207"/>
      <c r="I10" s="2" t="s">
        <v>2687</v>
      </c>
      <c r="J10" s="2"/>
      <c r="K10" s="2"/>
      <c r="L10" s="2"/>
      <c r="M10" s="3"/>
      <c r="N10" s="3"/>
      <c r="O10" s="24"/>
      <c r="P10" s="3"/>
      <c r="Q10" s="3"/>
      <c r="R10" s="24"/>
      <c r="S10" s="24"/>
      <c r="T10" s="3"/>
      <c r="U10" s="3"/>
      <c r="V10" s="3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3"/>
      <c r="AJ10" s="24"/>
      <c r="AK10" s="284"/>
      <c r="AL10" s="24"/>
      <c r="AM10" s="3"/>
      <c r="AN10" s="3"/>
      <c r="AO10" s="3"/>
      <c r="AP10" s="3"/>
      <c r="AQ10" s="3"/>
      <c r="AR10" s="3"/>
      <c r="AS10" s="24"/>
      <c r="AT10" s="24"/>
      <c r="AU10" s="24"/>
      <c r="AV10" s="24"/>
      <c r="AW10" s="24"/>
      <c r="AX10" s="24"/>
      <c r="AY10" s="3"/>
      <c r="AZ10" s="3">
        <f t="shared" si="1"/>
        <v>43922</v>
      </c>
      <c r="BA10" s="3"/>
      <c r="BB10" s="3"/>
      <c r="BC10" s="24"/>
      <c r="BD10" s="24"/>
      <c r="BE10" s="24"/>
      <c r="BF10" s="24"/>
      <c r="BG10" s="24"/>
      <c r="BH10" s="343"/>
      <c r="BI10" s="343"/>
      <c r="BJ10" s="24"/>
      <c r="BK10" s="3"/>
      <c r="BL10" s="3"/>
      <c r="BM10" s="24"/>
      <c r="BN10" s="3"/>
      <c r="BO10" s="3"/>
      <c r="BP10" s="3"/>
      <c r="BQ10" s="3"/>
      <c r="BR10" s="3"/>
      <c r="BS10" s="3"/>
      <c r="BT10" s="3"/>
      <c r="BU10" s="24" t="s">
        <v>342</v>
      </c>
      <c r="BV10" s="24"/>
      <c r="BW10" s="24"/>
      <c r="BX10" s="24"/>
      <c r="BY10" s="24"/>
      <c r="BZ10" s="3"/>
      <c r="CA10" s="3"/>
      <c r="CB10" s="24"/>
      <c r="CC10" s="24"/>
      <c r="CD10" s="24"/>
      <c r="CE10" s="24"/>
      <c r="CF10" s="24"/>
      <c r="CG10" s="24"/>
      <c r="CH10" s="24"/>
      <c r="CI10" s="3"/>
      <c r="CJ10" s="3"/>
      <c r="CK10" s="24"/>
      <c r="CL10" s="3"/>
      <c r="CM10" s="3"/>
      <c r="CN10" s="24"/>
      <c r="CO10" s="24"/>
      <c r="CP10" s="24"/>
      <c r="CQ10" s="24"/>
      <c r="CR10" s="24"/>
      <c r="CS10" s="3"/>
      <c r="CT10" s="3"/>
      <c r="CU10" s="3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3"/>
      <c r="DR10" s="24">
        <f t="shared" si="2"/>
        <v>43922</v>
      </c>
      <c r="DS10" s="3">
        <f t="shared" si="3"/>
        <v>0</v>
      </c>
      <c r="DU10" s="3">
        <v>43922</v>
      </c>
    </row>
    <row r="11" spans="1:125" x14ac:dyDescent="0.2">
      <c r="A11" s="273"/>
      <c r="C11" s="7" t="s">
        <v>2266</v>
      </c>
      <c r="D11" s="7" t="s">
        <v>2551</v>
      </c>
      <c r="E11" s="149" t="s">
        <v>738</v>
      </c>
      <c r="F11" s="33" t="s">
        <v>2659</v>
      </c>
      <c r="G11" s="231">
        <f t="shared" si="0"/>
        <v>40874</v>
      </c>
      <c r="H11" s="207"/>
      <c r="I11" s="2" t="s">
        <v>2687</v>
      </c>
      <c r="J11" s="2"/>
      <c r="K11" s="2"/>
      <c r="L11" s="2"/>
      <c r="M11" s="3"/>
      <c r="N11" s="3"/>
      <c r="O11" s="24"/>
      <c r="P11" s="3"/>
      <c r="Q11" s="3"/>
      <c r="R11" s="24"/>
      <c r="S11" s="24"/>
      <c r="T11" s="3"/>
      <c r="U11" s="3"/>
      <c r="V11" s="3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3"/>
      <c r="AJ11" s="24"/>
      <c r="AK11" s="284"/>
      <c r="AL11" s="24"/>
      <c r="AM11" s="3"/>
      <c r="AN11" s="3"/>
      <c r="AO11" s="3"/>
      <c r="AP11" s="3"/>
      <c r="AQ11" s="3"/>
      <c r="AR11" s="3"/>
      <c r="AS11" s="24"/>
      <c r="AT11" s="24"/>
      <c r="AU11" s="24"/>
      <c r="AV11" s="24"/>
      <c r="AW11" s="24"/>
      <c r="AX11" s="24"/>
      <c r="AY11" s="3"/>
      <c r="AZ11" s="3">
        <f t="shared" si="1"/>
        <v>40874</v>
      </c>
      <c r="BA11" s="3"/>
      <c r="BB11" s="3"/>
      <c r="BC11" s="24"/>
      <c r="BD11" s="24"/>
      <c r="BE11" s="24"/>
      <c r="BF11" s="24"/>
      <c r="BG11" s="24"/>
      <c r="BH11" s="343"/>
      <c r="BI11" s="343"/>
      <c r="BJ11" s="24"/>
      <c r="BK11" s="3"/>
      <c r="BL11" s="3"/>
      <c r="BM11" s="24"/>
      <c r="BN11" s="3"/>
      <c r="BO11" s="3"/>
      <c r="BP11" s="3"/>
      <c r="BQ11" s="3"/>
      <c r="BR11" s="3"/>
      <c r="BS11" s="3"/>
      <c r="BT11" s="3"/>
      <c r="BU11" s="24"/>
      <c r="BV11" s="24"/>
      <c r="BW11" s="24"/>
      <c r="BX11" s="24"/>
      <c r="BY11" s="24"/>
      <c r="BZ11" s="3"/>
      <c r="CA11" s="3"/>
      <c r="CB11" s="24"/>
      <c r="CC11" s="24"/>
      <c r="CD11" s="24"/>
      <c r="CE11" s="24"/>
      <c r="CF11" s="24"/>
      <c r="CG11" s="24"/>
      <c r="CH11" s="24"/>
      <c r="CI11" s="3"/>
      <c r="CJ11" s="3"/>
      <c r="CK11" s="24"/>
      <c r="CL11" s="3"/>
      <c r="CM11" s="3"/>
      <c r="CN11" s="24"/>
      <c r="CO11" s="24"/>
      <c r="CP11" s="24"/>
      <c r="CQ11" s="24"/>
      <c r="CR11" s="24"/>
      <c r="CS11" s="3"/>
      <c r="CT11" s="3"/>
      <c r="CU11" s="3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3"/>
      <c r="DR11" s="24">
        <f t="shared" si="2"/>
        <v>40874</v>
      </c>
      <c r="DS11" s="3">
        <f t="shared" si="3"/>
        <v>0</v>
      </c>
      <c r="DU11" s="3">
        <v>40874</v>
      </c>
    </row>
    <row r="12" spans="1:125" x14ac:dyDescent="0.2">
      <c r="C12" s="7" t="s">
        <v>2552</v>
      </c>
      <c r="D12" s="7" t="s">
        <v>2553</v>
      </c>
      <c r="E12" s="150" t="s">
        <v>179</v>
      </c>
      <c r="F12" s="33" t="s">
        <v>2659</v>
      </c>
      <c r="G12" s="231">
        <f t="shared" si="0"/>
        <v>58716</v>
      </c>
      <c r="H12" s="207"/>
      <c r="I12" s="2" t="s">
        <v>2697</v>
      </c>
      <c r="J12" s="2"/>
      <c r="K12" s="2"/>
      <c r="L12" s="2"/>
      <c r="M12" s="3"/>
      <c r="N12" s="3"/>
      <c r="O12" s="24"/>
      <c r="P12" s="3"/>
      <c r="Q12" s="3"/>
      <c r="R12" s="24"/>
      <c r="S12" s="24"/>
      <c r="T12" s="3"/>
      <c r="U12" s="3"/>
      <c r="V12" s="3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3"/>
      <c r="AJ12" s="24"/>
      <c r="AK12" s="284"/>
      <c r="AL12" s="24"/>
      <c r="AM12" s="3"/>
      <c r="AN12" s="3"/>
      <c r="AO12" s="3"/>
      <c r="AP12" s="3"/>
      <c r="AQ12" s="3"/>
      <c r="AR12" s="3"/>
      <c r="AS12" s="24"/>
      <c r="AT12" s="24"/>
      <c r="AU12" s="24"/>
      <c r="AV12" s="24"/>
      <c r="AW12" s="24"/>
      <c r="AX12" s="24"/>
      <c r="AY12" s="3"/>
      <c r="AZ12" s="24"/>
      <c r="BA12" s="24"/>
      <c r="BB12" s="24"/>
      <c r="BC12" s="24"/>
      <c r="BD12" s="24"/>
      <c r="BE12" s="24"/>
      <c r="BF12" s="24"/>
      <c r="BG12" s="24"/>
      <c r="BH12" s="343"/>
      <c r="BI12" s="343"/>
      <c r="BJ12" s="24"/>
      <c r="BK12" s="3"/>
      <c r="BL12" s="3"/>
      <c r="BM12" s="24"/>
      <c r="BN12" s="3"/>
      <c r="BO12" s="3"/>
      <c r="BP12" s="3"/>
      <c r="BQ12" s="3"/>
      <c r="BR12" s="3"/>
      <c r="BS12" s="3"/>
      <c r="BT12" s="3"/>
      <c r="BU12" s="24"/>
      <c r="BV12" s="24"/>
      <c r="BW12" s="24"/>
      <c r="BX12" s="24"/>
      <c r="BY12" s="24"/>
      <c r="BZ12" s="3"/>
      <c r="CA12" s="3"/>
      <c r="CB12" s="24"/>
      <c r="CC12" s="24"/>
      <c r="CD12" s="24"/>
      <c r="CE12" s="24"/>
      <c r="CF12" s="24"/>
      <c r="CG12" s="24"/>
      <c r="CH12" s="24">
        <f>G12</f>
        <v>58716</v>
      </c>
      <c r="CI12" s="3"/>
      <c r="CJ12" s="3"/>
      <c r="CK12" s="24"/>
      <c r="CL12" s="3"/>
      <c r="CM12" s="3"/>
      <c r="CN12" s="24"/>
      <c r="CO12" s="24"/>
      <c r="CP12" s="24"/>
      <c r="CQ12" s="24"/>
      <c r="CR12" s="24"/>
      <c r="CS12" s="3"/>
      <c r="CT12" s="3"/>
      <c r="CU12" s="3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3"/>
      <c r="DR12" s="24">
        <f t="shared" si="2"/>
        <v>58716</v>
      </c>
      <c r="DS12" s="3">
        <f t="shared" si="3"/>
        <v>0</v>
      </c>
      <c r="DU12" s="3">
        <v>58716</v>
      </c>
    </row>
    <row r="13" spans="1:125" x14ac:dyDescent="0.2">
      <c r="C13" s="7" t="s">
        <v>2340</v>
      </c>
      <c r="D13" s="7" t="s">
        <v>2313</v>
      </c>
      <c r="E13" s="151" t="s">
        <v>1452</v>
      </c>
      <c r="F13" s="33" t="s">
        <v>2659</v>
      </c>
      <c r="G13" s="230">
        <f t="shared" si="0"/>
        <v>93524</v>
      </c>
      <c r="H13" s="207"/>
      <c r="I13" s="2" t="s">
        <v>2948</v>
      </c>
      <c r="J13" s="2"/>
      <c r="K13" s="2"/>
      <c r="L13" s="2"/>
      <c r="M13" s="3"/>
      <c r="N13" s="3"/>
      <c r="O13" s="24"/>
      <c r="P13" s="3"/>
      <c r="Q13" s="3"/>
      <c r="R13" s="24"/>
      <c r="S13" s="24"/>
      <c r="T13" s="24">
        <f>+G13</f>
        <v>93524</v>
      </c>
      <c r="U13" s="3"/>
      <c r="V13" s="3"/>
      <c r="W13" s="24"/>
      <c r="X13" s="24"/>
      <c r="Y13" s="24"/>
      <c r="Z13" s="24"/>
      <c r="AA13" s="24"/>
      <c r="AB13" s="3" t="s">
        <v>342</v>
      </c>
      <c r="AC13" s="3"/>
      <c r="AD13" s="3"/>
      <c r="AE13" s="24"/>
      <c r="AF13" s="24"/>
      <c r="AG13" s="24"/>
      <c r="AH13" s="24"/>
      <c r="AI13" s="3"/>
      <c r="AJ13" s="24"/>
      <c r="AK13" s="284"/>
      <c r="AL13" s="24"/>
      <c r="AM13" s="3"/>
      <c r="AN13" s="3"/>
      <c r="AO13" s="3"/>
      <c r="AP13" s="3"/>
      <c r="AQ13" s="3"/>
      <c r="AR13" s="3"/>
      <c r="AS13" s="24"/>
      <c r="AT13" s="24"/>
      <c r="AU13" s="24"/>
      <c r="AV13" s="24"/>
      <c r="AW13" s="24"/>
      <c r="AX13" s="24"/>
      <c r="AY13" s="3"/>
      <c r="AZ13" s="3"/>
      <c r="BA13" s="3"/>
      <c r="BB13" s="3"/>
      <c r="BC13" s="24"/>
      <c r="BD13" s="24"/>
      <c r="BE13" s="24"/>
      <c r="BF13" s="24"/>
      <c r="BG13" s="24"/>
      <c r="BH13" s="343"/>
      <c r="BI13" s="343"/>
      <c r="BJ13" s="24"/>
      <c r="BK13" s="3"/>
      <c r="BL13" s="3"/>
      <c r="BM13" s="24"/>
      <c r="BN13" s="3"/>
      <c r="BO13" s="3"/>
      <c r="BP13" s="3"/>
      <c r="BQ13" s="3"/>
      <c r="BR13" s="3"/>
      <c r="BS13" s="3"/>
      <c r="BT13" s="3"/>
      <c r="BU13" s="24"/>
      <c r="BV13" s="24"/>
      <c r="BW13" s="24"/>
      <c r="BX13" s="24"/>
      <c r="BY13" s="24"/>
      <c r="BZ13" s="3"/>
      <c r="CA13" s="3"/>
      <c r="CB13" s="24"/>
      <c r="CC13" s="24"/>
      <c r="CD13" s="24"/>
      <c r="CE13" s="24"/>
      <c r="CF13" s="24"/>
      <c r="CG13" s="24"/>
      <c r="CH13" s="24"/>
      <c r="CI13" s="3"/>
      <c r="CJ13" s="3"/>
      <c r="CK13" s="24"/>
      <c r="CL13" s="3"/>
      <c r="CM13" s="3"/>
      <c r="CN13" s="24"/>
      <c r="CO13" s="24"/>
      <c r="CP13" s="24"/>
      <c r="CQ13" s="24"/>
      <c r="CR13" s="24"/>
      <c r="CS13" s="3"/>
      <c r="CT13" s="3"/>
      <c r="CU13" s="3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3" t="s">
        <v>342</v>
      </c>
      <c r="DP13" s="3"/>
      <c r="DQ13" s="3"/>
      <c r="DR13" s="24">
        <f t="shared" si="2"/>
        <v>93524</v>
      </c>
      <c r="DS13" s="3">
        <f t="shared" si="3"/>
        <v>0</v>
      </c>
      <c r="DU13" s="3">
        <v>93524</v>
      </c>
    </row>
    <row r="14" spans="1:125" x14ac:dyDescent="0.2">
      <c r="C14" s="7" t="s">
        <v>2554</v>
      </c>
      <c r="D14" s="7" t="s">
        <v>2315</v>
      </c>
      <c r="E14" s="151" t="s">
        <v>1453</v>
      </c>
      <c r="F14" s="33" t="s">
        <v>2659</v>
      </c>
      <c r="G14" s="230">
        <f t="shared" si="0"/>
        <v>93524</v>
      </c>
      <c r="H14" s="207"/>
      <c r="I14" s="2" t="s">
        <v>3209</v>
      </c>
      <c r="J14" s="2"/>
      <c r="K14" s="2"/>
      <c r="L14" s="2"/>
      <c r="M14" s="3"/>
      <c r="N14" s="3"/>
      <c r="O14" s="3"/>
      <c r="P14" s="3"/>
      <c r="Q14" s="3"/>
      <c r="R14" s="3"/>
      <c r="S14" s="24">
        <f>+G14</f>
        <v>93524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3"/>
      <c r="AJ14" s="24"/>
      <c r="AK14" s="284"/>
      <c r="AL14" s="24"/>
      <c r="AM14" s="24"/>
      <c r="AN14" s="24"/>
      <c r="AO14" s="3"/>
      <c r="AP14" s="3"/>
      <c r="AQ14" s="3"/>
      <c r="AR14" s="3"/>
      <c r="AS14" s="24"/>
      <c r="AT14" s="24"/>
      <c r="AU14" s="24"/>
      <c r="AV14" s="24"/>
      <c r="AW14" s="24"/>
      <c r="AX14" s="24"/>
      <c r="AY14" s="3"/>
      <c r="AZ14" s="24"/>
      <c r="BA14" s="24"/>
      <c r="BB14" s="24"/>
      <c r="BC14" s="24"/>
      <c r="BD14" s="24"/>
      <c r="BE14" s="24"/>
      <c r="BF14" s="24"/>
      <c r="BG14" s="24"/>
      <c r="BH14" s="343"/>
      <c r="BI14" s="343"/>
      <c r="BJ14" s="24"/>
      <c r="BK14" s="3"/>
      <c r="BL14" s="3"/>
      <c r="BM14" s="24"/>
      <c r="BN14" s="3"/>
      <c r="BO14" s="3"/>
      <c r="BP14" s="3"/>
      <c r="BQ14" s="3"/>
      <c r="BR14" s="3"/>
      <c r="BS14" s="24"/>
      <c r="BT14" s="24"/>
      <c r="BU14" s="24"/>
      <c r="BV14" s="24"/>
      <c r="BW14" s="24"/>
      <c r="BX14" s="24"/>
      <c r="BY14" s="24"/>
      <c r="BZ14" s="3"/>
      <c r="CA14" s="3"/>
      <c r="CB14" s="24"/>
      <c r="CC14" s="24"/>
      <c r="CD14" s="24"/>
      <c r="CE14" s="24"/>
      <c r="CF14" s="24"/>
      <c r="CG14" s="24"/>
      <c r="CH14" s="24"/>
      <c r="CI14" s="3"/>
      <c r="CJ14" s="3"/>
      <c r="CK14" s="24"/>
      <c r="CL14" s="24"/>
      <c r="CM14" s="24"/>
      <c r="CN14" s="3" t="s">
        <v>342</v>
      </c>
      <c r="CO14" s="3"/>
      <c r="CP14" s="3"/>
      <c r="CQ14" s="3">
        <v>0</v>
      </c>
      <c r="CR14" s="3"/>
      <c r="CS14" s="3"/>
      <c r="CT14" s="3"/>
      <c r="CU14" s="3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>
        <f t="shared" si="2"/>
        <v>93524</v>
      </c>
      <c r="DS14" s="3">
        <f t="shared" si="3"/>
        <v>0</v>
      </c>
      <c r="DU14" s="3">
        <v>93524</v>
      </c>
    </row>
    <row r="15" spans="1:125" x14ac:dyDescent="0.2">
      <c r="C15" s="7" t="s">
        <v>2555</v>
      </c>
      <c r="D15" s="7" t="s">
        <v>2556</v>
      </c>
      <c r="E15" s="151" t="s">
        <v>2546</v>
      </c>
      <c r="F15" s="33" t="s">
        <v>2659</v>
      </c>
      <c r="G15" s="231">
        <f t="shared" si="0"/>
        <v>83391</v>
      </c>
      <c r="H15" s="232"/>
      <c r="I15" s="7" t="s">
        <v>2971</v>
      </c>
      <c r="J15" s="7" t="s">
        <v>2695</v>
      </c>
      <c r="M15" s="3"/>
      <c r="N15" s="3"/>
      <c r="O15" s="24"/>
      <c r="P15" s="3"/>
      <c r="Q15" s="3"/>
      <c r="R15" s="24"/>
      <c r="S15" s="24"/>
      <c r="T15" s="3"/>
      <c r="U15" s="3"/>
      <c r="V15" s="3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3"/>
      <c r="AJ15" s="24"/>
      <c r="AK15" s="284"/>
      <c r="AL15" s="24"/>
      <c r="AM15" s="3"/>
      <c r="AN15" s="3"/>
      <c r="AO15" s="3"/>
      <c r="AP15" s="3"/>
      <c r="AQ15" s="3"/>
      <c r="AR15" s="3"/>
      <c r="AS15" s="24"/>
      <c r="AT15" s="24"/>
      <c r="AU15" s="24"/>
      <c r="AV15" s="24"/>
      <c r="AW15" s="24"/>
      <c r="AX15" s="24"/>
      <c r="AY15" s="3"/>
      <c r="AZ15" s="24"/>
      <c r="BA15" s="24"/>
      <c r="BB15" s="24"/>
      <c r="BC15" s="24"/>
      <c r="BD15" s="24"/>
      <c r="BE15" s="24"/>
      <c r="BF15" s="24">
        <f>G15*0.8</f>
        <v>66712.800000000003</v>
      </c>
      <c r="BG15" s="24"/>
      <c r="BH15" s="343"/>
      <c r="BI15" s="343"/>
      <c r="BJ15" s="24"/>
      <c r="BK15" s="3"/>
      <c r="BL15" s="3"/>
      <c r="BM15" s="24"/>
      <c r="BN15" s="3"/>
      <c r="BO15" s="3"/>
      <c r="BP15" s="3"/>
      <c r="BQ15" s="3"/>
      <c r="BR15" s="3"/>
      <c r="BS15" s="3"/>
      <c r="BT15" s="3"/>
      <c r="BU15" s="24"/>
      <c r="BV15" s="24"/>
      <c r="BW15" s="24"/>
      <c r="BX15" s="24"/>
      <c r="BY15" s="24"/>
      <c r="BZ15" s="3"/>
      <c r="CA15" s="3"/>
      <c r="CB15" s="24"/>
      <c r="CC15" s="24"/>
      <c r="CD15" s="24"/>
      <c r="CE15" s="24">
        <f>G15*0.2</f>
        <v>16678.2</v>
      </c>
      <c r="CF15" s="24"/>
      <c r="CG15" s="24"/>
      <c r="CH15" s="24"/>
      <c r="CI15" s="3"/>
      <c r="CJ15" s="3"/>
      <c r="CK15" s="24"/>
      <c r="CL15" s="3"/>
      <c r="CM15" s="3"/>
      <c r="CN15" s="24"/>
      <c r="CO15" s="24"/>
      <c r="CP15" s="24"/>
      <c r="CQ15" s="24"/>
      <c r="CR15" s="24"/>
      <c r="CS15" s="3"/>
      <c r="CT15" s="3"/>
      <c r="CU15" s="3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3"/>
      <c r="DR15" s="24">
        <f t="shared" si="2"/>
        <v>83391</v>
      </c>
      <c r="DS15" s="3">
        <f t="shared" si="3"/>
        <v>0</v>
      </c>
      <c r="DU15" s="3">
        <v>83391</v>
      </c>
    </row>
    <row r="16" spans="1:125" x14ac:dyDescent="0.2">
      <c r="A16" s="251" t="s">
        <v>342</v>
      </c>
      <c r="C16" s="7" t="s">
        <v>2557</v>
      </c>
      <c r="D16" s="7" t="s">
        <v>2558</v>
      </c>
      <c r="E16" s="149" t="s">
        <v>1454</v>
      </c>
      <c r="F16" s="33" t="s">
        <v>2659</v>
      </c>
      <c r="G16" s="230">
        <f t="shared" si="0"/>
        <v>55224</v>
      </c>
      <c r="H16" s="207"/>
      <c r="I16" s="2" t="s">
        <v>2687</v>
      </c>
      <c r="J16" s="2"/>
      <c r="K16" s="2"/>
      <c r="L16" s="2"/>
      <c r="M16" s="3"/>
      <c r="N16" s="3"/>
      <c r="O16" s="24"/>
      <c r="P16" s="3"/>
      <c r="Q16" s="3"/>
      <c r="R16" s="24"/>
      <c r="S16" s="24"/>
      <c r="T16" s="3"/>
      <c r="U16" s="3"/>
      <c r="V16" s="3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3"/>
      <c r="AJ16" s="24"/>
      <c r="AK16" s="284"/>
      <c r="AL16" s="24"/>
      <c r="AM16" s="3"/>
      <c r="AN16" s="3"/>
      <c r="AO16" s="3"/>
      <c r="AP16" s="3"/>
      <c r="AQ16" s="3"/>
      <c r="AR16" s="3"/>
      <c r="AS16" s="24"/>
      <c r="AT16" s="24"/>
      <c r="AU16" s="24"/>
      <c r="AV16" s="24"/>
      <c r="AW16" s="24"/>
      <c r="AX16" s="24"/>
      <c r="AY16" s="3"/>
      <c r="AZ16" s="24">
        <f>G16</f>
        <v>55224</v>
      </c>
      <c r="BA16" s="24"/>
      <c r="BB16" s="24"/>
      <c r="BC16" s="24"/>
      <c r="BD16" s="24"/>
      <c r="BE16" s="24"/>
      <c r="BF16" s="24"/>
      <c r="BG16" s="24"/>
      <c r="BH16" s="343"/>
      <c r="BI16" s="343"/>
      <c r="BJ16" s="24"/>
      <c r="BK16" s="3"/>
      <c r="BL16" s="3"/>
      <c r="BM16" s="24"/>
      <c r="BN16" s="3"/>
      <c r="BO16" s="3"/>
      <c r="BP16" s="3"/>
      <c r="BQ16" s="3"/>
      <c r="BR16" s="3"/>
      <c r="BS16" s="3"/>
      <c r="BT16" s="3"/>
      <c r="BU16" s="24"/>
      <c r="BV16" s="24"/>
      <c r="BW16" s="24"/>
      <c r="BX16" s="24"/>
      <c r="BY16" s="24"/>
      <c r="BZ16" s="3"/>
      <c r="CA16" s="3"/>
      <c r="CB16" s="24"/>
      <c r="CC16" s="24"/>
      <c r="CD16" s="24"/>
      <c r="CE16" s="24"/>
      <c r="CF16" s="24"/>
      <c r="CG16" s="24"/>
      <c r="CH16" s="24"/>
      <c r="CI16" s="3"/>
      <c r="CJ16" s="3"/>
      <c r="CK16" s="24"/>
      <c r="CL16" s="3"/>
      <c r="CM16" s="3"/>
      <c r="CN16" s="24"/>
      <c r="CO16" s="24"/>
      <c r="CP16" s="24"/>
      <c r="CQ16" s="24"/>
      <c r="CR16" s="24"/>
      <c r="CS16" s="3"/>
      <c r="CT16" s="3"/>
      <c r="CU16" s="3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3"/>
      <c r="DR16" s="24">
        <f t="shared" si="2"/>
        <v>55224</v>
      </c>
      <c r="DS16" s="3">
        <f t="shared" si="3"/>
        <v>0</v>
      </c>
      <c r="DU16" s="3">
        <v>55224</v>
      </c>
    </row>
    <row r="17" spans="1:125" x14ac:dyDescent="0.2">
      <c r="C17" s="7" t="s">
        <v>2559</v>
      </c>
      <c r="D17" s="7" t="s">
        <v>2560</v>
      </c>
      <c r="E17" s="153" t="s">
        <v>1455</v>
      </c>
      <c r="F17" s="33" t="s">
        <v>2659</v>
      </c>
      <c r="G17" s="230">
        <f t="shared" si="0"/>
        <v>59273</v>
      </c>
      <c r="H17" s="207"/>
      <c r="I17" s="2" t="s">
        <v>2692</v>
      </c>
      <c r="J17" s="2"/>
      <c r="K17" s="2"/>
      <c r="L17" s="2"/>
      <c r="M17" s="3"/>
      <c r="N17" s="3"/>
      <c r="O17" s="24"/>
      <c r="P17" s="3"/>
      <c r="Q17" s="3"/>
      <c r="R17" s="24"/>
      <c r="S17" s="24"/>
      <c r="T17" s="3"/>
      <c r="U17" s="3"/>
      <c r="V17" s="3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3"/>
      <c r="AJ17" s="24"/>
      <c r="AK17" s="284"/>
      <c r="AL17" s="24"/>
      <c r="AM17" s="3"/>
      <c r="AN17" s="3"/>
      <c r="AO17" s="3"/>
      <c r="AP17" s="3"/>
      <c r="AQ17" s="3"/>
      <c r="AR17" s="3"/>
      <c r="AS17" s="24"/>
      <c r="AT17" s="24"/>
      <c r="AU17" s="24"/>
      <c r="AV17" s="24"/>
      <c r="AW17" s="24"/>
      <c r="AX17" s="24"/>
      <c r="AY17" s="3"/>
      <c r="AZ17" s="24"/>
      <c r="BA17" s="24"/>
      <c r="BB17" s="24"/>
      <c r="BC17" s="24"/>
      <c r="BD17" s="24"/>
      <c r="BE17" s="24"/>
      <c r="BF17" s="24"/>
      <c r="BG17" s="24"/>
      <c r="BH17" s="343"/>
      <c r="BI17" s="343"/>
      <c r="BJ17" s="24"/>
      <c r="BK17" s="3"/>
      <c r="BL17" s="3"/>
      <c r="BM17" s="24"/>
      <c r="BN17" s="3"/>
      <c r="BO17" s="3"/>
      <c r="BP17" s="3"/>
      <c r="BQ17" s="3"/>
      <c r="BR17" s="3"/>
      <c r="BS17" s="3"/>
      <c r="BT17" s="3"/>
      <c r="BU17" s="24">
        <f>G17</f>
        <v>59273</v>
      </c>
      <c r="BV17" s="24"/>
      <c r="BW17" s="24"/>
      <c r="BX17" s="24"/>
      <c r="BY17" s="24"/>
      <c r="BZ17" s="3"/>
      <c r="CA17" s="3"/>
      <c r="CB17" s="24"/>
      <c r="CC17" s="24"/>
      <c r="CD17" s="24"/>
      <c r="CE17" s="24"/>
      <c r="CF17" s="24"/>
      <c r="CG17" s="24"/>
      <c r="CH17" s="24"/>
      <c r="CI17" s="3"/>
      <c r="CJ17" s="3"/>
      <c r="CK17" s="24"/>
      <c r="CL17" s="3"/>
      <c r="CM17" s="3"/>
      <c r="CN17" s="24"/>
      <c r="CO17" s="24"/>
      <c r="CP17" s="24"/>
      <c r="CQ17" s="24"/>
      <c r="CR17" s="24"/>
      <c r="CS17" s="3"/>
      <c r="CT17" s="3"/>
      <c r="CU17" s="3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3"/>
      <c r="DR17" s="24">
        <f t="shared" si="2"/>
        <v>59273</v>
      </c>
      <c r="DS17" s="3">
        <f t="shared" si="3"/>
        <v>0</v>
      </c>
      <c r="DU17" s="3">
        <v>59273</v>
      </c>
    </row>
    <row r="18" spans="1:125" x14ac:dyDescent="0.2">
      <c r="C18" s="7" t="s">
        <v>2561</v>
      </c>
      <c r="D18" s="7" t="s">
        <v>2562</v>
      </c>
      <c r="E18" s="149" t="s">
        <v>1456</v>
      </c>
      <c r="F18" s="33" t="s">
        <v>2659</v>
      </c>
      <c r="G18" s="230">
        <f t="shared" si="0"/>
        <v>51848</v>
      </c>
      <c r="H18" s="207"/>
      <c r="I18" s="2" t="s">
        <v>2687</v>
      </c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28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24">
        <f>G18</f>
        <v>51848</v>
      </c>
      <c r="BA18" s="24"/>
      <c r="BB18" s="24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24">
        <f t="shared" si="2"/>
        <v>51848</v>
      </c>
      <c r="DS18" s="3">
        <f t="shared" si="3"/>
        <v>0</v>
      </c>
      <c r="DU18" s="3">
        <v>51848</v>
      </c>
    </row>
    <row r="19" spans="1:125" x14ac:dyDescent="0.2">
      <c r="C19" s="7" t="s">
        <v>2355</v>
      </c>
      <c r="D19" s="7" t="s">
        <v>2563</v>
      </c>
      <c r="E19" s="153" t="s">
        <v>1070</v>
      </c>
      <c r="F19" s="33" t="s">
        <v>2659</v>
      </c>
      <c r="G19" s="231">
        <f t="shared" si="0"/>
        <v>48299</v>
      </c>
      <c r="H19" s="207"/>
      <c r="I19" s="2" t="s">
        <v>2692</v>
      </c>
      <c r="J19" s="2"/>
      <c r="K19" s="2"/>
      <c r="L19" s="2"/>
      <c r="M19" s="3"/>
      <c r="N19" s="3"/>
      <c r="O19" s="24"/>
      <c r="P19" s="3"/>
      <c r="Q19" s="3"/>
      <c r="R19" s="24"/>
      <c r="S19" s="24"/>
      <c r="T19" s="3"/>
      <c r="U19" s="3"/>
      <c r="V19" s="3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3"/>
      <c r="AJ19" s="24"/>
      <c r="AK19" s="284"/>
      <c r="AL19" s="24"/>
      <c r="AM19" s="3"/>
      <c r="AN19" s="3"/>
      <c r="AO19" s="3"/>
      <c r="AP19" s="3"/>
      <c r="AQ19" s="3"/>
      <c r="AR19" s="3"/>
      <c r="AS19" s="24"/>
      <c r="AT19" s="24"/>
      <c r="AU19" s="24"/>
      <c r="AV19" s="24"/>
      <c r="AW19" s="24"/>
      <c r="AX19" s="24"/>
      <c r="AY19" s="3"/>
      <c r="AZ19" s="24"/>
      <c r="BA19" s="24"/>
      <c r="BB19" s="24"/>
      <c r="BC19" s="24"/>
      <c r="BD19" s="24"/>
      <c r="BE19" s="24"/>
      <c r="BF19" s="24"/>
      <c r="BG19" s="24"/>
      <c r="BH19" s="343"/>
      <c r="BI19" s="343"/>
      <c r="BJ19" s="24"/>
      <c r="BK19" s="3"/>
      <c r="BL19" s="3"/>
      <c r="BM19" s="24"/>
      <c r="BN19" s="3"/>
      <c r="BO19" s="3"/>
      <c r="BP19" s="3"/>
      <c r="BQ19" s="3"/>
      <c r="BR19" s="3"/>
      <c r="BS19" s="3"/>
      <c r="BT19" s="3"/>
      <c r="BU19" s="24">
        <f>G19</f>
        <v>48299</v>
      </c>
      <c r="BV19" s="24"/>
      <c r="BW19" s="24"/>
      <c r="BX19" s="24"/>
      <c r="BY19" s="24"/>
      <c r="BZ19" s="3"/>
      <c r="CA19" s="3"/>
      <c r="CB19" s="24"/>
      <c r="CC19" s="24"/>
      <c r="CD19" s="24"/>
      <c r="CE19" s="24"/>
      <c r="CF19" s="24"/>
      <c r="CG19" s="24"/>
      <c r="CH19" s="24"/>
      <c r="CI19" s="3"/>
      <c r="CJ19" s="3"/>
      <c r="CK19" s="24"/>
      <c r="CL19" s="3"/>
      <c r="CM19" s="3"/>
      <c r="CN19" s="24"/>
      <c r="CO19" s="24"/>
      <c r="CP19" s="24"/>
      <c r="CQ19" s="24"/>
      <c r="CR19" s="24"/>
      <c r="CS19" s="3"/>
      <c r="CT19" s="3"/>
      <c r="CU19" s="3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3"/>
      <c r="DR19" s="24">
        <f t="shared" si="2"/>
        <v>48299</v>
      </c>
      <c r="DS19" s="3">
        <f t="shared" si="3"/>
        <v>0</v>
      </c>
      <c r="DU19" s="3">
        <v>48299</v>
      </c>
    </row>
    <row r="20" spans="1:125" x14ac:dyDescent="0.2">
      <c r="C20" s="7" t="s">
        <v>2564</v>
      </c>
      <c r="D20" s="7" t="s">
        <v>2565</v>
      </c>
      <c r="E20" s="149" t="s">
        <v>5</v>
      </c>
      <c r="F20" s="33" t="s">
        <v>2659</v>
      </c>
      <c r="G20" s="231">
        <f t="shared" si="0"/>
        <v>48543</v>
      </c>
      <c r="H20" s="207"/>
      <c r="I20" s="2" t="s">
        <v>2687</v>
      </c>
      <c r="J20" s="2"/>
      <c r="K20" s="2"/>
      <c r="L20" s="2"/>
      <c r="M20" s="3"/>
      <c r="N20" s="3"/>
      <c r="O20" s="24"/>
      <c r="P20" s="3"/>
      <c r="Q20" s="3"/>
      <c r="R20" s="24"/>
      <c r="S20" s="24"/>
      <c r="T20" s="3"/>
      <c r="U20" s="3"/>
      <c r="V20" s="3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"/>
      <c r="AJ20" s="24"/>
      <c r="AK20" s="284"/>
      <c r="AL20" s="24"/>
      <c r="AM20" s="3"/>
      <c r="AN20" s="3"/>
      <c r="AO20" s="3"/>
      <c r="AP20" s="3"/>
      <c r="AQ20" s="3"/>
      <c r="AR20" s="3"/>
      <c r="AS20" s="24"/>
      <c r="AT20" s="24"/>
      <c r="AU20" s="24"/>
      <c r="AV20" s="24"/>
      <c r="AW20" s="24"/>
      <c r="AX20" s="24"/>
      <c r="AY20" s="3"/>
      <c r="AZ20" s="24">
        <f>G20</f>
        <v>48543</v>
      </c>
      <c r="BA20" s="24"/>
      <c r="BB20" s="24"/>
      <c r="BC20" s="24"/>
      <c r="BD20" s="24"/>
      <c r="BE20" s="24"/>
      <c r="BF20" s="24"/>
      <c r="BG20" s="24"/>
      <c r="BH20" s="343"/>
      <c r="BI20" s="343"/>
      <c r="BJ20" s="24"/>
      <c r="BK20" s="3"/>
      <c r="BL20" s="3"/>
      <c r="BM20" s="24"/>
      <c r="BN20" s="3"/>
      <c r="BO20" s="3"/>
      <c r="BP20" s="3"/>
      <c r="BQ20" s="3"/>
      <c r="BR20" s="3"/>
      <c r="BS20" s="3"/>
      <c r="BT20" s="3"/>
      <c r="BU20" s="24"/>
      <c r="BV20" s="24"/>
      <c r="BW20" s="24"/>
      <c r="BX20" s="24"/>
      <c r="BY20" s="24"/>
      <c r="BZ20" s="3"/>
      <c r="CA20" s="3"/>
      <c r="CB20" s="24"/>
      <c r="CC20" s="24"/>
      <c r="CD20" s="24"/>
      <c r="CE20" s="24"/>
      <c r="CF20" s="24"/>
      <c r="CG20" s="24"/>
      <c r="CH20" s="24"/>
      <c r="CI20" s="3"/>
      <c r="CJ20" s="3"/>
      <c r="CK20" s="24"/>
      <c r="CL20" s="3"/>
      <c r="CM20" s="3"/>
      <c r="CN20" s="24"/>
      <c r="CO20" s="24"/>
      <c r="CP20" s="24"/>
      <c r="CQ20" s="24"/>
      <c r="CR20" s="24"/>
      <c r="CS20" s="3"/>
      <c r="CT20" s="3"/>
      <c r="CU20" s="3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3"/>
      <c r="DR20" s="24">
        <f t="shared" si="2"/>
        <v>48543</v>
      </c>
      <c r="DS20" s="3">
        <f t="shared" si="3"/>
        <v>0</v>
      </c>
      <c r="DU20" s="3">
        <v>48543</v>
      </c>
    </row>
    <row r="21" spans="1:125" x14ac:dyDescent="0.2">
      <c r="C21" s="7" t="s">
        <v>2805</v>
      </c>
      <c r="D21" s="7" t="s">
        <v>2567</v>
      </c>
      <c r="E21" s="147" t="s">
        <v>2804</v>
      </c>
      <c r="F21" s="33" t="s">
        <v>2659</v>
      </c>
      <c r="G21" s="231">
        <f t="shared" si="0"/>
        <v>40874.04</v>
      </c>
      <c r="H21" s="207"/>
      <c r="I21" s="2" t="s">
        <v>2687</v>
      </c>
      <c r="J21" s="2"/>
      <c r="K21" s="2"/>
      <c r="L21" s="2"/>
      <c r="M21" s="3"/>
      <c r="N21" s="3"/>
      <c r="O21" s="24"/>
      <c r="P21" s="3"/>
      <c r="Q21" s="3"/>
      <c r="R21" s="24"/>
      <c r="S21" s="24"/>
      <c r="T21" s="3"/>
      <c r="U21" s="3"/>
      <c r="V21" s="3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3"/>
      <c r="AJ21" s="24"/>
      <c r="AK21" s="284"/>
      <c r="AL21" s="24"/>
      <c r="AM21" s="3"/>
      <c r="AN21" s="3"/>
      <c r="AO21" s="3"/>
      <c r="AP21" s="3"/>
      <c r="AQ21" s="3"/>
      <c r="AR21" s="3"/>
      <c r="AS21" s="24"/>
      <c r="AT21" s="24"/>
      <c r="AU21" s="24"/>
      <c r="AV21" s="24"/>
      <c r="AW21" s="24"/>
      <c r="AX21" s="24"/>
      <c r="AY21" s="3"/>
      <c r="AZ21" s="24">
        <f>+G21</f>
        <v>40874.04</v>
      </c>
      <c r="BA21" s="24"/>
      <c r="BB21" s="24"/>
      <c r="BC21" s="24"/>
      <c r="BD21" s="24"/>
      <c r="BE21" s="24"/>
      <c r="BF21" s="24"/>
      <c r="BG21" s="24"/>
      <c r="BH21" s="343"/>
      <c r="BI21" s="343"/>
      <c r="BJ21" s="24"/>
      <c r="BK21" s="3"/>
      <c r="BL21" s="3"/>
      <c r="BM21" s="24"/>
      <c r="BN21" s="3"/>
      <c r="BO21" s="3"/>
      <c r="BP21" s="3"/>
      <c r="BQ21" s="3"/>
      <c r="BR21" s="3"/>
      <c r="BS21" s="3"/>
      <c r="BT21" s="3"/>
      <c r="BU21" s="24"/>
      <c r="BV21" s="24"/>
      <c r="BW21" s="24"/>
      <c r="BX21" s="24"/>
      <c r="BY21" s="24"/>
      <c r="BZ21" s="3"/>
      <c r="CA21" s="3"/>
      <c r="CB21" s="24"/>
      <c r="CC21" s="24"/>
      <c r="CD21" s="24"/>
      <c r="CE21" s="24"/>
      <c r="CF21" s="24"/>
      <c r="CG21" s="24"/>
      <c r="CH21" s="24"/>
      <c r="CI21" s="3"/>
      <c r="CJ21" s="3"/>
      <c r="CK21" s="24"/>
      <c r="CL21" s="3"/>
      <c r="CM21" s="3"/>
      <c r="CN21" s="24"/>
      <c r="CO21" s="24"/>
      <c r="CP21" s="24"/>
      <c r="CQ21" s="24"/>
      <c r="CR21" s="24"/>
      <c r="CS21" s="3"/>
      <c r="CT21" s="3"/>
      <c r="CU21" s="3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3"/>
      <c r="DR21" s="24">
        <f t="shared" si="2"/>
        <v>40874.04</v>
      </c>
      <c r="DS21" s="3">
        <f t="shared" si="3"/>
        <v>0</v>
      </c>
      <c r="DU21" s="3">
        <v>40874.04</v>
      </c>
    </row>
    <row r="22" spans="1:125" x14ac:dyDescent="0.2">
      <c r="C22" s="7" t="s">
        <v>2566</v>
      </c>
      <c r="D22" s="7" t="s">
        <v>2567</v>
      </c>
      <c r="E22" s="149" t="s">
        <v>1457</v>
      </c>
      <c r="F22" s="33" t="s">
        <v>2659</v>
      </c>
      <c r="G22" s="231">
        <f t="shared" si="0"/>
        <v>50408</v>
      </c>
      <c r="H22" s="208"/>
      <c r="I22" s="2" t="s">
        <v>2687</v>
      </c>
      <c r="J22" s="3"/>
      <c r="K22" s="3"/>
      <c r="L22" s="3"/>
      <c r="M22" s="24"/>
      <c r="N22" s="3"/>
      <c r="O22" s="24"/>
      <c r="P22" s="3"/>
      <c r="Q22" s="3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84"/>
      <c r="AL22" s="24"/>
      <c r="AM22" s="24"/>
      <c r="AN22" s="24"/>
      <c r="AO22" s="3"/>
      <c r="AP22" s="3"/>
      <c r="AQ22" s="3"/>
      <c r="AR22" s="3"/>
      <c r="AS22" s="24"/>
      <c r="AT22" s="24"/>
      <c r="AU22" s="24"/>
      <c r="AV22" s="24"/>
      <c r="AW22" s="24"/>
      <c r="AX22" s="24"/>
      <c r="AY22" s="3"/>
      <c r="AZ22" s="24">
        <f t="shared" ref="AZ22:AZ29" si="4">G22</f>
        <v>50408</v>
      </c>
      <c r="BA22" s="24"/>
      <c r="BB22" s="24"/>
      <c r="BC22" s="24"/>
      <c r="BD22" s="24"/>
      <c r="BE22" s="24"/>
      <c r="BF22" s="24"/>
      <c r="BG22" s="24"/>
      <c r="BH22" s="343"/>
      <c r="BI22" s="343"/>
      <c r="BJ22" s="24"/>
      <c r="BK22" s="24"/>
      <c r="BL22" s="3"/>
      <c r="BM22" s="24"/>
      <c r="BN22" s="3"/>
      <c r="BO22" s="3"/>
      <c r="BP22" s="3"/>
      <c r="BQ22" s="3"/>
      <c r="BR22" s="3"/>
      <c r="BS22" s="24"/>
      <c r="BT22" s="24"/>
      <c r="BU22" s="24"/>
      <c r="BV22" s="24"/>
      <c r="BW22" s="24"/>
      <c r="BX22" s="24"/>
      <c r="BY22" s="24"/>
      <c r="BZ22" s="3"/>
      <c r="CA22" s="3"/>
      <c r="CB22" s="24"/>
      <c r="CC22" s="24"/>
      <c r="CD22" s="24"/>
      <c r="CE22" s="24"/>
      <c r="CF22" s="24"/>
      <c r="CG22" s="24"/>
      <c r="CH22" s="24"/>
      <c r="CI22" s="3"/>
      <c r="CJ22" s="3"/>
      <c r="CK22" s="24"/>
      <c r="CL22" s="24"/>
      <c r="CM22" s="24"/>
      <c r="CN22" s="24"/>
      <c r="CO22" s="24"/>
      <c r="CP22" s="24"/>
      <c r="CQ22" s="24"/>
      <c r="CR22" s="24"/>
      <c r="CS22" s="3"/>
      <c r="CT22" s="3"/>
      <c r="CU22" s="3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>
        <f t="shared" si="2"/>
        <v>50408</v>
      </c>
      <c r="DS22" s="3">
        <f t="shared" si="3"/>
        <v>0</v>
      </c>
      <c r="DU22" s="3">
        <v>50408</v>
      </c>
    </row>
    <row r="23" spans="1:125" x14ac:dyDescent="0.2">
      <c r="A23" s="251"/>
      <c r="C23" s="7" t="s">
        <v>2568</v>
      </c>
      <c r="D23" s="7" t="s">
        <v>2569</v>
      </c>
      <c r="E23" s="149" t="s">
        <v>178</v>
      </c>
      <c r="F23" s="255" t="s">
        <v>2659</v>
      </c>
      <c r="G23" s="230">
        <f t="shared" si="0"/>
        <v>61540</v>
      </c>
      <c r="H23" s="207"/>
      <c r="I23" s="2" t="s">
        <v>2687</v>
      </c>
      <c r="J23" s="2"/>
      <c r="K23" s="2"/>
      <c r="L23" s="2"/>
      <c r="M23" s="3"/>
      <c r="N23" s="3"/>
      <c r="O23" s="24"/>
      <c r="P23" s="3"/>
      <c r="Q23" s="3"/>
      <c r="R23" s="24"/>
      <c r="S23" s="24"/>
      <c r="T23" s="3"/>
      <c r="U23" s="3"/>
      <c r="V23" s="3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3"/>
      <c r="AJ23" s="24"/>
      <c r="AK23" s="284"/>
      <c r="AL23" s="24"/>
      <c r="AM23" s="3"/>
      <c r="AN23" s="3"/>
      <c r="AO23" s="24" t="s">
        <v>342</v>
      </c>
      <c r="AP23" s="24"/>
      <c r="AQ23" s="24"/>
      <c r="AR23" s="24"/>
      <c r="AS23" s="3" t="s">
        <v>342</v>
      </c>
      <c r="AT23" s="3"/>
      <c r="AU23" s="3"/>
      <c r="AV23" s="3"/>
      <c r="AW23" s="3"/>
      <c r="AX23" s="3"/>
      <c r="AY23" s="3" t="s">
        <v>342</v>
      </c>
      <c r="AZ23" s="3">
        <f t="shared" si="4"/>
        <v>61540</v>
      </c>
      <c r="BA23" s="3"/>
      <c r="BB23" s="3"/>
      <c r="BC23" s="24"/>
      <c r="BD23" s="24"/>
      <c r="BE23" s="24"/>
      <c r="BF23" s="24"/>
      <c r="BG23" s="24"/>
      <c r="BH23" s="343"/>
      <c r="BI23" s="343"/>
      <c r="BJ23" s="24"/>
      <c r="BK23" s="3"/>
      <c r="BL23" s="3"/>
      <c r="BM23" s="24"/>
      <c r="BN23" s="3"/>
      <c r="BO23" s="3"/>
      <c r="BP23" s="3"/>
      <c r="BQ23" s="3"/>
      <c r="BR23" s="3"/>
      <c r="BS23" s="3"/>
      <c r="BT23" s="3"/>
      <c r="BU23" s="24"/>
      <c r="BV23" s="24"/>
      <c r="BW23" s="24"/>
      <c r="BX23" s="24"/>
      <c r="BY23" s="24"/>
      <c r="BZ23" s="3"/>
      <c r="CA23" s="3"/>
      <c r="CB23" s="24"/>
      <c r="CC23" s="24"/>
      <c r="CD23" s="24"/>
      <c r="CE23" s="24"/>
      <c r="CF23" s="24"/>
      <c r="CG23" s="24"/>
      <c r="CH23" s="24"/>
      <c r="CI23" s="3"/>
      <c r="CJ23" s="3"/>
      <c r="CK23" s="24"/>
      <c r="CL23" s="3"/>
      <c r="CM23" s="3"/>
      <c r="CN23" s="24"/>
      <c r="CO23" s="24"/>
      <c r="CP23" s="24"/>
      <c r="CQ23" s="24"/>
      <c r="CR23" s="24"/>
      <c r="CS23" s="3"/>
      <c r="CT23" s="3"/>
      <c r="CU23" s="3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3"/>
      <c r="DR23" s="24">
        <f t="shared" si="2"/>
        <v>61540</v>
      </c>
      <c r="DS23" s="3">
        <f t="shared" si="3"/>
        <v>0</v>
      </c>
      <c r="DU23" s="3">
        <v>61540</v>
      </c>
    </row>
    <row r="24" spans="1:125" x14ac:dyDescent="0.2">
      <c r="C24" s="7" t="s">
        <v>2570</v>
      </c>
      <c r="D24" s="7" t="s">
        <v>2230</v>
      </c>
      <c r="E24" s="149" t="s">
        <v>1458</v>
      </c>
      <c r="F24" s="33" t="s">
        <v>2659</v>
      </c>
      <c r="G24" s="231">
        <f t="shared" si="0"/>
        <v>48410</v>
      </c>
      <c r="H24" s="207"/>
      <c r="I24" s="2" t="s">
        <v>2687</v>
      </c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28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>
        <f t="shared" si="4"/>
        <v>48410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24">
        <f t="shared" si="2"/>
        <v>48410</v>
      </c>
      <c r="DS24" s="3">
        <f t="shared" si="3"/>
        <v>0</v>
      </c>
      <c r="DU24" s="3">
        <v>48410</v>
      </c>
    </row>
    <row r="25" spans="1:125" x14ac:dyDescent="0.2">
      <c r="C25" s="7" t="s">
        <v>2571</v>
      </c>
      <c r="D25" s="7" t="s">
        <v>2572</v>
      </c>
      <c r="E25" s="154" t="s">
        <v>1459</v>
      </c>
      <c r="F25" s="33" t="s">
        <v>2659</v>
      </c>
      <c r="G25" s="230">
        <f t="shared" si="0"/>
        <v>70077</v>
      </c>
      <c r="H25" s="207"/>
      <c r="I25" s="2" t="s">
        <v>2677</v>
      </c>
      <c r="J25" s="2"/>
      <c r="K25" s="2"/>
      <c r="L25" s="2"/>
      <c r="M25" s="3"/>
      <c r="N25" s="3"/>
      <c r="O25" s="24"/>
      <c r="P25" s="3"/>
      <c r="Q25" s="3"/>
      <c r="R25" s="24"/>
      <c r="S25" s="24"/>
      <c r="T25" s="3"/>
      <c r="U25" s="3"/>
      <c r="V25" s="24">
        <f>+G25</f>
        <v>70077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3"/>
      <c r="AJ25" s="24"/>
      <c r="AK25" s="284"/>
      <c r="AL25" s="24"/>
      <c r="AM25" s="3"/>
      <c r="AN25" s="3"/>
      <c r="AO25" s="3"/>
      <c r="AP25" s="3"/>
      <c r="AQ25" s="3"/>
      <c r="AR25" s="3"/>
      <c r="AS25" s="24"/>
      <c r="AT25" s="24"/>
      <c r="AU25" s="24"/>
      <c r="AV25" s="24"/>
      <c r="AW25" s="24"/>
      <c r="AX25" s="24"/>
      <c r="AY25" s="3"/>
      <c r="AZ25" s="24"/>
      <c r="BA25" s="24"/>
      <c r="BB25" s="24"/>
      <c r="BC25" s="24"/>
      <c r="BD25" s="24"/>
      <c r="BE25" s="3"/>
      <c r="BF25" s="24"/>
      <c r="BG25" s="24"/>
      <c r="BH25" s="343"/>
      <c r="BI25" s="343"/>
      <c r="BJ25" s="24"/>
      <c r="BK25" s="3"/>
      <c r="BL25" s="3"/>
      <c r="BM25" s="24"/>
      <c r="BN25" s="3"/>
      <c r="BO25" s="3"/>
      <c r="BP25" s="3"/>
      <c r="BQ25" s="3"/>
      <c r="BR25" s="3"/>
      <c r="BS25" s="3"/>
      <c r="BT25" s="3"/>
      <c r="BU25" s="24"/>
      <c r="BV25" s="24"/>
      <c r="BW25" s="24"/>
      <c r="BX25" s="24"/>
      <c r="BY25" s="24"/>
      <c r="BZ25" s="3"/>
      <c r="CA25" s="3"/>
      <c r="CB25" s="24"/>
      <c r="CC25" s="24"/>
      <c r="CD25" s="24"/>
      <c r="CE25" s="24"/>
      <c r="CF25" s="24" t="s">
        <v>342</v>
      </c>
      <c r="CG25" s="24"/>
      <c r="CH25" s="24"/>
      <c r="CI25" s="3"/>
      <c r="CJ25" s="3"/>
      <c r="CK25" s="24"/>
      <c r="CL25" s="3"/>
      <c r="CM25" s="3"/>
      <c r="CN25" s="24"/>
      <c r="CO25" s="24"/>
      <c r="CP25" s="24"/>
      <c r="CQ25" s="24"/>
      <c r="CR25" s="24"/>
      <c r="CS25" s="3"/>
      <c r="CT25" s="3"/>
      <c r="CU25" s="3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3"/>
      <c r="DR25" s="24">
        <f t="shared" si="2"/>
        <v>70077</v>
      </c>
      <c r="DS25" s="3">
        <f t="shared" si="3"/>
        <v>0</v>
      </c>
      <c r="DU25" s="3">
        <v>70077</v>
      </c>
    </row>
    <row r="26" spans="1:125" x14ac:dyDescent="0.2">
      <c r="C26" s="7" t="s">
        <v>2573</v>
      </c>
      <c r="D26" s="7" t="s">
        <v>2574</v>
      </c>
      <c r="E26" s="155" t="s">
        <v>740</v>
      </c>
      <c r="F26" s="33" t="s">
        <v>2659</v>
      </c>
      <c r="G26" s="230">
        <f t="shared" si="0"/>
        <v>80548</v>
      </c>
      <c r="H26" s="207"/>
      <c r="I26" s="2" t="s">
        <v>2692</v>
      </c>
      <c r="J26" s="2"/>
      <c r="K26" s="2"/>
      <c r="L26" s="2"/>
      <c r="M26" s="3"/>
      <c r="N26" s="3"/>
      <c r="O26" s="24"/>
      <c r="P26" s="3"/>
      <c r="Q26" s="3"/>
      <c r="R26" s="24"/>
      <c r="S26" s="24"/>
      <c r="T26" s="3"/>
      <c r="U26" s="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3"/>
      <c r="AJ26" s="24"/>
      <c r="AK26" s="284"/>
      <c r="AL26" s="24"/>
      <c r="AM26" s="3"/>
      <c r="AN26" s="3"/>
      <c r="AO26" s="3"/>
      <c r="AP26" s="3"/>
      <c r="AQ26" s="3"/>
      <c r="AR26" s="3"/>
      <c r="AS26" s="24"/>
      <c r="AT26" s="24"/>
      <c r="AU26" s="24"/>
      <c r="AV26" s="24"/>
      <c r="AW26" s="24"/>
      <c r="AX26" s="24"/>
      <c r="AY26" s="3"/>
      <c r="AZ26" s="24">
        <f t="shared" si="4"/>
        <v>80548</v>
      </c>
      <c r="BA26" s="24"/>
      <c r="BB26" s="24"/>
      <c r="BC26" s="24"/>
      <c r="BD26" s="24"/>
      <c r="BF26" s="24"/>
      <c r="BG26" s="24"/>
      <c r="BH26" s="343"/>
      <c r="BI26" s="343"/>
      <c r="BJ26" s="24"/>
      <c r="BK26" s="3"/>
      <c r="BL26" s="3"/>
      <c r="BM26" s="24"/>
      <c r="BN26" s="3"/>
      <c r="BO26" s="3"/>
      <c r="BP26" s="3"/>
      <c r="BQ26" s="3"/>
      <c r="BR26" s="3"/>
      <c r="BS26" s="3"/>
      <c r="BT26" s="3"/>
      <c r="BU26" s="24"/>
      <c r="BV26" s="24"/>
      <c r="BW26" s="24"/>
      <c r="BX26" s="24"/>
      <c r="BY26" s="24"/>
      <c r="BZ26" s="3"/>
      <c r="CA26" s="3"/>
      <c r="CB26" s="24"/>
      <c r="CC26" s="24"/>
      <c r="CD26" s="24"/>
      <c r="CE26" s="24"/>
      <c r="CF26" s="24"/>
      <c r="CG26" s="24"/>
      <c r="CH26" s="24"/>
      <c r="CI26" s="3"/>
      <c r="CJ26" s="3"/>
      <c r="CK26" s="24"/>
      <c r="CL26" s="3"/>
      <c r="CM26" s="3"/>
      <c r="CN26" s="24"/>
      <c r="CO26" s="24"/>
      <c r="CP26" s="24"/>
      <c r="CQ26" s="24"/>
      <c r="CR26" s="24"/>
      <c r="CS26" s="3"/>
      <c r="CT26" s="3"/>
      <c r="CU26" s="3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3"/>
      <c r="DR26" s="24">
        <f t="shared" si="2"/>
        <v>80548</v>
      </c>
      <c r="DS26" s="3">
        <f t="shared" si="3"/>
        <v>0</v>
      </c>
      <c r="DU26" s="3">
        <v>80548</v>
      </c>
    </row>
    <row r="27" spans="1:125" x14ac:dyDescent="0.2">
      <c r="C27" s="7" t="s">
        <v>2557</v>
      </c>
      <c r="D27" s="7" t="s">
        <v>2575</v>
      </c>
      <c r="E27" s="153" t="s">
        <v>1460</v>
      </c>
      <c r="F27" s="33" t="s">
        <v>2659</v>
      </c>
      <c r="G27" s="231">
        <f t="shared" si="0"/>
        <v>68017</v>
      </c>
      <c r="H27" s="207"/>
      <c r="I27" s="2" t="s">
        <v>2692</v>
      </c>
      <c r="J27" s="2"/>
      <c r="K27" s="2"/>
      <c r="L27" s="2"/>
      <c r="M27" s="3"/>
      <c r="N27" s="3"/>
      <c r="O27" s="24"/>
      <c r="P27" s="3"/>
      <c r="Q27" s="3"/>
      <c r="R27" s="24"/>
      <c r="S27" s="24"/>
      <c r="T27" s="3"/>
      <c r="U27" s="3"/>
      <c r="V27" s="3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3"/>
      <c r="AJ27" s="24"/>
      <c r="AK27" s="284"/>
      <c r="AL27" s="24"/>
      <c r="AM27" s="3"/>
      <c r="AN27" s="3"/>
      <c r="AO27" s="3"/>
      <c r="AP27" s="3"/>
      <c r="AQ27" s="3"/>
      <c r="AR27" s="3"/>
      <c r="AS27" s="24"/>
      <c r="AT27" s="24"/>
      <c r="AU27" s="24"/>
      <c r="AV27" s="24"/>
      <c r="AW27" s="24"/>
      <c r="AX27" s="24"/>
      <c r="AY27" s="3"/>
      <c r="AZ27" s="24">
        <f t="shared" si="4"/>
        <v>68017</v>
      </c>
      <c r="BA27" s="24"/>
      <c r="BB27" s="24"/>
      <c r="BC27" s="24"/>
      <c r="BD27" s="24"/>
      <c r="BE27" s="24"/>
      <c r="BF27" s="24"/>
      <c r="BG27" s="24"/>
      <c r="BH27" s="343"/>
      <c r="BI27" s="343"/>
      <c r="BJ27" s="24"/>
      <c r="BK27" s="3"/>
      <c r="BL27" s="3"/>
      <c r="BM27" s="24"/>
      <c r="BN27" s="3"/>
      <c r="BO27" s="3"/>
      <c r="BP27" s="3"/>
      <c r="BQ27" s="3"/>
      <c r="BR27" s="3"/>
      <c r="BS27" s="3"/>
      <c r="BT27" s="3"/>
      <c r="BU27" s="24"/>
      <c r="BV27" s="24"/>
      <c r="BW27" s="24"/>
      <c r="BX27" s="24"/>
      <c r="BY27" s="24"/>
      <c r="BZ27" s="3"/>
      <c r="CA27" s="3"/>
      <c r="CB27" s="24"/>
      <c r="CC27" s="24"/>
      <c r="CD27" s="24"/>
      <c r="CE27" s="24"/>
      <c r="CF27" s="24"/>
      <c r="CG27" s="24"/>
      <c r="CH27" s="24"/>
      <c r="CI27" s="3"/>
      <c r="CJ27" s="3"/>
      <c r="CK27" s="24"/>
      <c r="CL27" s="3"/>
      <c r="CM27" s="3"/>
      <c r="CN27" s="3" t="s">
        <v>342</v>
      </c>
      <c r="CO27" s="3"/>
      <c r="CP27" s="3"/>
      <c r="CQ27" s="3"/>
      <c r="CR27" s="3"/>
      <c r="CS27" s="3"/>
      <c r="CT27" s="3"/>
      <c r="CU27" s="3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3"/>
      <c r="DR27" s="24">
        <f t="shared" si="2"/>
        <v>68017</v>
      </c>
      <c r="DS27" s="3">
        <f t="shared" si="3"/>
        <v>0</v>
      </c>
      <c r="DU27" s="3">
        <v>68017</v>
      </c>
    </row>
    <row r="28" spans="1:125" x14ac:dyDescent="0.2">
      <c r="C28" s="7" t="s">
        <v>2576</v>
      </c>
      <c r="D28" s="7" t="s">
        <v>2577</v>
      </c>
      <c r="E28" s="149" t="s">
        <v>204</v>
      </c>
      <c r="F28" s="33" t="s">
        <v>2659</v>
      </c>
      <c r="G28" s="231">
        <f t="shared" si="0"/>
        <v>47095</v>
      </c>
      <c r="H28" s="232"/>
      <c r="I28" s="2" t="s">
        <v>2687</v>
      </c>
      <c r="M28" s="3"/>
      <c r="N28" s="3"/>
      <c r="O28" s="24"/>
      <c r="P28" s="3"/>
      <c r="Q28" s="3"/>
      <c r="R28" s="24"/>
      <c r="S28" s="24"/>
      <c r="T28" s="3"/>
      <c r="U28" s="3"/>
      <c r="V28" s="3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3"/>
      <c r="AJ28" s="24"/>
      <c r="AK28" s="284"/>
      <c r="AL28" s="24"/>
      <c r="AM28" s="3"/>
      <c r="AN28" s="3"/>
      <c r="AO28" s="3"/>
      <c r="AP28" s="3"/>
      <c r="AQ28" s="3"/>
      <c r="AR28" s="3"/>
      <c r="AS28" s="24"/>
      <c r="AT28" s="24"/>
      <c r="AU28" s="24"/>
      <c r="AV28" s="24"/>
      <c r="AW28" s="24"/>
      <c r="AX28" s="24"/>
      <c r="AY28" s="3"/>
      <c r="AZ28" s="24">
        <f t="shared" si="4"/>
        <v>47095</v>
      </c>
      <c r="BA28" s="24"/>
      <c r="BB28" s="24"/>
      <c r="BC28" s="24"/>
      <c r="BD28" s="24"/>
      <c r="BE28" s="24"/>
      <c r="BF28" s="24"/>
      <c r="BG28" s="24"/>
      <c r="BH28" s="343"/>
      <c r="BI28" s="343"/>
      <c r="BJ28" s="24"/>
      <c r="BK28" s="3"/>
      <c r="BL28" s="3"/>
      <c r="BM28" s="24"/>
      <c r="BN28" s="3"/>
      <c r="BO28" s="3"/>
      <c r="BP28" s="3"/>
      <c r="BQ28" s="3"/>
      <c r="BR28" s="3"/>
      <c r="BS28" s="3"/>
      <c r="BT28" s="3"/>
      <c r="BU28" s="24"/>
      <c r="BV28" s="24"/>
      <c r="BW28" s="24"/>
      <c r="BX28" s="24"/>
      <c r="BY28" s="24"/>
      <c r="BZ28" s="3"/>
      <c r="CA28" s="3"/>
      <c r="CB28" s="24"/>
      <c r="CC28" s="24"/>
      <c r="CD28" s="24"/>
      <c r="CE28" s="24"/>
      <c r="CF28" s="24"/>
      <c r="CG28" s="24"/>
      <c r="CH28" s="24"/>
      <c r="CI28" s="3"/>
      <c r="CJ28" s="3"/>
      <c r="CK28" s="24"/>
      <c r="CL28" s="3"/>
      <c r="CM28" s="3"/>
      <c r="CN28" s="24"/>
      <c r="CO28" s="24"/>
      <c r="CP28" s="24"/>
      <c r="CQ28" s="24"/>
      <c r="CR28" s="24"/>
      <c r="CS28" s="3"/>
      <c r="CT28" s="3"/>
      <c r="CU28" s="3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3"/>
      <c r="DR28" s="24">
        <f t="shared" si="2"/>
        <v>47095</v>
      </c>
      <c r="DS28" s="3">
        <f t="shared" si="3"/>
        <v>0</v>
      </c>
      <c r="DU28" s="3">
        <v>47095</v>
      </c>
    </row>
    <row r="29" spans="1:125" x14ac:dyDescent="0.2">
      <c r="C29" s="7" t="s">
        <v>2473</v>
      </c>
      <c r="D29" s="7" t="s">
        <v>2578</v>
      </c>
      <c r="E29" s="149" t="s">
        <v>6</v>
      </c>
      <c r="F29" s="33" t="s">
        <v>2659</v>
      </c>
      <c r="G29" s="231">
        <f t="shared" si="0"/>
        <v>44592</v>
      </c>
      <c r="H29" s="232"/>
      <c r="I29" s="2" t="s">
        <v>2687</v>
      </c>
      <c r="M29" s="3"/>
      <c r="N29" s="3"/>
      <c r="O29" s="24"/>
      <c r="P29" s="3"/>
      <c r="Q29" s="3"/>
      <c r="R29" s="24"/>
      <c r="S29" s="24"/>
      <c r="T29" s="3"/>
      <c r="U29" s="3"/>
      <c r="V29" s="3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3"/>
      <c r="AJ29" s="24"/>
      <c r="AK29" s="284"/>
      <c r="AL29" s="24"/>
      <c r="AM29" s="3"/>
      <c r="AN29" s="3"/>
      <c r="AO29" s="3"/>
      <c r="AP29" s="3"/>
      <c r="AQ29" s="3"/>
      <c r="AR29" s="3"/>
      <c r="AS29" s="24"/>
      <c r="AT29" s="24"/>
      <c r="AU29" s="24"/>
      <c r="AV29" s="24"/>
      <c r="AW29" s="24"/>
      <c r="AX29" s="24"/>
      <c r="AY29" s="3"/>
      <c r="AZ29" s="24">
        <f t="shared" si="4"/>
        <v>44592</v>
      </c>
      <c r="BA29" s="24"/>
      <c r="BB29" s="24"/>
      <c r="BC29" s="24"/>
      <c r="BD29" s="24"/>
      <c r="BE29" s="24"/>
      <c r="BF29" s="24"/>
      <c r="BG29" s="24"/>
      <c r="BH29" s="343"/>
      <c r="BI29" s="343"/>
      <c r="BJ29" s="24"/>
      <c r="BK29" s="3"/>
      <c r="BL29" s="3"/>
      <c r="BM29" s="24"/>
      <c r="BN29" s="3"/>
      <c r="BO29" s="3"/>
      <c r="BP29" s="3"/>
      <c r="BQ29" s="3"/>
      <c r="BR29" s="3"/>
      <c r="BS29" s="3"/>
      <c r="BT29" s="3"/>
      <c r="BU29" s="24"/>
      <c r="BV29" s="24"/>
      <c r="BW29" s="24"/>
      <c r="BX29" s="24"/>
      <c r="BY29" s="24"/>
      <c r="BZ29" s="3"/>
      <c r="CA29" s="3"/>
      <c r="CB29" s="24"/>
      <c r="CC29" s="24"/>
      <c r="CD29" s="24"/>
      <c r="CE29" s="24"/>
      <c r="CF29" s="24"/>
      <c r="CG29" s="24"/>
      <c r="CH29" s="24"/>
      <c r="CI29" s="3"/>
      <c r="CJ29" s="3"/>
      <c r="CK29" s="24"/>
      <c r="CL29" s="3"/>
      <c r="CM29" s="3"/>
      <c r="CN29" s="24"/>
      <c r="CO29" s="24"/>
      <c r="CP29" s="24"/>
      <c r="CQ29" s="24"/>
      <c r="CR29" s="24"/>
      <c r="CS29" s="3"/>
      <c r="CT29" s="3"/>
      <c r="CU29" s="3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3"/>
      <c r="DR29" s="24">
        <f t="shared" si="2"/>
        <v>44592</v>
      </c>
      <c r="DS29" s="3">
        <f t="shared" si="3"/>
        <v>0</v>
      </c>
      <c r="DU29" s="3">
        <v>44592</v>
      </c>
    </row>
    <row r="30" spans="1:125" x14ac:dyDescent="0.2">
      <c r="C30" s="7" t="s">
        <v>2579</v>
      </c>
      <c r="D30" s="7" t="s">
        <v>2580</v>
      </c>
      <c r="E30" s="149" t="s">
        <v>1778</v>
      </c>
      <c r="F30" s="33" t="s">
        <v>2659</v>
      </c>
      <c r="G30" s="231">
        <f t="shared" si="0"/>
        <v>44592</v>
      </c>
      <c r="H30" s="232"/>
      <c r="I30" s="2" t="s">
        <v>2687</v>
      </c>
      <c r="J30" s="2" t="s">
        <v>2692</v>
      </c>
      <c r="M30" s="3"/>
      <c r="N30" s="3"/>
      <c r="O30" s="24"/>
      <c r="P30" s="3"/>
      <c r="Q30" s="3"/>
      <c r="R30" s="24"/>
      <c r="S30" s="24"/>
      <c r="T30" s="3"/>
      <c r="U30" s="3"/>
      <c r="V30" s="3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3"/>
      <c r="AJ30" s="24"/>
      <c r="AK30" s="284"/>
      <c r="AL30" s="24"/>
      <c r="AM30" s="3"/>
      <c r="AN30" s="3"/>
      <c r="AO30" s="3"/>
      <c r="AP30" s="3"/>
      <c r="AQ30" s="3"/>
      <c r="AR30" s="3"/>
      <c r="AS30" s="24"/>
      <c r="AT30" s="24"/>
      <c r="AU30" s="24"/>
      <c r="AV30" s="24"/>
      <c r="AW30" s="24"/>
      <c r="AX30" s="24"/>
      <c r="AY30" s="3"/>
      <c r="AZ30" s="24">
        <f>+G30*0.94</f>
        <v>41916.480000000003</v>
      </c>
      <c r="BA30" s="24"/>
      <c r="BB30" s="24"/>
      <c r="BC30" s="24"/>
      <c r="BD30" s="24"/>
      <c r="BE30" s="24"/>
      <c r="BF30" s="24"/>
      <c r="BG30" s="24"/>
      <c r="BH30" s="343"/>
      <c r="BI30" s="343"/>
      <c r="BJ30" s="24"/>
      <c r="BK30" s="3"/>
      <c r="BL30" s="3"/>
      <c r="BM30" s="24"/>
      <c r="BN30" s="3"/>
      <c r="BO30" s="3"/>
      <c r="BP30" s="3"/>
      <c r="BQ30" s="3"/>
      <c r="BR30" s="3"/>
      <c r="BS30" s="3"/>
      <c r="BT30" s="3"/>
      <c r="BU30" s="24">
        <f>+G30*0.06</f>
        <v>2675.52</v>
      </c>
      <c r="BV30" s="24"/>
      <c r="BW30" s="24"/>
      <c r="BX30" s="24"/>
      <c r="BY30" s="24"/>
      <c r="BZ30" s="3"/>
      <c r="CA30" s="3"/>
      <c r="CB30" s="24"/>
      <c r="CC30" s="24"/>
      <c r="CD30" s="24"/>
      <c r="CE30" s="24"/>
      <c r="CF30" s="24"/>
      <c r="CG30" s="24"/>
      <c r="CH30" s="24"/>
      <c r="CI30" s="3"/>
      <c r="CJ30" s="3"/>
      <c r="CK30" s="24"/>
      <c r="CL30" s="3"/>
      <c r="CM30" s="3"/>
      <c r="CN30" s="24"/>
      <c r="CO30" s="24"/>
      <c r="CP30" s="24"/>
      <c r="CQ30" s="24"/>
      <c r="CR30" s="24"/>
      <c r="CS30" s="3"/>
      <c r="CT30" s="3"/>
      <c r="CU30" s="3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3"/>
      <c r="DR30" s="24">
        <f t="shared" si="2"/>
        <v>44592</v>
      </c>
      <c r="DS30" s="3">
        <f t="shared" si="3"/>
        <v>0</v>
      </c>
      <c r="DU30" s="3">
        <v>44592</v>
      </c>
    </row>
    <row r="31" spans="1:125" x14ac:dyDescent="0.2">
      <c r="C31" s="7" t="s">
        <v>2473</v>
      </c>
      <c r="D31" s="7" t="s">
        <v>2242</v>
      </c>
      <c r="E31" s="153" t="s">
        <v>1461</v>
      </c>
      <c r="F31" s="33" t="s">
        <v>2659</v>
      </c>
      <c r="G31" s="231">
        <f t="shared" si="0"/>
        <v>52558</v>
      </c>
      <c r="H31" s="207"/>
      <c r="I31" s="2" t="s">
        <v>2692</v>
      </c>
      <c r="J31" s="2"/>
      <c r="K31" s="2"/>
      <c r="L31" s="2"/>
      <c r="M31" s="3"/>
      <c r="N31" s="3"/>
      <c r="O31" s="24"/>
      <c r="P31" s="3"/>
      <c r="Q31" s="3"/>
      <c r="R31" s="24"/>
      <c r="S31" s="24"/>
      <c r="T31" s="3"/>
      <c r="U31" s="3"/>
      <c r="V31" s="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3"/>
      <c r="AJ31" s="24"/>
      <c r="AK31" s="284"/>
      <c r="AL31" s="24"/>
      <c r="AM31" s="3"/>
      <c r="AN31" s="3"/>
      <c r="AO31" s="3"/>
      <c r="AP31" s="3"/>
      <c r="AQ31" s="3"/>
      <c r="AR31" s="3"/>
      <c r="AS31" s="24"/>
      <c r="AT31" s="24"/>
      <c r="AU31" s="24"/>
      <c r="AV31" s="24"/>
      <c r="AW31" s="24"/>
      <c r="AX31" s="24"/>
      <c r="AY31" s="3"/>
      <c r="AZ31" s="24">
        <f>+G31*0</f>
        <v>0</v>
      </c>
      <c r="BA31" s="24"/>
      <c r="BB31" s="24"/>
      <c r="BC31" s="24"/>
      <c r="BD31" s="24"/>
      <c r="BE31" s="24"/>
      <c r="BF31" s="24"/>
      <c r="BG31" s="24"/>
      <c r="BH31" s="343"/>
      <c r="BI31" s="343"/>
      <c r="BJ31" s="24"/>
      <c r="BK31" s="3"/>
      <c r="BL31" s="3"/>
      <c r="BM31" s="24"/>
      <c r="BN31" s="3"/>
      <c r="BO31" s="3"/>
      <c r="BP31" s="3"/>
      <c r="BQ31" s="3"/>
      <c r="BR31" s="3"/>
      <c r="BS31" s="3"/>
      <c r="BT31" s="3"/>
      <c r="BU31" s="24">
        <f>G31</f>
        <v>52558</v>
      </c>
      <c r="BV31" s="24"/>
      <c r="BW31" s="24"/>
      <c r="BX31" s="24"/>
      <c r="BY31" s="24"/>
      <c r="BZ31" s="3"/>
      <c r="CA31" s="3"/>
      <c r="CB31" s="24"/>
      <c r="CC31" s="24"/>
      <c r="CD31" s="24"/>
      <c r="CE31" s="24"/>
      <c r="CF31" s="24"/>
      <c r="CG31" s="24"/>
      <c r="CH31" s="24"/>
      <c r="CI31" s="3"/>
      <c r="CJ31" s="3"/>
      <c r="CK31" s="24"/>
      <c r="CL31" s="3"/>
      <c r="CM31" s="3"/>
      <c r="CN31" s="24"/>
      <c r="CO31" s="24"/>
      <c r="CP31" s="24"/>
      <c r="CQ31" s="24"/>
      <c r="CR31" s="24"/>
      <c r="CS31" s="3"/>
      <c r="CT31" s="3"/>
      <c r="CU31" s="3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3"/>
      <c r="DR31" s="24">
        <f t="shared" si="2"/>
        <v>52558</v>
      </c>
      <c r="DS31" s="3">
        <f t="shared" si="3"/>
        <v>0</v>
      </c>
      <c r="DU31" s="3">
        <v>52558</v>
      </c>
    </row>
    <row r="32" spans="1:125" x14ac:dyDescent="0.2">
      <c r="C32" s="7" t="s">
        <v>2581</v>
      </c>
      <c r="D32" s="7" t="s">
        <v>2582</v>
      </c>
      <c r="E32" s="149" t="s">
        <v>1773</v>
      </c>
      <c r="F32" s="33" t="s">
        <v>2659</v>
      </c>
      <c r="G32" s="230">
        <f t="shared" si="0"/>
        <v>47372</v>
      </c>
      <c r="H32" s="207"/>
      <c r="I32" s="2" t="s">
        <v>2687</v>
      </c>
      <c r="J32" s="2"/>
      <c r="K32" s="2"/>
      <c r="L32" s="2"/>
      <c r="M32" s="3"/>
      <c r="N32" s="3"/>
      <c r="O32" s="24"/>
      <c r="P32" s="3"/>
      <c r="Q32" s="3"/>
      <c r="R32" s="24"/>
      <c r="S32" s="24"/>
      <c r="T32" s="3"/>
      <c r="U32" s="3"/>
      <c r="V32" s="3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3"/>
      <c r="AJ32" s="24"/>
      <c r="AK32" s="284"/>
      <c r="AL32" s="24"/>
      <c r="AM32" s="3"/>
      <c r="AN32" s="3"/>
      <c r="AO32" s="3"/>
      <c r="AP32" s="3"/>
      <c r="AQ32" s="3"/>
      <c r="AR32" s="3"/>
      <c r="AS32" s="24"/>
      <c r="AT32" s="24"/>
      <c r="AU32" s="24"/>
      <c r="AV32" s="24"/>
      <c r="AW32" s="24"/>
      <c r="AX32" s="24"/>
      <c r="AY32" s="3"/>
      <c r="AZ32" s="24">
        <f>G32</f>
        <v>47372</v>
      </c>
      <c r="BA32" s="24"/>
      <c r="BB32" s="24"/>
      <c r="BC32" s="24"/>
      <c r="BD32" s="24"/>
      <c r="BE32" s="24"/>
      <c r="BF32" s="24"/>
      <c r="BG32" s="24"/>
      <c r="BH32" s="343"/>
      <c r="BI32" s="343"/>
      <c r="BJ32" s="24"/>
      <c r="BK32" s="3"/>
      <c r="BL32" s="3"/>
      <c r="BM32" s="24"/>
      <c r="BN32" s="3"/>
      <c r="BO32" s="3"/>
      <c r="BP32" s="3"/>
      <c r="BQ32" s="3"/>
      <c r="BR32" s="3"/>
      <c r="BS32" s="3"/>
      <c r="BT32" s="3"/>
      <c r="BU32" s="24"/>
      <c r="BV32" s="24"/>
      <c r="BW32" s="24"/>
      <c r="BX32" s="24"/>
      <c r="BY32" s="24"/>
      <c r="BZ32" s="3"/>
      <c r="CA32" s="3"/>
      <c r="CB32" s="24"/>
      <c r="CC32" s="24"/>
      <c r="CD32" s="24"/>
      <c r="CE32" s="24"/>
      <c r="CF32" s="24"/>
      <c r="CG32" s="24"/>
      <c r="CH32" s="24"/>
      <c r="CI32" s="3"/>
      <c r="CJ32" s="3"/>
      <c r="CK32" s="24"/>
      <c r="CL32" s="3"/>
      <c r="CM32" s="3"/>
      <c r="CN32" s="24"/>
      <c r="CO32" s="24"/>
      <c r="CP32" s="24"/>
      <c r="CQ32" s="24"/>
      <c r="CR32" s="24"/>
      <c r="CS32" s="3"/>
      <c r="CT32" s="3"/>
      <c r="CU32" s="3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3"/>
      <c r="DR32" s="24">
        <f t="shared" si="2"/>
        <v>47372</v>
      </c>
      <c r="DS32" s="3">
        <f t="shared" si="3"/>
        <v>0</v>
      </c>
      <c r="DU32" s="3">
        <v>47372</v>
      </c>
    </row>
    <row r="33" spans="1:125" x14ac:dyDescent="0.2">
      <c r="C33" s="7" t="s">
        <v>2583</v>
      </c>
      <c r="D33" s="7" t="s">
        <v>2584</v>
      </c>
      <c r="E33" s="149" t="s">
        <v>1462</v>
      </c>
      <c r="F33" s="33" t="s">
        <v>2659</v>
      </c>
      <c r="G33" s="231">
        <f t="shared" si="0"/>
        <v>52966</v>
      </c>
      <c r="H33" s="207"/>
      <c r="I33" s="2" t="s">
        <v>2687</v>
      </c>
      <c r="J33" s="2"/>
      <c r="K33" s="2"/>
      <c r="L33" s="2"/>
      <c r="M33" s="3"/>
      <c r="N33" s="3"/>
      <c r="O33" s="24"/>
      <c r="P33" s="3"/>
      <c r="Q33" s="3"/>
      <c r="R33" s="24"/>
      <c r="S33" s="24"/>
      <c r="T33" s="3"/>
      <c r="U33" s="3"/>
      <c r="V33" s="3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3"/>
      <c r="AJ33" s="24"/>
      <c r="AK33" s="284"/>
      <c r="AL33" s="24"/>
      <c r="AM33" s="3"/>
      <c r="AN33" s="3"/>
      <c r="AO33" s="3"/>
      <c r="AP33" s="3"/>
      <c r="AQ33" s="3"/>
      <c r="AR33" s="3"/>
      <c r="AS33" s="24"/>
      <c r="AT33" s="24"/>
      <c r="AU33" s="24"/>
      <c r="AV33" s="24"/>
      <c r="AW33" s="24"/>
      <c r="AX33" s="24"/>
      <c r="AY33" s="3"/>
      <c r="AZ33" s="24">
        <f>G33</f>
        <v>52966</v>
      </c>
      <c r="BA33" s="24"/>
      <c r="BB33" s="24"/>
      <c r="BC33" s="24"/>
      <c r="BD33" s="24"/>
      <c r="BE33" s="24"/>
      <c r="BF33" s="24"/>
      <c r="BG33" s="24"/>
      <c r="BH33" s="343"/>
      <c r="BI33" s="343"/>
      <c r="BJ33" s="24"/>
      <c r="BK33" s="3"/>
      <c r="BL33" s="3"/>
      <c r="BM33" s="24"/>
      <c r="BN33" s="3"/>
      <c r="BO33" s="3"/>
      <c r="BP33" s="3"/>
      <c r="BQ33" s="3"/>
      <c r="BR33" s="3"/>
      <c r="BS33" s="3"/>
      <c r="BT33" s="3"/>
      <c r="BU33" s="24"/>
      <c r="BV33" s="24"/>
      <c r="BW33" s="24"/>
      <c r="BX33" s="24"/>
      <c r="BY33" s="24"/>
      <c r="BZ33" s="3"/>
      <c r="CA33" s="3"/>
      <c r="CB33" s="24"/>
      <c r="CC33" s="24"/>
      <c r="CD33" s="24"/>
      <c r="CE33" s="24"/>
      <c r="CF33" s="24"/>
      <c r="CG33" s="24"/>
      <c r="CH33" s="24"/>
      <c r="CI33" s="3"/>
      <c r="CJ33" s="3"/>
      <c r="CK33" s="24"/>
      <c r="CL33" s="3"/>
      <c r="CM33" s="3"/>
      <c r="CN33" s="24"/>
      <c r="CO33" s="24"/>
      <c r="CP33" s="24"/>
      <c r="CQ33" s="24"/>
      <c r="CR33" s="24"/>
      <c r="CS33" s="3"/>
      <c r="CT33" s="3"/>
      <c r="CU33" s="3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3"/>
      <c r="DR33" s="24">
        <f t="shared" si="2"/>
        <v>52966</v>
      </c>
      <c r="DS33" s="3">
        <f t="shared" si="3"/>
        <v>0</v>
      </c>
      <c r="DU33" s="3">
        <v>52966</v>
      </c>
    </row>
    <row r="34" spans="1:125" x14ac:dyDescent="0.2">
      <c r="A34" s="251"/>
      <c r="C34" s="7" t="s">
        <v>2585</v>
      </c>
      <c r="D34" s="7" t="s">
        <v>2453</v>
      </c>
      <c r="E34" s="156" t="s">
        <v>1071</v>
      </c>
      <c r="F34" s="33" t="s">
        <v>2659</v>
      </c>
      <c r="G34" s="231">
        <f t="shared" si="0"/>
        <v>51914</v>
      </c>
      <c r="H34" s="207"/>
      <c r="I34" s="2" t="s">
        <v>2687</v>
      </c>
      <c r="J34" s="2"/>
      <c r="K34" s="2"/>
      <c r="L34" s="3"/>
      <c r="N34" s="3"/>
      <c r="O34" s="24"/>
      <c r="P34" s="3"/>
      <c r="Q34" s="3"/>
      <c r="R34" s="24"/>
      <c r="S34" s="24"/>
      <c r="T34" s="3"/>
      <c r="U34" s="3"/>
      <c r="V34" s="3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3"/>
      <c r="AJ34" s="24"/>
      <c r="AK34" s="284"/>
      <c r="AL34" s="24"/>
      <c r="AM34" s="3"/>
      <c r="AN34" s="3"/>
      <c r="AO34" s="3"/>
      <c r="AP34" s="3"/>
      <c r="AQ34" s="3"/>
      <c r="AR34" s="3"/>
      <c r="AS34" s="24"/>
      <c r="AT34" s="24"/>
      <c r="AU34" s="24"/>
      <c r="AV34" s="24"/>
      <c r="AW34" s="24"/>
      <c r="AX34" s="24"/>
      <c r="AY34" s="3"/>
      <c r="AZ34" s="24">
        <f>+G34</f>
        <v>51914</v>
      </c>
      <c r="BA34" s="24"/>
      <c r="BB34" s="24"/>
      <c r="BC34" s="24"/>
      <c r="BD34" s="24"/>
      <c r="BE34" s="24"/>
      <c r="BF34" s="24"/>
      <c r="BG34" s="24"/>
      <c r="BH34" s="343"/>
      <c r="BI34" s="343"/>
      <c r="BJ34" s="24"/>
      <c r="BK34" s="3"/>
      <c r="BL34" s="3"/>
      <c r="BM34" s="24"/>
      <c r="BN34" s="3"/>
      <c r="BO34" s="3"/>
      <c r="BP34" s="3"/>
      <c r="BQ34" s="3"/>
      <c r="BR34" s="3"/>
      <c r="BS34" s="3"/>
      <c r="BT34" s="3"/>
      <c r="BU34" s="24"/>
      <c r="BV34" s="24"/>
      <c r="BW34" s="24"/>
      <c r="BX34" s="24"/>
      <c r="BY34" s="24"/>
      <c r="BZ34" s="3"/>
      <c r="CA34" s="3"/>
      <c r="CB34" s="24"/>
      <c r="CC34" s="24"/>
      <c r="CD34" s="24"/>
      <c r="CE34" s="24"/>
      <c r="CF34" s="24"/>
      <c r="CG34" s="24"/>
      <c r="CH34" s="24"/>
      <c r="CI34" s="3"/>
      <c r="CJ34" s="3"/>
      <c r="CK34" s="24"/>
      <c r="CL34" s="3"/>
      <c r="CM34" s="3"/>
      <c r="CN34" s="24"/>
      <c r="CO34" s="24"/>
      <c r="CP34" s="24"/>
      <c r="CQ34" s="24"/>
      <c r="CR34" s="24"/>
      <c r="CS34" s="3"/>
      <c r="CT34" s="3"/>
      <c r="CU34" s="3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3"/>
      <c r="DR34" s="24">
        <f>SUM(L34:DQ34)</f>
        <v>51914</v>
      </c>
      <c r="DS34" s="3">
        <f t="shared" si="3"/>
        <v>0</v>
      </c>
      <c r="DU34" s="3">
        <v>51914</v>
      </c>
    </row>
    <row r="35" spans="1:125" x14ac:dyDescent="0.2">
      <c r="A35" s="251"/>
      <c r="C35" s="7" t="s">
        <v>2344</v>
      </c>
      <c r="D35" s="7" t="s">
        <v>2586</v>
      </c>
      <c r="E35" s="153" t="s">
        <v>1463</v>
      </c>
      <c r="F35" s="33" t="s">
        <v>2659</v>
      </c>
      <c r="G35" s="231">
        <f t="shared" si="0"/>
        <v>57759</v>
      </c>
      <c r="H35" s="207"/>
      <c r="I35" s="2" t="s">
        <v>2692</v>
      </c>
      <c r="J35" s="2"/>
      <c r="K35" s="2"/>
      <c r="L35" s="2"/>
      <c r="M35" s="3"/>
      <c r="N35" s="3"/>
      <c r="O35" s="24"/>
      <c r="P35" s="3"/>
      <c r="Q35" s="3"/>
      <c r="R35" s="24"/>
      <c r="S35" s="24"/>
      <c r="T35" s="3"/>
      <c r="U35" s="3"/>
      <c r="V35" s="3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3"/>
      <c r="AJ35" s="24"/>
      <c r="AK35" s="284"/>
      <c r="AL35" s="24"/>
      <c r="AM35" s="3"/>
      <c r="AN35" s="3"/>
      <c r="AO35" s="3"/>
      <c r="AP35" s="3"/>
      <c r="AQ35" s="3"/>
      <c r="AR35" s="3"/>
      <c r="AS35" s="24"/>
      <c r="AT35" s="24"/>
      <c r="AU35" s="24"/>
      <c r="AV35" s="24"/>
      <c r="AW35" s="24"/>
      <c r="AX35" s="24"/>
      <c r="AY35" s="3"/>
      <c r="AZ35" s="24"/>
      <c r="BA35" s="24"/>
      <c r="BB35" s="24"/>
      <c r="BC35" s="24"/>
      <c r="BD35" s="24"/>
      <c r="BE35" s="24"/>
      <c r="BF35" s="24"/>
      <c r="BG35" s="24"/>
      <c r="BH35" s="343"/>
      <c r="BI35" s="343"/>
      <c r="BJ35" s="24"/>
      <c r="BK35" s="3"/>
      <c r="BL35" s="3"/>
      <c r="BM35" s="24"/>
      <c r="BN35" s="3"/>
      <c r="BO35" s="3"/>
      <c r="BP35" s="3"/>
      <c r="BQ35" s="3"/>
      <c r="BR35" s="3"/>
      <c r="BS35" s="3"/>
      <c r="BT35" s="3"/>
      <c r="BU35" s="24">
        <f>G35</f>
        <v>57759</v>
      </c>
      <c r="BV35" s="24"/>
      <c r="BW35" s="24"/>
      <c r="BX35" s="24"/>
      <c r="BY35" s="24"/>
      <c r="BZ35" s="3"/>
      <c r="CA35" s="3"/>
      <c r="CB35" s="24"/>
      <c r="CC35" s="24"/>
      <c r="CD35" s="24"/>
      <c r="CE35" s="24"/>
      <c r="CF35" s="24"/>
      <c r="CG35" s="24"/>
      <c r="CH35" s="24"/>
      <c r="CI35" s="3"/>
      <c r="CJ35" s="3"/>
      <c r="CK35" s="24"/>
      <c r="CL35" s="3"/>
      <c r="CM35" s="3"/>
      <c r="CN35" s="24"/>
      <c r="CO35" s="24"/>
      <c r="CP35" s="24"/>
      <c r="CQ35" s="24"/>
      <c r="CR35" s="24"/>
      <c r="CS35" s="3"/>
      <c r="CT35" s="3"/>
      <c r="CU35" s="3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3"/>
      <c r="DR35" s="24">
        <f t="shared" si="2"/>
        <v>57759</v>
      </c>
      <c r="DS35" s="3">
        <f t="shared" si="3"/>
        <v>0</v>
      </c>
      <c r="DU35" s="3">
        <v>57759</v>
      </c>
    </row>
    <row r="36" spans="1:125" x14ac:dyDescent="0.2">
      <c r="C36" s="7" t="s">
        <v>2590</v>
      </c>
      <c r="D36" s="7" t="s">
        <v>2287</v>
      </c>
      <c r="E36" s="149" t="s">
        <v>2545</v>
      </c>
      <c r="F36" s="33" t="s">
        <v>2659</v>
      </c>
      <c r="G36" s="230">
        <f t="shared" si="0"/>
        <v>50560</v>
      </c>
      <c r="H36" s="208"/>
      <c r="I36" s="2" t="s">
        <v>2687</v>
      </c>
      <c r="J36" s="3"/>
      <c r="K36" s="3"/>
      <c r="L36" s="3"/>
      <c r="M36" s="24"/>
      <c r="N36" s="3"/>
      <c r="O36" s="24"/>
      <c r="P36" s="3"/>
      <c r="Q36" s="3"/>
      <c r="R36" s="24"/>
      <c r="S36" s="24"/>
      <c r="T36" s="3"/>
      <c r="U36" s="3"/>
      <c r="V36" s="3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3"/>
      <c r="AJ36" s="24"/>
      <c r="AK36" s="284"/>
      <c r="AL36" s="24"/>
      <c r="AM36" s="24"/>
      <c r="AN36" s="24"/>
      <c r="AO36" s="3"/>
      <c r="AP36" s="3"/>
      <c r="AQ36" s="3"/>
      <c r="AR36" s="3"/>
      <c r="AS36" s="24"/>
      <c r="AT36" s="24"/>
      <c r="AU36" s="24"/>
      <c r="AV36" s="24"/>
      <c r="AW36" s="24"/>
      <c r="AX36" s="24"/>
      <c r="AY36" s="3"/>
      <c r="AZ36" s="24">
        <f>G36</f>
        <v>50560</v>
      </c>
      <c r="BA36" s="24"/>
      <c r="BB36" s="24"/>
      <c r="BC36" s="24"/>
      <c r="BD36" s="24"/>
      <c r="BE36" s="24"/>
      <c r="BF36" s="24"/>
      <c r="BG36" s="24"/>
      <c r="BH36" s="343"/>
      <c r="BI36" s="343"/>
      <c r="BJ36" s="24"/>
      <c r="BK36" s="3"/>
      <c r="BL36" s="3"/>
      <c r="BM36" s="24"/>
      <c r="BN36" s="3"/>
      <c r="BO36" s="3"/>
      <c r="BP36" s="3"/>
      <c r="BQ36" s="3"/>
      <c r="BR36" s="3"/>
      <c r="BS36" s="24"/>
      <c r="BT36" s="24"/>
      <c r="BU36" s="24"/>
      <c r="BV36" s="24"/>
      <c r="BW36" s="24"/>
      <c r="BX36" s="24"/>
      <c r="BY36" s="24"/>
      <c r="BZ36" s="3"/>
      <c r="CA36" s="3"/>
      <c r="CB36" s="24"/>
      <c r="CC36" s="24"/>
      <c r="CD36" s="24"/>
      <c r="CE36" s="24"/>
      <c r="CF36" s="24"/>
      <c r="CG36" s="24"/>
      <c r="CH36" s="24"/>
      <c r="CI36" s="3"/>
      <c r="CJ36" s="3"/>
      <c r="CK36" s="24"/>
      <c r="CL36" s="24"/>
      <c r="CM36" s="24"/>
      <c r="CN36" s="24"/>
      <c r="CO36" s="24"/>
      <c r="CP36" s="24"/>
      <c r="CQ36" s="24"/>
      <c r="CR36" s="24"/>
      <c r="CS36" s="3"/>
      <c r="CT36" s="3"/>
      <c r="CU36" s="3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>
        <f t="shared" si="2"/>
        <v>50560</v>
      </c>
      <c r="DS36" s="3">
        <f t="shared" si="3"/>
        <v>0</v>
      </c>
      <c r="DU36" s="3">
        <v>50560</v>
      </c>
    </row>
    <row r="37" spans="1:125" x14ac:dyDescent="0.2">
      <c r="C37" s="7" t="s">
        <v>2340</v>
      </c>
      <c r="D37" s="7" t="s">
        <v>2287</v>
      </c>
      <c r="E37" s="152" t="s">
        <v>1467</v>
      </c>
      <c r="F37" s="33" t="s">
        <v>2659</v>
      </c>
      <c r="G37" s="231">
        <f t="shared" si="0"/>
        <v>52106</v>
      </c>
      <c r="H37" s="207"/>
      <c r="I37" s="2" t="s">
        <v>2692</v>
      </c>
      <c r="J37" s="2"/>
      <c r="K37" s="2"/>
      <c r="L37" s="2"/>
      <c r="M37" s="3"/>
      <c r="N37" s="3"/>
      <c r="O37" s="24"/>
      <c r="P37" s="3"/>
      <c r="Q37" s="3"/>
      <c r="R37" s="24"/>
      <c r="S37" s="24"/>
      <c r="T37" s="3"/>
      <c r="U37" s="3"/>
      <c r="V37" s="3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3"/>
      <c r="AJ37" s="24"/>
      <c r="AK37" s="284"/>
      <c r="AL37" s="24"/>
      <c r="AM37" s="3"/>
      <c r="AN37" s="3"/>
      <c r="AO37" s="3"/>
      <c r="AP37" s="3"/>
      <c r="AQ37" s="3"/>
      <c r="AR37" s="3"/>
      <c r="AS37" s="24"/>
      <c r="AT37" s="24"/>
      <c r="AU37" s="24"/>
      <c r="AV37" s="24"/>
      <c r="AW37" s="24"/>
      <c r="AX37" s="24"/>
      <c r="AY37" s="3"/>
      <c r="AZ37" s="3" t="s">
        <v>342</v>
      </c>
      <c r="BA37" s="3"/>
      <c r="BB37" s="3"/>
      <c r="BC37" s="24"/>
      <c r="BD37" s="24"/>
      <c r="BE37" s="24"/>
      <c r="BF37" s="24"/>
      <c r="BG37" s="24"/>
      <c r="BH37" s="343"/>
      <c r="BI37" s="343"/>
      <c r="BJ37" s="24"/>
      <c r="BK37" s="3"/>
      <c r="BL37" s="3"/>
      <c r="BM37" s="24"/>
      <c r="BN37" s="3"/>
      <c r="BO37" s="3"/>
      <c r="BP37" s="3"/>
      <c r="BQ37" s="3"/>
      <c r="BR37" s="3"/>
      <c r="BS37" s="3"/>
      <c r="BT37" s="3"/>
      <c r="BU37" s="24">
        <f>G37</f>
        <v>52106</v>
      </c>
      <c r="BV37" s="24"/>
      <c r="BW37" s="24"/>
      <c r="BX37" s="24"/>
      <c r="BY37" s="24"/>
      <c r="BZ37" s="3"/>
      <c r="CA37" s="3"/>
      <c r="CB37" s="24"/>
      <c r="CC37" s="24"/>
      <c r="CD37" s="24"/>
      <c r="CE37" s="24"/>
      <c r="CF37" s="24"/>
      <c r="CG37" s="24"/>
      <c r="CH37" s="24"/>
      <c r="CI37" s="3"/>
      <c r="CJ37" s="3"/>
      <c r="CK37" s="24"/>
      <c r="CL37" s="3"/>
      <c r="CM37" s="3"/>
      <c r="CN37" s="3" t="s">
        <v>342</v>
      </c>
      <c r="CO37" s="3"/>
      <c r="CP37" s="3"/>
      <c r="CQ37" s="3"/>
      <c r="CR37" s="24"/>
      <c r="CS37" s="3"/>
      <c r="CT37" s="3"/>
      <c r="CU37" s="3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3"/>
      <c r="DR37" s="24">
        <f t="shared" si="2"/>
        <v>52106</v>
      </c>
      <c r="DS37" s="3">
        <f t="shared" si="3"/>
        <v>0</v>
      </c>
      <c r="DU37" s="3">
        <v>52106</v>
      </c>
    </row>
    <row r="38" spans="1:125" x14ac:dyDescent="0.2">
      <c r="C38" s="7" t="s">
        <v>2587</v>
      </c>
      <c r="D38" s="7" t="s">
        <v>2588</v>
      </c>
      <c r="E38" s="149" t="s">
        <v>73</v>
      </c>
      <c r="F38" s="33" t="s">
        <v>2659</v>
      </c>
      <c r="G38" s="231">
        <f t="shared" si="0"/>
        <v>46674</v>
      </c>
      <c r="H38" s="207"/>
      <c r="I38" s="2" t="s">
        <v>2692</v>
      </c>
      <c r="J38" s="2"/>
      <c r="K38" s="2"/>
      <c r="L38" s="2"/>
      <c r="M38" s="3"/>
      <c r="N38" s="3"/>
      <c r="O38" s="24"/>
      <c r="P38" s="3"/>
      <c r="Q38" s="3"/>
      <c r="R38" s="24"/>
      <c r="S38" s="24"/>
      <c r="T38" s="3"/>
      <c r="U38" s="3"/>
      <c r="V38" s="3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3"/>
      <c r="AJ38" s="24"/>
      <c r="AK38" s="284"/>
      <c r="AL38" s="24"/>
      <c r="AM38" s="3"/>
      <c r="AN38" s="3"/>
      <c r="AO38" s="3"/>
      <c r="AP38" s="3"/>
      <c r="AQ38" s="3"/>
      <c r="AR38" s="3"/>
      <c r="AS38" s="24"/>
      <c r="AT38" s="24"/>
      <c r="AU38" s="24"/>
      <c r="AV38" s="24"/>
      <c r="AW38" s="24"/>
      <c r="AX38" s="24"/>
      <c r="AY38" s="3"/>
      <c r="AZ38" s="24"/>
      <c r="BA38" s="24"/>
      <c r="BB38" s="24"/>
      <c r="BC38" s="24"/>
      <c r="BD38" s="24"/>
      <c r="BE38" s="24"/>
      <c r="BF38" s="24"/>
      <c r="BG38" s="24"/>
      <c r="BH38" s="343"/>
      <c r="BI38" s="343"/>
      <c r="BJ38" s="24"/>
      <c r="BK38" s="3"/>
      <c r="BL38" s="3"/>
      <c r="BM38" s="24"/>
      <c r="BN38" s="3"/>
      <c r="BO38" s="3"/>
      <c r="BP38" s="3"/>
      <c r="BQ38" s="3"/>
      <c r="BR38" s="3"/>
      <c r="BS38" s="3"/>
      <c r="BT38" s="3"/>
      <c r="BU38" s="24">
        <f>+G38</f>
        <v>46674</v>
      </c>
      <c r="BV38" s="24"/>
      <c r="BW38" s="24"/>
      <c r="BX38" s="24"/>
      <c r="BY38" s="24"/>
      <c r="BZ38" s="3"/>
      <c r="CA38" s="3"/>
      <c r="CB38" s="24"/>
      <c r="CC38" s="24"/>
      <c r="CD38" s="24"/>
      <c r="CE38" s="24"/>
      <c r="CF38" s="24"/>
      <c r="CG38" s="24"/>
      <c r="CH38" s="24"/>
      <c r="CI38" s="3"/>
      <c r="CJ38" s="3"/>
      <c r="CK38" s="24"/>
      <c r="CL38" s="3"/>
      <c r="CM38" s="3"/>
      <c r="CN38" s="24"/>
      <c r="CO38" s="24"/>
      <c r="CP38" s="24"/>
      <c r="CQ38" s="24"/>
      <c r="CR38" s="24"/>
      <c r="CS38" s="3"/>
      <c r="CT38" s="3"/>
      <c r="CU38" s="3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3"/>
      <c r="DR38" s="24">
        <f t="shared" ref="DR38:DR69" si="5">SUM(M38:DQ38)</f>
        <v>46674</v>
      </c>
      <c r="DS38" s="3">
        <f t="shared" ref="DS38:DS69" si="6">DR38-G38</f>
        <v>0</v>
      </c>
      <c r="DU38" s="3">
        <v>46674</v>
      </c>
    </row>
    <row r="39" spans="1:125" x14ac:dyDescent="0.2">
      <c r="C39" s="7" t="s">
        <v>2589</v>
      </c>
      <c r="D39" s="7" t="s">
        <v>2588</v>
      </c>
      <c r="E39" s="149" t="s">
        <v>74</v>
      </c>
      <c r="F39" s="33" t="s">
        <v>2659</v>
      </c>
      <c r="G39" s="230">
        <f t="shared" si="0"/>
        <v>55474</v>
      </c>
      <c r="H39" s="207"/>
      <c r="I39" s="2" t="s">
        <v>2687</v>
      </c>
      <c r="J39" s="2"/>
      <c r="K39" s="2"/>
      <c r="L39" s="2"/>
      <c r="M39" s="3"/>
      <c r="N39" s="3"/>
      <c r="O39" s="24"/>
      <c r="P39" s="3"/>
      <c r="Q39" s="3"/>
      <c r="R39" s="24"/>
      <c r="S39" s="24"/>
      <c r="T39" s="3"/>
      <c r="U39" s="3"/>
      <c r="V39" s="3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3"/>
      <c r="AJ39" s="24"/>
      <c r="AK39" s="284"/>
      <c r="AL39" s="24"/>
      <c r="AM39" s="3"/>
      <c r="AN39" s="3"/>
      <c r="AO39" s="3"/>
      <c r="AP39" s="3"/>
      <c r="AQ39" s="3"/>
      <c r="AR39" s="3"/>
      <c r="AS39" s="24"/>
      <c r="AT39" s="24"/>
      <c r="AU39" s="24"/>
      <c r="AV39" s="24"/>
      <c r="AW39" s="24"/>
      <c r="AX39" s="24"/>
      <c r="AY39" s="3"/>
      <c r="AZ39" s="24">
        <f>G39</f>
        <v>55474</v>
      </c>
      <c r="BA39" s="24"/>
      <c r="BB39" s="24"/>
      <c r="BC39" s="24"/>
      <c r="BD39" s="24"/>
      <c r="BE39" s="24"/>
      <c r="BF39" s="24"/>
      <c r="BG39" s="24"/>
      <c r="BH39" s="343"/>
      <c r="BI39" s="343"/>
      <c r="BJ39" s="24"/>
      <c r="BK39" s="3"/>
      <c r="BL39" s="3"/>
      <c r="BM39" s="24"/>
      <c r="BN39" s="3"/>
      <c r="BO39" s="3"/>
      <c r="BP39" s="3"/>
      <c r="BQ39" s="3"/>
      <c r="BR39" s="3"/>
      <c r="BS39" s="3"/>
      <c r="BT39" s="3"/>
      <c r="BU39" s="24"/>
      <c r="BV39" s="24"/>
      <c r="BW39" s="24"/>
      <c r="BX39" s="24"/>
      <c r="BY39" s="24"/>
      <c r="BZ39" s="3"/>
      <c r="CA39" s="3"/>
      <c r="CB39" s="24"/>
      <c r="CC39" s="24"/>
      <c r="CD39" s="24"/>
      <c r="CE39" s="24"/>
      <c r="CF39" s="24"/>
      <c r="CG39" s="24"/>
      <c r="CH39" s="24"/>
      <c r="CI39" s="3"/>
      <c r="CJ39" s="3"/>
      <c r="CK39" s="24"/>
      <c r="CL39" s="3"/>
      <c r="CM39" s="3"/>
      <c r="CN39" s="24"/>
      <c r="CO39" s="24"/>
      <c r="CP39" s="24"/>
      <c r="CQ39" s="24"/>
      <c r="CR39" s="24"/>
      <c r="CS39" s="3"/>
      <c r="CT39" s="3"/>
      <c r="CU39" s="3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3"/>
      <c r="DR39" s="24">
        <f t="shared" si="5"/>
        <v>55474</v>
      </c>
      <c r="DS39" s="3">
        <f t="shared" si="6"/>
        <v>0</v>
      </c>
      <c r="DU39" s="3">
        <v>55474</v>
      </c>
    </row>
    <row r="40" spans="1:125" x14ac:dyDescent="0.2">
      <c r="C40" s="7" t="s">
        <v>2482</v>
      </c>
      <c r="D40" s="7" t="s">
        <v>2249</v>
      </c>
      <c r="E40" s="151" t="s">
        <v>1528</v>
      </c>
      <c r="F40" s="33" t="s">
        <v>2659</v>
      </c>
      <c r="G40" s="231">
        <f t="shared" si="0"/>
        <v>103524</v>
      </c>
      <c r="H40" s="207"/>
      <c r="I40" s="3" t="s">
        <v>2675</v>
      </c>
      <c r="K40" s="2"/>
      <c r="L40" s="2"/>
      <c r="M40" s="24">
        <f>G40</f>
        <v>103524</v>
      </c>
      <c r="N40" s="3"/>
      <c r="O40" s="24"/>
      <c r="P40" s="3"/>
      <c r="Q40" s="3"/>
      <c r="R40" s="24"/>
      <c r="S40" s="24"/>
      <c r="T40" s="3"/>
      <c r="U40" s="3"/>
      <c r="V40" s="3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3"/>
      <c r="AJ40" s="24"/>
      <c r="AK40" s="284"/>
      <c r="AL40" s="24"/>
      <c r="AM40" s="3"/>
      <c r="AN40" s="3"/>
      <c r="AO40" s="3"/>
      <c r="AP40" s="3"/>
      <c r="AQ40" s="3"/>
      <c r="AR40" s="3"/>
      <c r="AS40" s="24"/>
      <c r="AT40" s="24"/>
      <c r="AU40" s="24"/>
      <c r="AV40" s="24"/>
      <c r="AW40" s="24"/>
      <c r="AX40" s="24"/>
      <c r="AY40" s="3"/>
      <c r="AZ40" s="3"/>
      <c r="BA40" s="3"/>
      <c r="BB40" s="3"/>
      <c r="BC40" s="24"/>
      <c r="BD40" s="24"/>
      <c r="BE40" s="24"/>
      <c r="BF40" s="24"/>
      <c r="BG40" s="24"/>
      <c r="BH40" s="343"/>
      <c r="BI40" s="343"/>
      <c r="BJ40" s="24"/>
      <c r="BK40" s="3"/>
      <c r="BL40" s="3"/>
      <c r="BM40" s="24"/>
      <c r="BN40" s="3"/>
      <c r="BO40" s="3"/>
      <c r="BP40" s="3"/>
      <c r="BQ40" s="3"/>
      <c r="BR40" s="3"/>
      <c r="BS40" s="3"/>
      <c r="BT40" s="3"/>
      <c r="BU40" s="3"/>
      <c r="BV40" s="24"/>
      <c r="BW40" s="24"/>
      <c r="BX40" s="24"/>
      <c r="BY40" s="24"/>
      <c r="BZ40" s="3"/>
      <c r="CA40" s="3"/>
      <c r="CB40" s="24"/>
      <c r="CC40" s="24"/>
      <c r="CD40" s="24"/>
      <c r="CE40" s="24"/>
      <c r="CF40" s="24"/>
      <c r="CG40" s="24"/>
      <c r="CH40" s="24"/>
      <c r="CI40" s="3"/>
      <c r="CJ40" s="3"/>
      <c r="CK40" s="24"/>
      <c r="CL40" s="3"/>
      <c r="CM40" s="3"/>
      <c r="CN40" s="3"/>
      <c r="CO40" s="3"/>
      <c r="CP40" s="3"/>
      <c r="CQ40" s="3"/>
      <c r="CR40" s="24"/>
      <c r="CS40" s="3"/>
      <c r="CT40" s="3"/>
      <c r="CU40" s="3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3"/>
      <c r="DR40" s="24">
        <f t="shared" si="5"/>
        <v>103524</v>
      </c>
      <c r="DS40" s="3">
        <f t="shared" si="6"/>
        <v>0</v>
      </c>
      <c r="DU40" s="3">
        <v>103524</v>
      </c>
    </row>
    <row r="41" spans="1:125" x14ac:dyDescent="0.2">
      <c r="C41" s="7" t="s">
        <v>2591</v>
      </c>
      <c r="D41" s="7" t="s">
        <v>2592</v>
      </c>
      <c r="E41" s="152" t="s">
        <v>75</v>
      </c>
      <c r="F41" s="33" t="s">
        <v>2659</v>
      </c>
      <c r="G41" s="230">
        <f t="shared" si="0"/>
        <v>100558</v>
      </c>
      <c r="H41" s="208"/>
      <c r="I41" s="2" t="s">
        <v>2692</v>
      </c>
      <c r="J41" s="3"/>
      <c r="K41" s="3"/>
      <c r="L41" s="3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8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343"/>
      <c r="BI41" s="343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>
        <f>G41</f>
        <v>100558</v>
      </c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>
        <f t="shared" si="5"/>
        <v>100558</v>
      </c>
      <c r="DS41" s="3">
        <f t="shared" si="6"/>
        <v>0</v>
      </c>
      <c r="DU41" s="3">
        <v>100558</v>
      </c>
    </row>
    <row r="42" spans="1:125" x14ac:dyDescent="0.2">
      <c r="C42" s="7" t="s">
        <v>2593</v>
      </c>
      <c r="D42" s="7" t="s">
        <v>2594</v>
      </c>
      <c r="E42" s="152" t="s">
        <v>76</v>
      </c>
      <c r="F42" s="33" t="s">
        <v>2659</v>
      </c>
      <c r="G42" s="230">
        <f t="shared" si="0"/>
        <v>85841</v>
      </c>
      <c r="H42" s="207"/>
      <c r="I42" s="2" t="s">
        <v>2692</v>
      </c>
      <c r="J42" s="2"/>
      <c r="K42" s="2"/>
      <c r="L42" s="2"/>
      <c r="M42" s="3"/>
      <c r="N42" s="3"/>
      <c r="O42" s="24"/>
      <c r="P42" s="3"/>
      <c r="Q42" s="3"/>
      <c r="R42" s="24"/>
      <c r="S42" s="24" t="s">
        <v>342</v>
      </c>
      <c r="T42" s="3"/>
      <c r="U42" s="3"/>
      <c r="V42" s="3"/>
      <c r="W42" s="3" t="s">
        <v>342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3"/>
      <c r="AJ42" s="24"/>
      <c r="AK42" s="284"/>
      <c r="AL42" s="24"/>
      <c r="AM42" s="3"/>
      <c r="AN42" s="3"/>
      <c r="AO42" s="3"/>
      <c r="AP42" s="3"/>
      <c r="AQ42" s="3"/>
      <c r="AR42" s="3"/>
      <c r="AS42" s="24"/>
      <c r="AT42" s="24"/>
      <c r="AU42" s="24"/>
      <c r="AV42" s="24"/>
      <c r="AW42" s="24"/>
      <c r="AX42" s="24"/>
      <c r="AY42" s="3"/>
      <c r="AZ42" s="24"/>
      <c r="BA42" s="24"/>
      <c r="BB42" s="24"/>
      <c r="BC42" s="24"/>
      <c r="BD42" s="24"/>
      <c r="BE42" s="24"/>
      <c r="BF42" s="24"/>
      <c r="BG42" s="24"/>
      <c r="BH42" s="343"/>
      <c r="BI42" s="343"/>
      <c r="BJ42" s="24"/>
      <c r="BK42" s="3"/>
      <c r="BL42" s="3"/>
      <c r="BM42" s="24"/>
      <c r="BN42" s="3"/>
      <c r="BO42" s="3"/>
      <c r="BP42" s="3"/>
      <c r="BQ42" s="3"/>
      <c r="BR42" s="3"/>
      <c r="BS42" s="3"/>
      <c r="BT42" s="3"/>
      <c r="BU42" s="24">
        <f>G42</f>
        <v>85841</v>
      </c>
      <c r="BV42" s="24"/>
      <c r="BW42" s="24"/>
      <c r="BX42" s="24"/>
      <c r="BY42" s="24"/>
      <c r="BZ42" s="3"/>
      <c r="CA42" s="3"/>
      <c r="CB42" s="24"/>
      <c r="CC42" s="24"/>
      <c r="CD42" s="24"/>
      <c r="CE42" s="24"/>
      <c r="CF42" s="24"/>
      <c r="CG42" s="24"/>
      <c r="CH42" s="24"/>
      <c r="CI42" s="3"/>
      <c r="CJ42" s="3"/>
      <c r="CK42" s="24"/>
      <c r="CL42" s="3"/>
      <c r="CM42" s="3"/>
      <c r="CN42" s="24"/>
      <c r="CO42" s="24"/>
      <c r="CP42" s="24"/>
      <c r="CQ42" s="24"/>
      <c r="CR42" s="24"/>
      <c r="CS42" s="3"/>
      <c r="CT42" s="3"/>
      <c r="CU42" s="3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3"/>
      <c r="DR42" s="24">
        <f t="shared" si="5"/>
        <v>85841</v>
      </c>
      <c r="DS42" s="3">
        <f t="shared" si="6"/>
        <v>0</v>
      </c>
      <c r="DU42" s="3">
        <v>85841</v>
      </c>
    </row>
    <row r="43" spans="1:125" x14ac:dyDescent="0.2">
      <c r="C43" s="7" t="s">
        <v>2648</v>
      </c>
      <c r="D43" s="7" t="s">
        <v>2466</v>
      </c>
      <c r="E43" s="149" t="s">
        <v>2542</v>
      </c>
      <c r="F43" s="33" t="s">
        <v>2659</v>
      </c>
      <c r="G43" s="231">
        <f t="shared" si="0"/>
        <v>39534</v>
      </c>
      <c r="H43" s="207"/>
      <c r="I43" s="2" t="s">
        <v>2687</v>
      </c>
      <c r="J43" s="2"/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28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>
        <f>G43</f>
        <v>39534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24">
        <f t="shared" si="5"/>
        <v>39534</v>
      </c>
      <c r="DS43" s="3">
        <f t="shared" si="6"/>
        <v>0</v>
      </c>
      <c r="DU43" s="3">
        <v>39534</v>
      </c>
    </row>
    <row r="44" spans="1:125" x14ac:dyDescent="0.2">
      <c r="A44" s="251"/>
      <c r="C44" s="7" t="s">
        <v>2595</v>
      </c>
      <c r="D44" s="7" t="s">
        <v>2596</v>
      </c>
      <c r="E44" s="149" t="s">
        <v>8</v>
      </c>
      <c r="F44" s="33" t="s">
        <v>2659</v>
      </c>
      <c r="G44" s="230">
        <f t="shared" si="0"/>
        <v>46412</v>
      </c>
      <c r="H44" s="207"/>
      <c r="I44" s="2" t="s">
        <v>2687</v>
      </c>
      <c r="J44" s="2"/>
      <c r="K44" s="2"/>
      <c r="L44" s="2"/>
      <c r="M44" s="3"/>
      <c r="N44" s="3"/>
      <c r="O44" s="24"/>
      <c r="P44" s="3"/>
      <c r="Q44" s="3"/>
      <c r="R44" s="24"/>
      <c r="S44" s="24"/>
      <c r="T44" s="3"/>
      <c r="U44" s="3"/>
      <c r="V44" s="3"/>
      <c r="W44" s="3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3"/>
      <c r="AJ44" s="24"/>
      <c r="AK44" s="284"/>
      <c r="AL44" s="24"/>
      <c r="AM44" s="3"/>
      <c r="AN44" s="3"/>
      <c r="AO44" s="3"/>
      <c r="AP44" s="3"/>
      <c r="AQ44" s="3"/>
      <c r="AR44" s="3"/>
      <c r="AS44" s="24"/>
      <c r="AT44" s="24"/>
      <c r="AU44" s="24"/>
      <c r="AV44" s="24"/>
      <c r="AW44" s="24"/>
      <c r="AX44" s="24"/>
      <c r="AY44" s="3"/>
      <c r="AZ44" s="24">
        <f>G44</f>
        <v>46412</v>
      </c>
      <c r="BA44" s="24"/>
      <c r="BB44" s="24"/>
      <c r="BC44" s="24"/>
      <c r="BD44" s="24"/>
      <c r="BE44" s="24"/>
      <c r="BF44" s="24"/>
      <c r="BG44" s="24"/>
      <c r="BH44" s="343"/>
      <c r="BI44" s="343"/>
      <c r="BJ44" s="24"/>
      <c r="BK44" s="3"/>
      <c r="BL44" s="3"/>
      <c r="BM44" s="24"/>
      <c r="BN44" s="3"/>
      <c r="BO44" s="3"/>
      <c r="BP44" s="3"/>
      <c r="BQ44" s="3"/>
      <c r="BR44" s="3"/>
      <c r="BS44" s="3"/>
      <c r="BT44" s="3"/>
      <c r="BU44" s="24"/>
      <c r="BV44" s="24"/>
      <c r="BW44" s="24"/>
      <c r="BX44" s="24"/>
      <c r="BY44" s="24"/>
      <c r="BZ44" s="3"/>
      <c r="CA44" s="3"/>
      <c r="CB44" s="24"/>
      <c r="CC44" s="24"/>
      <c r="CD44" s="24"/>
      <c r="CE44" s="24"/>
      <c r="CF44" s="24"/>
      <c r="CG44" s="24"/>
      <c r="CH44" s="24"/>
      <c r="CI44" s="3"/>
      <c r="CJ44" s="3"/>
      <c r="CK44" s="24"/>
      <c r="CL44" s="3"/>
      <c r="CM44" s="3"/>
      <c r="CN44" s="24"/>
      <c r="CO44" s="24"/>
      <c r="CP44" s="24"/>
      <c r="CQ44" s="24"/>
      <c r="CR44" s="24"/>
      <c r="CS44" s="3"/>
      <c r="CT44" s="3"/>
      <c r="CU44" s="3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3"/>
      <c r="DR44" s="24">
        <f t="shared" si="5"/>
        <v>46412</v>
      </c>
      <c r="DS44" s="3">
        <f t="shared" si="6"/>
        <v>0</v>
      </c>
      <c r="DU44" s="3">
        <v>46412</v>
      </c>
    </row>
    <row r="45" spans="1:125" x14ac:dyDescent="0.2">
      <c r="C45" s="7" t="s">
        <v>2418</v>
      </c>
      <c r="D45" s="7" t="s">
        <v>2253</v>
      </c>
      <c r="E45" s="149" t="s">
        <v>1468</v>
      </c>
      <c r="F45" s="33" t="s">
        <v>2659</v>
      </c>
      <c r="G45" s="231">
        <f t="shared" si="0"/>
        <v>51723</v>
      </c>
      <c r="H45" s="208"/>
      <c r="I45" s="2" t="s">
        <v>2687</v>
      </c>
      <c r="J45" s="3"/>
      <c r="K45" s="3"/>
      <c r="L45" s="3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8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>
        <f>G45</f>
        <v>51723</v>
      </c>
      <c r="BA45" s="24"/>
      <c r="BB45" s="24"/>
      <c r="BC45" s="24"/>
      <c r="BD45" s="24"/>
      <c r="BE45" s="24"/>
      <c r="BF45" s="24"/>
      <c r="BG45" s="24"/>
      <c r="BH45" s="343"/>
      <c r="BI45" s="343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>
        <f t="shared" si="5"/>
        <v>51723</v>
      </c>
      <c r="DS45" s="3">
        <f t="shared" si="6"/>
        <v>0</v>
      </c>
      <c r="DU45" s="3">
        <v>51723</v>
      </c>
    </row>
    <row r="46" spans="1:125" x14ac:dyDescent="0.2">
      <c r="A46" s="251"/>
      <c r="C46" s="7" t="s">
        <v>2597</v>
      </c>
      <c r="D46" s="7" t="s">
        <v>2598</v>
      </c>
      <c r="E46" s="149" t="s">
        <v>1469</v>
      </c>
      <c r="F46" s="33" t="s">
        <v>2659</v>
      </c>
      <c r="G46" s="231">
        <f t="shared" si="0"/>
        <v>54186</v>
      </c>
      <c r="H46" s="207"/>
      <c r="I46" s="2" t="s">
        <v>2687</v>
      </c>
      <c r="J46" s="251"/>
      <c r="K46" s="251"/>
      <c r="L46" s="251"/>
      <c r="M46" s="3"/>
      <c r="N46" s="3"/>
      <c r="O46" s="24"/>
      <c r="P46" s="3"/>
      <c r="Q46" s="3"/>
      <c r="R46" s="24"/>
      <c r="S46" s="24"/>
      <c r="T46" s="3"/>
      <c r="U46" s="3"/>
      <c r="V46" s="3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3"/>
      <c r="AJ46" s="24"/>
      <c r="AK46" s="284"/>
      <c r="AL46" s="24"/>
      <c r="AM46" s="3"/>
      <c r="AN46" s="3"/>
      <c r="AO46" s="3"/>
      <c r="AP46" s="3"/>
      <c r="AQ46" s="3"/>
      <c r="AR46" s="3"/>
      <c r="AS46" s="24"/>
      <c r="AT46" s="24"/>
      <c r="AU46" s="24"/>
      <c r="AV46" s="24"/>
      <c r="AW46" s="24"/>
      <c r="AX46" s="24"/>
      <c r="AY46" s="3"/>
      <c r="AZ46" s="24">
        <f>G46</f>
        <v>54186</v>
      </c>
      <c r="BA46" s="24"/>
      <c r="BB46" s="24"/>
      <c r="BC46" s="24"/>
      <c r="BD46" s="24"/>
      <c r="BE46" s="24"/>
      <c r="BF46" s="24"/>
      <c r="BG46" s="24"/>
      <c r="BH46" s="343"/>
      <c r="BI46" s="343"/>
      <c r="BJ46" s="24"/>
      <c r="BK46" s="3"/>
      <c r="BL46" s="3"/>
      <c r="BM46" s="24"/>
      <c r="BN46" s="3"/>
      <c r="BO46" s="3"/>
      <c r="BP46" s="3"/>
      <c r="BQ46" s="3"/>
      <c r="BR46" s="3"/>
      <c r="BS46" s="3"/>
      <c r="BT46" s="3"/>
      <c r="BU46" s="24"/>
      <c r="BV46" s="24"/>
      <c r="BW46" s="24"/>
      <c r="BX46" s="24"/>
      <c r="BY46" s="24"/>
      <c r="BZ46" s="3"/>
      <c r="CA46" s="3"/>
      <c r="CB46" s="24"/>
      <c r="CC46" s="24"/>
      <c r="CD46" s="24"/>
      <c r="CE46" s="24"/>
      <c r="CF46" s="24"/>
      <c r="CG46" s="24"/>
      <c r="CH46" s="24"/>
      <c r="CI46" s="3"/>
      <c r="CJ46" s="3"/>
      <c r="CK46" s="24"/>
      <c r="CL46" s="3"/>
      <c r="CM46" s="3"/>
      <c r="CN46" s="24"/>
      <c r="CO46" s="24"/>
      <c r="CP46" s="24"/>
      <c r="CQ46" s="24"/>
      <c r="CR46" s="24"/>
      <c r="CS46" s="3"/>
      <c r="CT46" s="3"/>
      <c r="CU46" s="3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3"/>
      <c r="DR46" s="24">
        <f t="shared" si="5"/>
        <v>54186</v>
      </c>
      <c r="DS46" s="3">
        <f t="shared" si="6"/>
        <v>0</v>
      </c>
      <c r="DU46" s="3">
        <v>54186</v>
      </c>
    </row>
    <row r="47" spans="1:125" x14ac:dyDescent="0.2">
      <c r="A47" s="251"/>
      <c r="C47" s="7" t="s">
        <v>2599</v>
      </c>
      <c r="D47" s="7" t="s">
        <v>2600</v>
      </c>
      <c r="E47" s="149" t="s">
        <v>1470</v>
      </c>
      <c r="F47" s="33" t="s">
        <v>2659</v>
      </c>
      <c r="G47" s="231">
        <f t="shared" si="0"/>
        <v>48910</v>
      </c>
      <c r="H47" s="207"/>
      <c r="I47" s="2" t="s">
        <v>2687</v>
      </c>
      <c r="J47" s="2"/>
      <c r="K47" s="2"/>
      <c r="L47" s="2"/>
      <c r="M47" s="3"/>
      <c r="N47" s="3"/>
      <c r="O47" s="24"/>
      <c r="P47" s="3"/>
      <c r="Q47" s="3"/>
      <c r="R47" s="24"/>
      <c r="S47" s="24"/>
      <c r="T47" s="3"/>
      <c r="U47" s="3"/>
      <c r="V47" s="3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3"/>
      <c r="AJ47" s="24"/>
      <c r="AK47" s="284"/>
      <c r="AL47" s="24"/>
      <c r="AM47" s="3"/>
      <c r="AN47" s="3"/>
      <c r="AO47" s="3"/>
      <c r="AP47" s="3"/>
      <c r="AQ47" s="3"/>
      <c r="AR47" s="3"/>
      <c r="AS47" s="24"/>
      <c r="AT47" s="24"/>
      <c r="AU47" s="24"/>
      <c r="AV47" s="24"/>
      <c r="AW47" s="24"/>
      <c r="AX47" s="24"/>
      <c r="AY47" s="3"/>
      <c r="AZ47" s="24">
        <f>+G47</f>
        <v>48910</v>
      </c>
      <c r="BA47" s="24"/>
      <c r="BB47" s="24"/>
      <c r="BC47" s="24"/>
      <c r="BD47" s="24"/>
      <c r="BE47" s="24"/>
      <c r="BF47" s="24"/>
      <c r="BG47" s="24"/>
      <c r="BH47" s="343"/>
      <c r="BI47" s="343"/>
      <c r="BJ47" s="24"/>
      <c r="BK47" s="24"/>
      <c r="BL47" s="3"/>
      <c r="BM47" s="24"/>
      <c r="BN47" s="3"/>
      <c r="BO47" s="3"/>
      <c r="BP47" s="3"/>
      <c r="BQ47" s="3"/>
      <c r="BR47" s="3"/>
      <c r="BS47" s="3"/>
      <c r="BT47" s="3"/>
      <c r="BU47" s="24"/>
      <c r="BV47" s="24"/>
      <c r="BW47" s="24"/>
      <c r="BX47" s="24"/>
      <c r="BY47" s="24"/>
      <c r="BZ47" s="3"/>
      <c r="CA47" s="3"/>
      <c r="CB47" s="24"/>
      <c r="CC47" s="24"/>
      <c r="CD47" s="24"/>
      <c r="CE47" s="24"/>
      <c r="CF47" s="24"/>
      <c r="CG47" s="24"/>
      <c r="CH47" s="24"/>
      <c r="CI47" s="3"/>
      <c r="CJ47" s="3"/>
      <c r="CK47" s="24"/>
      <c r="CL47" s="3"/>
      <c r="CM47" s="3"/>
      <c r="CN47" s="24"/>
      <c r="CO47" s="24"/>
      <c r="CP47" s="24"/>
      <c r="CQ47" s="24"/>
      <c r="CR47" s="24"/>
      <c r="CS47" s="3"/>
      <c r="CT47" s="3"/>
      <c r="CU47" s="3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3"/>
      <c r="DR47" s="24">
        <f t="shared" si="5"/>
        <v>48910</v>
      </c>
      <c r="DS47" s="3">
        <f t="shared" si="6"/>
        <v>0</v>
      </c>
      <c r="DU47" s="3">
        <v>48910</v>
      </c>
    </row>
    <row r="48" spans="1:125" x14ac:dyDescent="0.2">
      <c r="C48" s="7" t="s">
        <v>2601</v>
      </c>
      <c r="D48" s="7" t="s">
        <v>2602</v>
      </c>
      <c r="E48" s="149" t="s">
        <v>1471</v>
      </c>
      <c r="F48" s="33" t="s">
        <v>2659</v>
      </c>
      <c r="G48" s="231">
        <f t="shared" si="0"/>
        <v>52133</v>
      </c>
      <c r="H48" s="207"/>
      <c r="I48" s="2" t="s">
        <v>2687</v>
      </c>
      <c r="J48" s="2"/>
      <c r="K48" s="2"/>
      <c r="L48" s="2"/>
      <c r="M48" s="3"/>
      <c r="N48" s="3"/>
      <c r="O48" s="24"/>
      <c r="P48" s="3"/>
      <c r="Q48" s="3"/>
      <c r="R48" s="24"/>
      <c r="S48" s="24"/>
      <c r="T48" s="3"/>
      <c r="U48" s="3"/>
      <c r="V48" s="3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3"/>
      <c r="AJ48" s="24"/>
      <c r="AK48" s="284"/>
      <c r="AL48" s="24"/>
      <c r="AM48" s="3"/>
      <c r="AN48" s="3"/>
      <c r="AO48" s="3"/>
      <c r="AP48" s="3"/>
      <c r="AQ48" s="3"/>
      <c r="AR48" s="3"/>
      <c r="AS48" s="24"/>
      <c r="AT48" s="24"/>
      <c r="AU48" s="24"/>
      <c r="AV48" s="24"/>
      <c r="AW48" s="24"/>
      <c r="AX48" s="24"/>
      <c r="AY48" s="3"/>
      <c r="AZ48" s="24">
        <f t="shared" ref="AZ48:AZ53" si="7">G48</f>
        <v>52133</v>
      </c>
      <c r="BA48" s="24"/>
      <c r="BB48" s="24"/>
      <c r="BC48" s="24"/>
      <c r="BD48" s="24"/>
      <c r="BE48" s="24"/>
      <c r="BF48" s="24"/>
      <c r="BG48" s="24"/>
      <c r="BH48" s="343"/>
      <c r="BI48" s="343"/>
      <c r="BJ48" s="24"/>
      <c r="BK48" s="3"/>
      <c r="BL48" s="3"/>
      <c r="BM48" s="24"/>
      <c r="BN48" s="3"/>
      <c r="BO48" s="3"/>
      <c r="BP48" s="3"/>
      <c r="BQ48" s="3"/>
      <c r="BR48" s="3"/>
      <c r="BS48" s="3"/>
      <c r="BT48" s="3"/>
      <c r="BU48" s="24"/>
      <c r="BV48" s="24"/>
      <c r="BW48" s="24"/>
      <c r="BX48" s="24"/>
      <c r="BY48" s="24"/>
      <c r="BZ48" s="3"/>
      <c r="CA48" s="3"/>
      <c r="CB48" s="24"/>
      <c r="CC48" s="24"/>
      <c r="CD48" s="24"/>
      <c r="CE48" s="24"/>
      <c r="CF48" s="24"/>
      <c r="CG48" s="24"/>
      <c r="CH48" s="24"/>
      <c r="CI48" s="3"/>
      <c r="CJ48" s="3"/>
      <c r="CK48" s="24"/>
      <c r="CL48" s="3"/>
      <c r="CM48" s="3"/>
      <c r="CN48" s="24"/>
      <c r="CO48" s="24"/>
      <c r="CP48" s="24"/>
      <c r="CQ48" s="24"/>
      <c r="CR48" s="24"/>
      <c r="CS48" s="3"/>
      <c r="CT48" s="3"/>
      <c r="CU48" s="3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3"/>
      <c r="DR48" s="24">
        <f t="shared" si="5"/>
        <v>52133</v>
      </c>
      <c r="DS48" s="3">
        <f t="shared" si="6"/>
        <v>0</v>
      </c>
      <c r="DU48" s="3">
        <v>52133</v>
      </c>
    </row>
    <row r="49" spans="2:125" x14ac:dyDescent="0.2">
      <c r="C49" s="7" t="s">
        <v>2603</v>
      </c>
      <c r="D49" s="7" t="s">
        <v>2604</v>
      </c>
      <c r="E49" s="149" t="s">
        <v>37</v>
      </c>
      <c r="F49" s="33" t="s">
        <v>2659</v>
      </c>
      <c r="G49" s="231">
        <f t="shared" si="0"/>
        <v>47930</v>
      </c>
      <c r="H49" s="207"/>
      <c r="I49" s="2" t="s">
        <v>2687</v>
      </c>
      <c r="J49" s="2"/>
      <c r="K49" s="2"/>
      <c r="L49" s="2"/>
      <c r="M49" s="3"/>
      <c r="N49" s="3"/>
      <c r="O49" s="24"/>
      <c r="P49" s="3"/>
      <c r="Q49" s="3"/>
      <c r="R49" s="24"/>
      <c r="S49" s="24"/>
      <c r="T49" s="3"/>
      <c r="U49" s="3"/>
      <c r="V49" s="3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3"/>
      <c r="AJ49" s="24"/>
      <c r="AK49" s="284"/>
      <c r="AL49" s="24"/>
      <c r="AM49" s="3"/>
      <c r="AN49" s="3"/>
      <c r="AO49" s="3"/>
      <c r="AP49" s="3"/>
      <c r="AQ49" s="3"/>
      <c r="AR49" s="3"/>
      <c r="AS49" s="24"/>
      <c r="AT49" s="24"/>
      <c r="AU49" s="24"/>
      <c r="AV49" s="24"/>
      <c r="AW49" s="24"/>
      <c r="AX49" s="24"/>
      <c r="AY49" s="3"/>
      <c r="AZ49" s="24">
        <f t="shared" si="7"/>
        <v>47930</v>
      </c>
      <c r="BA49" s="24"/>
      <c r="BB49" s="24"/>
      <c r="BC49" s="24"/>
      <c r="BD49" s="24"/>
      <c r="BE49" s="24"/>
      <c r="BF49" s="24"/>
      <c r="BG49" s="24"/>
      <c r="BH49" s="343"/>
      <c r="BI49" s="343"/>
      <c r="BJ49" s="24"/>
      <c r="BK49" s="3"/>
      <c r="BL49" s="3"/>
      <c r="BM49" s="24"/>
      <c r="BN49" s="3"/>
      <c r="BO49" s="3"/>
      <c r="BP49" s="3"/>
      <c r="BQ49" s="3"/>
      <c r="BR49" s="3"/>
      <c r="BS49" s="3"/>
      <c r="BT49" s="3"/>
      <c r="BU49" s="24"/>
      <c r="BV49" s="24"/>
      <c r="BW49" s="24"/>
      <c r="BX49" s="24"/>
      <c r="BY49" s="24"/>
      <c r="BZ49" s="3"/>
      <c r="CA49" s="3"/>
      <c r="CB49" s="24"/>
      <c r="CC49" s="24"/>
      <c r="CD49" s="24"/>
      <c r="CE49" s="24"/>
      <c r="CF49" s="24"/>
      <c r="CG49" s="24"/>
      <c r="CH49" s="24"/>
      <c r="CI49" s="3"/>
      <c r="CJ49" s="3"/>
      <c r="CK49" s="24"/>
      <c r="CL49" s="3"/>
      <c r="CM49" s="3"/>
      <c r="CN49" s="24"/>
      <c r="CO49" s="24"/>
      <c r="CP49" s="24"/>
      <c r="CQ49" s="24"/>
      <c r="CR49" s="24"/>
      <c r="CS49" s="3"/>
      <c r="CT49" s="3"/>
      <c r="CU49" s="3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3"/>
      <c r="DR49" s="24">
        <f t="shared" si="5"/>
        <v>47930</v>
      </c>
      <c r="DS49" s="3">
        <f t="shared" si="6"/>
        <v>0</v>
      </c>
      <c r="DU49" s="3">
        <v>47930</v>
      </c>
    </row>
    <row r="50" spans="2:125" x14ac:dyDescent="0.2">
      <c r="C50" s="7" t="s">
        <v>2266</v>
      </c>
      <c r="D50" s="7" t="s">
        <v>2605</v>
      </c>
      <c r="E50" s="149" t="s">
        <v>1472</v>
      </c>
      <c r="F50" s="33" t="s">
        <v>2659</v>
      </c>
      <c r="G50" s="231">
        <f t="shared" si="0"/>
        <v>55279</v>
      </c>
      <c r="H50" s="207"/>
      <c r="I50" s="2" t="s">
        <v>2687</v>
      </c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28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24">
        <f t="shared" si="7"/>
        <v>55279</v>
      </c>
      <c r="BA50" s="24"/>
      <c r="BB50" s="24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24">
        <f t="shared" si="5"/>
        <v>55279</v>
      </c>
      <c r="DS50" s="3">
        <f t="shared" si="6"/>
        <v>0</v>
      </c>
      <c r="DU50" s="3">
        <v>55279</v>
      </c>
    </row>
    <row r="51" spans="2:125" x14ac:dyDescent="0.2">
      <c r="C51" s="7" t="s">
        <v>2537</v>
      </c>
      <c r="D51" s="7" t="s">
        <v>2606</v>
      </c>
      <c r="E51" s="149" t="s">
        <v>1473</v>
      </c>
      <c r="F51" s="33" t="s">
        <v>2659</v>
      </c>
      <c r="G51" s="230">
        <f t="shared" si="0"/>
        <v>49035</v>
      </c>
      <c r="H51" s="207"/>
      <c r="I51" s="2" t="s">
        <v>2687</v>
      </c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28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24">
        <f t="shared" si="7"/>
        <v>49035</v>
      </c>
      <c r="BA51" s="24"/>
      <c r="BB51" s="24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24">
        <f t="shared" si="5"/>
        <v>49035</v>
      </c>
      <c r="DS51" s="3">
        <f t="shared" si="6"/>
        <v>0</v>
      </c>
      <c r="DU51" s="3">
        <v>49035</v>
      </c>
    </row>
    <row r="52" spans="2:125" x14ac:dyDescent="0.2">
      <c r="C52" s="7" t="s">
        <v>2607</v>
      </c>
      <c r="D52" s="7" t="s">
        <v>2608</v>
      </c>
      <c r="E52" s="149" t="s">
        <v>1474</v>
      </c>
      <c r="F52" s="33" t="s">
        <v>2659</v>
      </c>
      <c r="G52" s="230">
        <f t="shared" si="0"/>
        <v>56224</v>
      </c>
      <c r="H52" s="207"/>
      <c r="I52" s="2" t="s">
        <v>2687</v>
      </c>
      <c r="J52" s="2"/>
      <c r="K52" s="2"/>
      <c r="L52" s="2"/>
      <c r="M52" s="3"/>
      <c r="N52" s="3"/>
      <c r="O52" s="24"/>
      <c r="P52" s="3"/>
      <c r="Q52" s="3"/>
      <c r="R52" s="24"/>
      <c r="S52" s="24"/>
      <c r="T52" s="3"/>
      <c r="U52" s="3"/>
      <c r="V52" s="3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3"/>
      <c r="AJ52" s="24"/>
      <c r="AK52" s="284"/>
      <c r="AL52" s="24"/>
      <c r="AM52" s="3"/>
      <c r="AN52" s="3"/>
      <c r="AO52" s="3"/>
      <c r="AP52" s="3"/>
      <c r="AQ52" s="3"/>
      <c r="AR52" s="3"/>
      <c r="AS52" s="24"/>
      <c r="AT52" s="24"/>
      <c r="AU52" s="24"/>
      <c r="AV52" s="24"/>
      <c r="AW52" s="24"/>
      <c r="AX52" s="24"/>
      <c r="AY52" s="3"/>
      <c r="AZ52" s="24">
        <f t="shared" si="7"/>
        <v>56224</v>
      </c>
      <c r="BA52" s="24"/>
      <c r="BB52" s="24"/>
      <c r="BC52" s="24"/>
      <c r="BD52" s="24"/>
      <c r="BE52" s="24"/>
      <c r="BF52" s="24"/>
      <c r="BG52" s="24"/>
      <c r="BH52" s="343"/>
      <c r="BI52" s="343"/>
      <c r="BJ52" s="24"/>
      <c r="BK52" s="3"/>
      <c r="BL52" s="3"/>
      <c r="BM52" s="24"/>
      <c r="BN52" s="3"/>
      <c r="BO52" s="3"/>
      <c r="BP52" s="3"/>
      <c r="BQ52" s="3"/>
      <c r="BR52" s="3"/>
      <c r="BS52" s="3"/>
      <c r="BT52" s="3"/>
      <c r="BU52" s="24"/>
      <c r="BV52" s="24"/>
      <c r="BW52" s="24"/>
      <c r="BX52" s="24"/>
      <c r="BY52" s="24"/>
      <c r="BZ52" s="3"/>
      <c r="CA52" s="3"/>
      <c r="CB52" s="24"/>
      <c r="CC52" s="24"/>
      <c r="CD52" s="24"/>
      <c r="CE52" s="24"/>
      <c r="CF52" s="24"/>
      <c r="CG52" s="24"/>
      <c r="CH52" s="24"/>
      <c r="CI52" s="3"/>
      <c r="CJ52" s="3"/>
      <c r="CK52" s="24"/>
      <c r="CL52" s="3"/>
      <c r="CM52" s="3"/>
      <c r="CN52" s="24"/>
      <c r="CO52" s="24"/>
      <c r="CP52" s="24"/>
      <c r="CQ52" s="24"/>
      <c r="CR52" s="24"/>
      <c r="CS52" s="3"/>
      <c r="CT52" s="3"/>
      <c r="CU52" s="3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3"/>
      <c r="DR52" s="24">
        <f t="shared" si="5"/>
        <v>56224</v>
      </c>
      <c r="DS52" s="3">
        <f t="shared" si="6"/>
        <v>0</v>
      </c>
      <c r="DU52" s="3">
        <v>56224</v>
      </c>
    </row>
    <row r="53" spans="2:125" x14ac:dyDescent="0.2">
      <c r="C53" s="7" t="s">
        <v>2609</v>
      </c>
      <c r="D53" s="7" t="s">
        <v>2358</v>
      </c>
      <c r="E53" s="149" t="s">
        <v>654</v>
      </c>
      <c r="F53" s="33" t="s">
        <v>2659</v>
      </c>
      <c r="G53" s="231">
        <f t="shared" si="0"/>
        <v>45262</v>
      </c>
      <c r="H53" s="207"/>
      <c r="I53" s="2" t="s">
        <v>2687</v>
      </c>
      <c r="J53" s="2"/>
      <c r="K53" s="2"/>
      <c r="L53" s="2"/>
      <c r="M53" s="3"/>
      <c r="N53" s="3"/>
      <c r="O53" s="24"/>
      <c r="P53" s="3"/>
      <c r="Q53" s="3"/>
      <c r="R53" s="24"/>
      <c r="S53" s="24"/>
      <c r="T53" s="3"/>
      <c r="U53" s="3"/>
      <c r="V53" s="3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3"/>
      <c r="AJ53" s="24"/>
      <c r="AK53" s="284"/>
      <c r="AL53" s="24"/>
      <c r="AM53" s="3"/>
      <c r="AN53" s="3"/>
      <c r="AO53" s="3"/>
      <c r="AP53" s="3"/>
      <c r="AQ53" s="3"/>
      <c r="AR53" s="3"/>
      <c r="AS53" s="24"/>
      <c r="AT53" s="24"/>
      <c r="AU53" s="24"/>
      <c r="AV53" s="24"/>
      <c r="AW53" s="24"/>
      <c r="AX53" s="24"/>
      <c r="AY53" s="3"/>
      <c r="AZ53" s="24">
        <f t="shared" si="7"/>
        <v>45262</v>
      </c>
      <c r="BA53" s="24"/>
      <c r="BB53" s="24"/>
      <c r="BC53" s="24"/>
      <c r="BD53" s="24"/>
      <c r="BE53" s="24"/>
      <c r="BF53" s="24"/>
      <c r="BG53" s="24"/>
      <c r="BH53" s="343"/>
      <c r="BI53" s="343"/>
      <c r="BJ53" s="24"/>
      <c r="BK53" s="3"/>
      <c r="BL53" s="3"/>
      <c r="BM53" s="24"/>
      <c r="BN53" s="3"/>
      <c r="BO53" s="3"/>
      <c r="BP53" s="3"/>
      <c r="BQ53" s="3"/>
      <c r="BR53" s="3"/>
      <c r="BS53" s="3"/>
      <c r="BT53" s="3"/>
      <c r="BU53" s="24"/>
      <c r="BV53" s="24"/>
      <c r="BW53" s="24"/>
      <c r="BX53" s="24"/>
      <c r="BY53" s="24"/>
      <c r="BZ53" s="3"/>
      <c r="CA53" s="3"/>
      <c r="CB53" s="24"/>
      <c r="CC53" s="24"/>
      <c r="CD53" s="24"/>
      <c r="CE53" s="24"/>
      <c r="CF53" s="24"/>
      <c r="CG53" s="24"/>
      <c r="CH53" s="24"/>
      <c r="CI53" s="3"/>
      <c r="CJ53" s="3"/>
      <c r="CK53" s="24"/>
      <c r="CL53" s="3"/>
      <c r="CM53" s="3"/>
      <c r="CN53" s="24"/>
      <c r="CO53" s="24"/>
      <c r="CP53" s="24"/>
      <c r="CQ53" s="24"/>
      <c r="CR53" s="24"/>
      <c r="CS53" s="3"/>
      <c r="CT53" s="3"/>
      <c r="CU53" s="3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3"/>
      <c r="DR53" s="24">
        <f t="shared" si="5"/>
        <v>45262</v>
      </c>
      <c r="DS53" s="3">
        <f t="shared" si="6"/>
        <v>0</v>
      </c>
      <c r="DU53" s="3">
        <v>45262</v>
      </c>
    </row>
    <row r="54" spans="2:125" x14ac:dyDescent="0.2">
      <c r="C54" s="7" t="s">
        <v>2480</v>
      </c>
      <c r="D54" s="7" t="s">
        <v>2481</v>
      </c>
      <c r="E54" s="147" t="s">
        <v>1127</v>
      </c>
      <c r="F54" s="33" t="s">
        <v>2659</v>
      </c>
      <c r="G54" s="231">
        <f t="shared" si="0"/>
        <v>55270</v>
      </c>
      <c r="H54" s="207"/>
      <c r="I54" s="2" t="s">
        <v>2687</v>
      </c>
      <c r="J54" s="2"/>
      <c r="K54" s="2"/>
      <c r="L54" s="2"/>
      <c r="M54" s="24"/>
      <c r="N54" s="3"/>
      <c r="O54" s="24"/>
      <c r="P54" s="3"/>
      <c r="Q54" s="3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3"/>
      <c r="AJ54" s="24"/>
      <c r="AK54" s="284"/>
      <c r="AL54" s="24"/>
      <c r="AM54" s="24"/>
      <c r="AN54" s="24"/>
      <c r="AO54" s="3"/>
      <c r="AP54" s="3"/>
      <c r="AQ54" s="3"/>
      <c r="AR54" s="3"/>
      <c r="AS54" s="24"/>
      <c r="AT54" s="24"/>
      <c r="AU54" s="24"/>
      <c r="AV54" s="24"/>
      <c r="AW54" s="24"/>
      <c r="AX54" s="24"/>
      <c r="AY54" s="3"/>
      <c r="AZ54" s="24">
        <f>+G54</f>
        <v>55270</v>
      </c>
      <c r="BA54" s="24"/>
      <c r="BB54" s="24"/>
      <c r="BC54" s="24"/>
      <c r="BD54" s="24"/>
      <c r="BE54" s="24"/>
      <c r="BF54" s="24"/>
      <c r="BG54" s="24"/>
      <c r="BH54" s="343"/>
      <c r="BI54" s="343"/>
      <c r="BJ54" s="24"/>
      <c r="BK54" s="3"/>
      <c r="BL54" s="3"/>
      <c r="BM54" s="24"/>
      <c r="BN54" s="3"/>
      <c r="BO54" s="3"/>
      <c r="BP54" s="3"/>
      <c r="BQ54" s="3"/>
      <c r="BR54" s="3"/>
      <c r="BS54" s="24"/>
      <c r="BT54" s="24"/>
      <c r="BU54" s="24"/>
      <c r="BV54" s="24"/>
      <c r="BW54" s="24"/>
      <c r="BX54" s="24"/>
      <c r="BY54" s="24"/>
      <c r="BZ54" s="3"/>
      <c r="CA54" s="3"/>
      <c r="CB54" s="24"/>
      <c r="CC54" s="24"/>
      <c r="CD54" s="24"/>
      <c r="CE54" s="24"/>
      <c r="CF54" s="24"/>
      <c r="CG54" s="24"/>
      <c r="CH54" s="24"/>
      <c r="CI54" s="3"/>
      <c r="CJ54" s="3"/>
      <c r="CK54" s="24"/>
      <c r="CL54" s="24"/>
      <c r="CM54" s="24"/>
      <c r="CN54" s="24"/>
      <c r="CO54" s="24"/>
      <c r="CP54" s="24"/>
      <c r="CQ54" s="24"/>
      <c r="CR54" s="24"/>
      <c r="CS54" s="3"/>
      <c r="CT54" s="3"/>
      <c r="CU54" s="3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>
        <f t="shared" si="5"/>
        <v>55270</v>
      </c>
      <c r="DS54" s="3">
        <f t="shared" si="6"/>
        <v>0</v>
      </c>
      <c r="DU54" s="3">
        <v>55270</v>
      </c>
    </row>
    <row r="55" spans="2:125" x14ac:dyDescent="0.2">
      <c r="C55" s="7" t="s">
        <v>2610</v>
      </c>
      <c r="D55" s="7" t="s">
        <v>2611</v>
      </c>
      <c r="E55" s="149" t="s">
        <v>77</v>
      </c>
      <c r="F55" s="33" t="s">
        <v>2659</v>
      </c>
      <c r="G55" s="230">
        <f t="shared" si="0"/>
        <v>56567</v>
      </c>
      <c r="H55" s="207"/>
      <c r="I55" s="2" t="s">
        <v>2687</v>
      </c>
      <c r="J55" s="2"/>
      <c r="K55" s="2"/>
      <c r="L55" s="2"/>
      <c r="M55" s="3"/>
      <c r="N55" s="3"/>
      <c r="O55" s="24"/>
      <c r="P55" s="3"/>
      <c r="Q55" s="3"/>
      <c r="R55" s="24"/>
      <c r="S55" s="24"/>
      <c r="T55" s="3"/>
      <c r="U55" s="3"/>
      <c r="V55" s="3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3"/>
      <c r="AJ55" s="24"/>
      <c r="AK55" s="284"/>
      <c r="AL55" s="24"/>
      <c r="AM55" s="3"/>
      <c r="AN55" s="3"/>
      <c r="AO55" s="3"/>
      <c r="AP55" s="3"/>
      <c r="AQ55" s="3"/>
      <c r="AR55" s="3"/>
      <c r="AS55" s="24"/>
      <c r="AT55" s="24"/>
      <c r="AU55" s="24"/>
      <c r="AV55" s="24"/>
      <c r="AW55" s="24"/>
      <c r="AX55" s="24"/>
      <c r="AY55" s="3"/>
      <c r="AZ55" s="24">
        <f>G55</f>
        <v>56567</v>
      </c>
      <c r="BA55" s="24"/>
      <c r="BB55" s="24"/>
      <c r="BC55" s="24"/>
      <c r="BD55" s="24"/>
      <c r="BE55" s="24"/>
      <c r="BF55" s="24"/>
      <c r="BG55" s="24"/>
      <c r="BH55" s="343"/>
      <c r="BI55" s="343"/>
      <c r="BJ55" s="24"/>
      <c r="BK55" s="3"/>
      <c r="BL55" s="3"/>
      <c r="BM55" s="24"/>
      <c r="BN55" s="3"/>
      <c r="BO55" s="3"/>
      <c r="BP55" s="3"/>
      <c r="BQ55" s="3"/>
      <c r="BR55" s="3"/>
      <c r="BS55" s="3"/>
      <c r="BT55" s="3"/>
      <c r="BU55" s="24"/>
      <c r="BV55" s="24"/>
      <c r="BW55" s="24"/>
      <c r="BX55" s="24"/>
      <c r="BY55" s="24"/>
      <c r="BZ55" s="3"/>
      <c r="CA55" s="3"/>
      <c r="CB55" s="24"/>
      <c r="CC55" s="24"/>
      <c r="CD55" s="24"/>
      <c r="CE55" s="24"/>
      <c r="CF55" s="24"/>
      <c r="CG55" s="24"/>
      <c r="CH55" s="24"/>
      <c r="CI55" s="3"/>
      <c r="CJ55" s="3"/>
      <c r="CK55" s="24"/>
      <c r="CL55" s="3"/>
      <c r="CM55" s="3"/>
      <c r="CN55" s="24"/>
      <c r="CO55" s="24"/>
      <c r="CP55" s="24"/>
      <c r="CQ55" s="24"/>
      <c r="CR55" s="24"/>
      <c r="CS55" s="3"/>
      <c r="CT55" s="3"/>
      <c r="CU55" s="3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3"/>
      <c r="DR55" s="24">
        <f t="shared" si="5"/>
        <v>56567</v>
      </c>
      <c r="DS55" s="3">
        <f t="shared" si="6"/>
        <v>0</v>
      </c>
      <c r="DU55" s="3">
        <v>56567</v>
      </c>
    </row>
    <row r="56" spans="2:125" x14ac:dyDescent="0.2">
      <c r="C56" s="7" t="s">
        <v>2612</v>
      </c>
      <c r="D56" s="7" t="s">
        <v>2613</v>
      </c>
      <c r="E56" s="157" t="s">
        <v>1475</v>
      </c>
      <c r="F56" s="33" t="s">
        <v>2659</v>
      </c>
      <c r="G56" s="230">
        <f t="shared" si="0"/>
        <v>57060</v>
      </c>
      <c r="H56" s="207"/>
      <c r="I56" s="2" t="s">
        <v>2692</v>
      </c>
      <c r="J56" s="2"/>
      <c r="K56" s="2"/>
      <c r="L56" s="2"/>
      <c r="M56" s="3"/>
      <c r="N56" s="3"/>
      <c r="O56" s="24"/>
      <c r="P56" s="3"/>
      <c r="Q56" s="3"/>
      <c r="R56" s="24"/>
      <c r="S56" s="24"/>
      <c r="T56" s="3"/>
      <c r="U56" s="3"/>
      <c r="V56" s="3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3"/>
      <c r="AJ56" s="24"/>
      <c r="AK56" s="284"/>
      <c r="AL56" s="24"/>
      <c r="AM56" s="3"/>
      <c r="AN56" s="3"/>
      <c r="AO56" s="3"/>
      <c r="AP56" s="3"/>
      <c r="AQ56" s="3"/>
      <c r="AR56" s="3"/>
      <c r="AS56" s="24"/>
      <c r="AT56" s="24"/>
      <c r="AU56" s="24"/>
      <c r="AV56" s="24"/>
      <c r="AW56" s="24"/>
      <c r="AX56" s="24"/>
      <c r="AY56" s="3"/>
      <c r="AZ56" s="24"/>
      <c r="BA56" s="24"/>
      <c r="BB56" s="24"/>
      <c r="BC56" s="24"/>
      <c r="BD56" s="24"/>
      <c r="BE56" s="24"/>
      <c r="BF56" s="24"/>
      <c r="BG56" s="24"/>
      <c r="BH56" s="343"/>
      <c r="BI56" s="343"/>
      <c r="BJ56" s="24"/>
      <c r="BK56" s="3"/>
      <c r="BL56" s="3"/>
      <c r="BM56" s="24"/>
      <c r="BN56" s="3"/>
      <c r="BO56" s="3"/>
      <c r="BP56" s="3"/>
      <c r="BQ56" s="3"/>
      <c r="BR56" s="3"/>
      <c r="BS56" s="3"/>
      <c r="BT56" s="3"/>
      <c r="BU56" s="24">
        <f>G56</f>
        <v>57060</v>
      </c>
      <c r="BV56" s="24"/>
      <c r="BW56" s="24"/>
      <c r="BX56" s="24"/>
      <c r="BY56" s="24"/>
      <c r="BZ56" s="3"/>
      <c r="CA56" s="3"/>
      <c r="CB56" s="24"/>
      <c r="CC56" s="24"/>
      <c r="CD56" s="24"/>
      <c r="CE56" s="24"/>
      <c r="CF56" s="24"/>
      <c r="CG56" s="24"/>
      <c r="CH56" s="24"/>
      <c r="CI56" s="3"/>
      <c r="CJ56" s="3"/>
      <c r="CK56" s="24"/>
      <c r="CL56" s="3"/>
      <c r="CM56" s="3"/>
      <c r="CN56" s="24"/>
      <c r="CO56" s="24"/>
      <c r="CP56" s="24"/>
      <c r="CQ56" s="24"/>
      <c r="CR56" s="24"/>
      <c r="CS56" s="3"/>
      <c r="CT56" s="3"/>
      <c r="CU56" s="3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3"/>
      <c r="DR56" s="24">
        <f t="shared" si="5"/>
        <v>57060</v>
      </c>
      <c r="DS56" s="3">
        <f t="shared" si="6"/>
        <v>0</v>
      </c>
      <c r="DU56" s="3">
        <v>57060</v>
      </c>
    </row>
    <row r="57" spans="2:125" x14ac:dyDescent="0.2">
      <c r="C57" s="7" t="s">
        <v>2614</v>
      </c>
      <c r="D57" s="7" t="s">
        <v>2263</v>
      </c>
      <c r="E57" s="149" t="s">
        <v>1476</v>
      </c>
      <c r="F57" s="33" t="s">
        <v>2659</v>
      </c>
      <c r="G57" s="231">
        <f t="shared" si="0"/>
        <v>55224</v>
      </c>
      <c r="H57" s="207"/>
      <c r="I57" s="2" t="s">
        <v>2687</v>
      </c>
      <c r="J57" s="2"/>
      <c r="K57" s="2"/>
      <c r="L57" s="2"/>
      <c r="M57" s="3"/>
      <c r="N57" s="3"/>
      <c r="O57" s="24"/>
      <c r="P57" s="3"/>
      <c r="Q57" s="3"/>
      <c r="R57" s="24"/>
      <c r="S57" s="24"/>
      <c r="T57" s="3"/>
      <c r="U57" s="3"/>
      <c r="V57" s="3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3"/>
      <c r="AJ57" s="24"/>
      <c r="AK57" s="284"/>
      <c r="AL57" s="24"/>
      <c r="AM57" s="3"/>
      <c r="AN57" s="3"/>
      <c r="AO57" s="3"/>
      <c r="AP57" s="3"/>
      <c r="AQ57" s="3"/>
      <c r="AR57" s="3"/>
      <c r="AS57" s="24"/>
      <c r="AT57" s="24"/>
      <c r="AU57" s="24"/>
      <c r="AV57" s="24"/>
      <c r="AW57" s="24"/>
      <c r="AX57" s="24"/>
      <c r="AY57" s="3"/>
      <c r="AZ57" s="24">
        <f>G57</f>
        <v>55224</v>
      </c>
      <c r="BA57" s="24"/>
      <c r="BB57" s="24"/>
      <c r="BC57" s="24"/>
      <c r="BD57" s="24"/>
      <c r="BE57" s="24"/>
      <c r="BF57" s="24"/>
      <c r="BG57" s="24"/>
      <c r="BH57" s="343"/>
      <c r="BI57" s="343"/>
      <c r="BJ57" s="24"/>
      <c r="BK57" s="3"/>
      <c r="BL57" s="3"/>
      <c r="BM57" s="24"/>
      <c r="BN57" s="3"/>
      <c r="BO57" s="3"/>
      <c r="BP57" s="3"/>
      <c r="BQ57" s="3"/>
      <c r="BR57" s="3"/>
      <c r="BS57" s="3"/>
      <c r="BT57" s="3"/>
      <c r="BU57" s="24"/>
      <c r="BV57" s="24"/>
      <c r="BW57" s="24"/>
      <c r="BX57" s="24"/>
      <c r="BY57" s="24"/>
      <c r="BZ57" s="3"/>
      <c r="CA57" s="3"/>
      <c r="CB57" s="24"/>
      <c r="CC57" s="24"/>
      <c r="CD57" s="24"/>
      <c r="CE57" s="24"/>
      <c r="CF57" s="24"/>
      <c r="CG57" s="24"/>
      <c r="CH57" s="24"/>
      <c r="CI57" s="3"/>
      <c r="CJ57" s="3"/>
      <c r="CK57" s="24"/>
      <c r="CL57" s="3"/>
      <c r="CM57" s="3"/>
      <c r="CN57" s="24"/>
      <c r="CO57" s="24"/>
      <c r="CP57" s="24"/>
      <c r="CQ57" s="24"/>
      <c r="CR57" s="24"/>
      <c r="CS57" s="3"/>
      <c r="CT57" s="3"/>
      <c r="CU57" s="3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3"/>
      <c r="DR57" s="24">
        <f t="shared" si="5"/>
        <v>55224</v>
      </c>
      <c r="DS57" s="3">
        <f t="shared" si="6"/>
        <v>0</v>
      </c>
      <c r="DU57" s="3">
        <v>55224</v>
      </c>
    </row>
    <row r="58" spans="2:125" x14ac:dyDescent="0.2">
      <c r="C58" s="7" t="s">
        <v>2615</v>
      </c>
      <c r="D58" s="7" t="s">
        <v>2616</v>
      </c>
      <c r="E58" s="152" t="s">
        <v>1478</v>
      </c>
      <c r="F58" s="33" t="s">
        <v>2659</v>
      </c>
      <c r="G58" s="230">
        <f t="shared" si="0"/>
        <v>49390</v>
      </c>
      <c r="H58" s="207"/>
      <c r="I58" s="2" t="s">
        <v>2692</v>
      </c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28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24">
        <f>G58</f>
        <v>49390</v>
      </c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>
        <f t="shared" si="5"/>
        <v>49390</v>
      </c>
      <c r="DS58" s="3">
        <f t="shared" si="6"/>
        <v>0</v>
      </c>
      <c r="DU58" s="3">
        <v>49390</v>
      </c>
    </row>
    <row r="59" spans="2:125" x14ac:dyDescent="0.2">
      <c r="C59" s="7" t="s">
        <v>2324</v>
      </c>
      <c r="D59" s="7" t="s">
        <v>2616</v>
      </c>
      <c r="E59" s="149" t="s">
        <v>1477</v>
      </c>
      <c r="F59" s="33" t="s">
        <v>2659</v>
      </c>
      <c r="G59" s="230">
        <f t="shared" si="0"/>
        <v>61915</v>
      </c>
      <c r="H59" s="207"/>
      <c r="I59" s="2" t="s">
        <v>2687</v>
      </c>
      <c r="J59" s="2"/>
      <c r="K59" s="2"/>
      <c r="L59" s="2"/>
      <c r="M59" s="3"/>
      <c r="N59" s="3"/>
      <c r="O59" s="24"/>
      <c r="P59" s="3"/>
      <c r="Q59" s="3"/>
      <c r="R59" s="24"/>
      <c r="S59" s="24"/>
      <c r="T59" s="3"/>
      <c r="U59" s="3"/>
      <c r="V59" s="3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3"/>
      <c r="AJ59" s="24"/>
      <c r="AK59" s="284"/>
      <c r="AL59" s="24"/>
      <c r="AM59" s="3"/>
      <c r="AN59" s="3"/>
      <c r="AO59" s="3"/>
      <c r="AP59" s="3"/>
      <c r="AQ59" s="3"/>
      <c r="AR59" s="3"/>
      <c r="AS59" s="24"/>
      <c r="AT59" s="24"/>
      <c r="AU59" s="24"/>
      <c r="AV59" s="24"/>
      <c r="AW59" s="24"/>
      <c r="AX59" s="24"/>
      <c r="AY59" s="3"/>
      <c r="AZ59" s="24">
        <f>G59</f>
        <v>61915</v>
      </c>
      <c r="BA59" s="24"/>
      <c r="BB59" s="24"/>
      <c r="BC59" s="24"/>
      <c r="BD59" s="24"/>
      <c r="BE59" s="3" t="s">
        <v>342</v>
      </c>
      <c r="BF59" s="24"/>
      <c r="BG59" s="24"/>
      <c r="BH59" s="343"/>
      <c r="BI59" s="343"/>
      <c r="BJ59" s="24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24"/>
      <c r="BV59" s="24"/>
      <c r="BW59" s="24"/>
      <c r="BX59" s="24"/>
      <c r="BY59" s="24"/>
      <c r="BZ59" s="3"/>
      <c r="CA59" s="3"/>
      <c r="CB59" s="24"/>
      <c r="CC59" s="24"/>
      <c r="CD59" s="24"/>
      <c r="CE59" s="24"/>
      <c r="CF59" s="3" t="s">
        <v>342</v>
      </c>
      <c r="CG59" s="24"/>
      <c r="CH59" s="24"/>
      <c r="CI59" s="3"/>
      <c r="CJ59" s="3"/>
      <c r="CK59" s="24"/>
      <c r="CL59" s="3"/>
      <c r="CM59" s="3"/>
      <c r="CN59" s="24"/>
      <c r="CO59" s="24"/>
      <c r="CP59" s="24"/>
      <c r="CQ59" s="24"/>
      <c r="CR59" s="24"/>
      <c r="CS59" s="3"/>
      <c r="CT59" s="3"/>
      <c r="CU59" s="3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3"/>
      <c r="DR59" s="24">
        <f t="shared" si="5"/>
        <v>61915</v>
      </c>
      <c r="DS59" s="3">
        <f t="shared" si="6"/>
        <v>0</v>
      </c>
      <c r="DU59" s="3">
        <v>61915</v>
      </c>
    </row>
    <row r="60" spans="2:125" x14ac:dyDescent="0.2">
      <c r="B60" s="170"/>
      <c r="C60" s="7" t="s">
        <v>2276</v>
      </c>
      <c r="D60" s="7" t="s">
        <v>2617</v>
      </c>
      <c r="E60" s="149" t="s">
        <v>655</v>
      </c>
      <c r="F60" s="33" t="s">
        <v>2659</v>
      </c>
      <c r="G60" s="231">
        <f t="shared" si="0"/>
        <v>47372</v>
      </c>
      <c r="H60" s="207"/>
      <c r="I60" s="2" t="s">
        <v>2687</v>
      </c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28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24">
        <f>G60</f>
        <v>47372</v>
      </c>
      <c r="BA60" s="24"/>
      <c r="BB60" s="24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24">
        <f t="shared" si="5"/>
        <v>47372</v>
      </c>
      <c r="DS60" s="3">
        <f t="shared" si="6"/>
        <v>0</v>
      </c>
      <c r="DU60" s="3">
        <v>47372</v>
      </c>
    </row>
    <row r="61" spans="2:125" x14ac:dyDescent="0.2">
      <c r="C61" s="7" t="s">
        <v>2618</v>
      </c>
      <c r="D61" s="7" t="s">
        <v>2619</v>
      </c>
      <c r="E61" s="156" t="s">
        <v>78</v>
      </c>
      <c r="F61" s="33" t="s">
        <v>2659</v>
      </c>
      <c r="G61" s="230">
        <f t="shared" si="0"/>
        <v>73632</v>
      </c>
      <c r="H61" s="207"/>
      <c r="I61" s="2" t="s">
        <v>2677</v>
      </c>
      <c r="J61" s="2"/>
      <c r="K61" s="2"/>
      <c r="L61" s="2"/>
      <c r="M61" s="3"/>
      <c r="N61" s="3"/>
      <c r="O61" s="24"/>
      <c r="P61" s="3"/>
      <c r="Q61" s="3"/>
      <c r="R61" s="24"/>
      <c r="S61" s="24"/>
      <c r="T61" s="3"/>
      <c r="U61" s="3">
        <f>G61</f>
        <v>73632</v>
      </c>
      <c r="V61" s="3"/>
      <c r="W61" s="24" t="s">
        <v>342</v>
      </c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3"/>
      <c r="AJ61" s="24"/>
      <c r="AK61" s="284"/>
      <c r="AL61" s="24"/>
      <c r="AM61" s="3"/>
      <c r="AN61" s="3"/>
      <c r="AO61" s="3"/>
      <c r="AP61" s="3"/>
      <c r="AQ61" s="3"/>
      <c r="AR61" s="3"/>
      <c r="AS61" s="24"/>
      <c r="AT61" s="24"/>
      <c r="AU61" s="24"/>
      <c r="AV61" s="24"/>
      <c r="AW61" s="24"/>
      <c r="AX61" s="24"/>
      <c r="AY61" s="3"/>
      <c r="AZ61" s="3" t="s">
        <v>342</v>
      </c>
      <c r="BA61" s="3"/>
      <c r="BB61" s="3"/>
      <c r="BC61" s="24"/>
      <c r="BD61" s="24"/>
      <c r="BE61" s="24"/>
      <c r="BF61" s="24"/>
      <c r="BG61" s="24"/>
      <c r="BH61" s="343"/>
      <c r="BI61" s="343"/>
      <c r="BJ61" s="24"/>
      <c r="BK61" s="3"/>
      <c r="BL61" s="3"/>
      <c r="BM61" s="24"/>
      <c r="BN61" s="3"/>
      <c r="BO61" s="3"/>
      <c r="BP61" s="3"/>
      <c r="BQ61" s="3"/>
      <c r="BR61" s="3"/>
      <c r="BS61" s="3"/>
      <c r="BT61" s="3"/>
      <c r="BU61" s="24"/>
      <c r="BV61" s="24"/>
      <c r="BW61" s="24"/>
      <c r="BX61" s="24"/>
      <c r="BY61" s="24"/>
      <c r="BZ61" s="3"/>
      <c r="CA61" s="3"/>
      <c r="CB61" s="24"/>
      <c r="CC61" s="24"/>
      <c r="CD61" s="24"/>
      <c r="CE61" s="24"/>
      <c r="CF61" s="24"/>
      <c r="CG61" s="24"/>
      <c r="CH61" s="24"/>
      <c r="CI61" s="3"/>
      <c r="CJ61" s="3"/>
      <c r="CK61" s="24"/>
      <c r="CL61" s="3"/>
      <c r="CM61" s="3"/>
      <c r="CN61" s="24"/>
      <c r="CO61" s="24"/>
      <c r="CP61" s="24"/>
      <c r="CQ61" s="24"/>
      <c r="CR61" s="24"/>
      <c r="CS61" s="3"/>
      <c r="CT61" s="3"/>
      <c r="CU61" s="3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3"/>
      <c r="DR61" s="24">
        <f t="shared" si="5"/>
        <v>73632</v>
      </c>
      <c r="DS61" s="3">
        <f t="shared" si="6"/>
        <v>0</v>
      </c>
      <c r="DU61" s="3">
        <v>73632</v>
      </c>
    </row>
    <row r="62" spans="2:125" x14ac:dyDescent="0.2">
      <c r="C62" s="7" t="s">
        <v>2499</v>
      </c>
      <c r="D62" s="7" t="s">
        <v>2364</v>
      </c>
      <c r="E62" s="149" t="s">
        <v>1545</v>
      </c>
      <c r="F62" s="33" t="s">
        <v>2659</v>
      </c>
      <c r="G62" s="231">
        <f t="shared" si="0"/>
        <v>47345.04</v>
      </c>
      <c r="H62" s="207"/>
      <c r="I62" s="2" t="s">
        <v>2687</v>
      </c>
      <c r="J62" s="2"/>
      <c r="K62" s="2"/>
      <c r="L62" s="2"/>
      <c r="M62" s="3"/>
      <c r="N62" s="3"/>
      <c r="O62" s="3"/>
      <c r="P62" s="3"/>
      <c r="Q62" s="3"/>
      <c r="R62" s="24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28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>
        <f>+G62</f>
        <v>47345.04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24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24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24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24"/>
      <c r="DJ62" s="24"/>
      <c r="DK62" s="24"/>
      <c r="DL62" s="3"/>
      <c r="DM62" s="3"/>
      <c r="DN62" s="3"/>
      <c r="DO62" s="3"/>
      <c r="DP62" s="3"/>
      <c r="DQ62" s="3"/>
      <c r="DR62" s="24">
        <f t="shared" si="5"/>
        <v>47345.04</v>
      </c>
      <c r="DS62" s="3">
        <f t="shared" si="6"/>
        <v>0</v>
      </c>
      <c r="DU62" s="3">
        <v>47345.04</v>
      </c>
    </row>
    <row r="63" spans="2:125" x14ac:dyDescent="0.2">
      <c r="C63" s="7" t="s">
        <v>2622</v>
      </c>
      <c r="D63" s="7" t="s">
        <v>2510</v>
      </c>
      <c r="E63" s="149" t="s">
        <v>1270</v>
      </c>
      <c r="F63" s="33" t="s">
        <v>2659</v>
      </c>
      <c r="G63" s="231">
        <f t="shared" si="0"/>
        <v>45932</v>
      </c>
      <c r="H63" s="232"/>
      <c r="I63" s="2" t="s">
        <v>2687</v>
      </c>
      <c r="M63" s="3"/>
      <c r="N63" s="3"/>
      <c r="O63" s="24"/>
      <c r="P63" s="3"/>
      <c r="Q63" s="3"/>
      <c r="R63" s="24"/>
      <c r="S63" s="24"/>
      <c r="T63" s="3"/>
      <c r="U63" s="3"/>
      <c r="V63" s="3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3"/>
      <c r="AJ63" s="24"/>
      <c r="AK63" s="284"/>
      <c r="AL63" s="24"/>
      <c r="AM63" s="3"/>
      <c r="AN63" s="3"/>
      <c r="AO63" s="3"/>
      <c r="AP63" s="3"/>
      <c r="AQ63" s="3"/>
      <c r="AR63" s="3"/>
      <c r="AS63" s="24"/>
      <c r="AT63" s="24"/>
      <c r="AU63" s="24"/>
      <c r="AV63" s="24"/>
      <c r="AW63" s="24"/>
      <c r="AX63" s="24"/>
      <c r="AY63" s="3"/>
      <c r="AZ63" s="24">
        <f>G63</f>
        <v>45932</v>
      </c>
      <c r="BA63" s="24"/>
      <c r="BB63" s="24"/>
      <c r="BC63" s="24"/>
      <c r="BD63" s="24"/>
      <c r="BE63" s="24"/>
      <c r="BF63" s="24"/>
      <c r="BG63" s="24"/>
      <c r="BH63" s="343"/>
      <c r="BI63" s="343"/>
      <c r="BJ63" s="24"/>
      <c r="BK63" s="3"/>
      <c r="BL63" s="3"/>
      <c r="BM63" s="24"/>
      <c r="BN63" s="3"/>
      <c r="BO63" s="3"/>
      <c r="BP63" s="3"/>
      <c r="BQ63" s="3"/>
      <c r="BR63" s="3"/>
      <c r="BS63" s="3"/>
      <c r="BT63" s="3"/>
      <c r="BU63" s="24"/>
      <c r="BV63" s="24"/>
      <c r="BW63" s="24"/>
      <c r="BX63" s="24"/>
      <c r="BY63" s="24"/>
      <c r="BZ63" s="3"/>
      <c r="CA63" s="3"/>
      <c r="CB63" s="24"/>
      <c r="CC63" s="24"/>
      <c r="CD63" s="24"/>
      <c r="CE63" s="24"/>
      <c r="CF63" s="24"/>
      <c r="CG63" s="24"/>
      <c r="CH63" s="24"/>
      <c r="CI63" s="3"/>
      <c r="CJ63" s="3"/>
      <c r="CK63" s="24"/>
      <c r="CL63" s="3"/>
      <c r="CM63" s="3"/>
      <c r="CN63" s="24"/>
      <c r="CO63" s="24"/>
      <c r="CP63" s="24"/>
      <c r="CQ63" s="24"/>
      <c r="CR63" s="24"/>
      <c r="CS63" s="3"/>
      <c r="CT63" s="3"/>
      <c r="CU63" s="3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3"/>
      <c r="DR63" s="24">
        <f t="shared" si="5"/>
        <v>45932</v>
      </c>
      <c r="DS63" s="3">
        <f t="shared" si="6"/>
        <v>0</v>
      </c>
      <c r="DU63" s="3">
        <v>45932</v>
      </c>
    </row>
    <row r="64" spans="2:125" x14ac:dyDescent="0.2">
      <c r="C64" s="7" t="s">
        <v>2357</v>
      </c>
      <c r="D64" s="7" t="s">
        <v>2623</v>
      </c>
      <c r="E64" s="149" t="s">
        <v>79</v>
      </c>
      <c r="F64" s="33" t="s">
        <v>2659</v>
      </c>
      <c r="G64" s="230">
        <f t="shared" si="0"/>
        <v>45262</v>
      </c>
      <c r="H64" s="207"/>
      <c r="I64" s="2" t="s">
        <v>2687</v>
      </c>
      <c r="J64" s="2"/>
      <c r="K64" s="2"/>
      <c r="L64" s="2"/>
      <c r="M64" s="3"/>
      <c r="N64" s="3"/>
      <c r="O64" s="24"/>
      <c r="P64" s="3"/>
      <c r="Q64" s="3"/>
      <c r="R64" s="24"/>
      <c r="S64" s="24"/>
      <c r="T64" s="3"/>
      <c r="U64" s="3"/>
      <c r="V64" s="3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3"/>
      <c r="AJ64" s="24"/>
      <c r="AK64" s="284"/>
      <c r="AL64" s="24"/>
      <c r="AM64" s="3"/>
      <c r="AN64" s="3"/>
      <c r="AO64" s="3"/>
      <c r="AP64" s="3"/>
      <c r="AQ64" s="3"/>
      <c r="AR64" s="3"/>
      <c r="AS64" s="24"/>
      <c r="AT64" s="24"/>
      <c r="AU64" s="24"/>
      <c r="AV64" s="24"/>
      <c r="AW64" s="24"/>
      <c r="AX64" s="24"/>
      <c r="AY64" s="3"/>
      <c r="AZ64" s="24">
        <f>G64</f>
        <v>45262</v>
      </c>
      <c r="BA64" s="24"/>
      <c r="BB64" s="24"/>
      <c r="BC64" s="24"/>
      <c r="BD64" s="24"/>
      <c r="BE64" s="24"/>
      <c r="BF64" s="24"/>
      <c r="BG64" s="24"/>
      <c r="BH64" s="343"/>
      <c r="BI64" s="343"/>
      <c r="BJ64" s="24"/>
      <c r="BK64" s="3"/>
      <c r="BL64" s="3"/>
      <c r="BM64" s="24"/>
      <c r="BN64" s="3"/>
      <c r="BO64" s="3"/>
      <c r="BP64" s="3"/>
      <c r="BQ64" s="3"/>
      <c r="BR64" s="3"/>
      <c r="BS64" s="3"/>
      <c r="BT64" s="3"/>
      <c r="BU64" s="24"/>
      <c r="BV64" s="24"/>
      <c r="BW64" s="24"/>
      <c r="BX64" s="24"/>
      <c r="BY64" s="24"/>
      <c r="BZ64" s="3"/>
      <c r="CA64" s="3"/>
      <c r="CB64" s="24"/>
      <c r="CC64" s="24"/>
      <c r="CD64" s="24"/>
      <c r="CE64" s="24"/>
      <c r="CF64" s="24"/>
      <c r="CG64" s="24"/>
      <c r="CH64" s="24"/>
      <c r="CI64" s="3"/>
      <c r="CJ64" s="3"/>
      <c r="CK64" s="24"/>
      <c r="CL64" s="3"/>
      <c r="CM64" s="3"/>
      <c r="CN64" s="24"/>
      <c r="CO64" s="24"/>
      <c r="CP64" s="24"/>
      <c r="CQ64" s="24"/>
      <c r="CR64" s="24"/>
      <c r="CS64" s="3"/>
      <c r="CT64" s="3"/>
      <c r="CU64" s="3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3"/>
      <c r="DR64" s="24">
        <f t="shared" si="5"/>
        <v>45262</v>
      </c>
      <c r="DS64" s="3">
        <f t="shared" si="6"/>
        <v>0</v>
      </c>
      <c r="DU64" s="3">
        <v>45262</v>
      </c>
    </row>
    <row r="65" spans="1:125" x14ac:dyDescent="0.2">
      <c r="A65" s="251"/>
      <c r="C65" s="7" t="s">
        <v>2624</v>
      </c>
      <c r="D65" s="7" t="s">
        <v>2625</v>
      </c>
      <c r="E65" s="149" t="s">
        <v>2023</v>
      </c>
      <c r="F65" s="33" t="s">
        <v>2659</v>
      </c>
      <c r="G65" s="231">
        <f t="shared" si="0"/>
        <v>44179</v>
      </c>
      <c r="H65" s="207"/>
      <c r="I65" s="2" t="s">
        <v>2687</v>
      </c>
      <c r="J65" s="2"/>
      <c r="K65" s="2"/>
      <c r="L65" s="2"/>
      <c r="M65" s="3"/>
      <c r="N65" s="3"/>
      <c r="O65" s="24"/>
      <c r="P65" s="3"/>
      <c r="Q65" s="3"/>
      <c r="R65" s="24"/>
      <c r="S65" s="24"/>
      <c r="T65" s="3"/>
      <c r="U65" s="3"/>
      <c r="V65" s="3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3"/>
      <c r="AJ65" s="24"/>
      <c r="AK65" s="284"/>
      <c r="AL65" s="24"/>
      <c r="AM65" s="3"/>
      <c r="AN65" s="3"/>
      <c r="AO65" s="3"/>
      <c r="AP65" s="3"/>
      <c r="AQ65" s="3"/>
      <c r="AR65" s="3"/>
      <c r="AS65" s="24"/>
      <c r="AT65" s="24"/>
      <c r="AU65" s="24"/>
      <c r="AV65" s="24"/>
      <c r="AW65" s="24"/>
      <c r="AX65" s="24"/>
      <c r="AY65" s="3"/>
      <c r="AZ65" s="24">
        <f>G65</f>
        <v>44179</v>
      </c>
      <c r="BA65" s="24"/>
      <c r="BB65" s="24"/>
      <c r="BC65" s="24"/>
      <c r="BD65" s="24"/>
      <c r="BE65" s="24"/>
      <c r="BF65" s="24"/>
      <c r="BG65" s="24"/>
      <c r="BH65" s="343"/>
      <c r="BI65" s="343"/>
      <c r="BJ65" s="24"/>
      <c r="BK65" s="3"/>
      <c r="BL65" s="3"/>
      <c r="BM65" s="24"/>
      <c r="BN65" s="3"/>
      <c r="BO65" s="3"/>
      <c r="BP65" s="3"/>
      <c r="BQ65" s="3"/>
      <c r="BR65" s="3"/>
      <c r="BS65" s="3"/>
      <c r="BT65" s="3"/>
      <c r="BU65" s="24"/>
      <c r="BV65" s="24"/>
      <c r="BW65" s="24"/>
      <c r="BX65" s="24"/>
      <c r="BY65" s="24"/>
      <c r="BZ65" s="3"/>
      <c r="CA65" s="3"/>
      <c r="CB65" s="24"/>
      <c r="CC65" s="24"/>
      <c r="CD65" s="24"/>
      <c r="CE65" s="24"/>
      <c r="CF65" s="24"/>
      <c r="CG65" s="24"/>
      <c r="CH65" s="24"/>
      <c r="CI65" s="3"/>
      <c r="CJ65" s="3"/>
      <c r="CK65" s="24"/>
      <c r="CL65" s="3"/>
      <c r="CM65" s="3"/>
      <c r="CN65" s="24"/>
      <c r="CO65" s="24"/>
      <c r="CP65" s="24"/>
      <c r="CQ65" s="24"/>
      <c r="CR65" s="24"/>
      <c r="CS65" s="3"/>
      <c r="CT65" s="3"/>
      <c r="CU65" s="3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3"/>
      <c r="DR65" s="24">
        <f t="shared" si="5"/>
        <v>44179</v>
      </c>
      <c r="DS65" s="3">
        <f t="shared" si="6"/>
        <v>0</v>
      </c>
      <c r="DU65" s="3">
        <v>44179</v>
      </c>
    </row>
    <row r="66" spans="1:125" x14ac:dyDescent="0.2">
      <c r="C66" s="7" t="s">
        <v>2363</v>
      </c>
      <c r="D66" s="7" t="s">
        <v>2380</v>
      </c>
      <c r="E66" s="149" t="s">
        <v>656</v>
      </c>
      <c r="F66" s="33" t="s">
        <v>2659</v>
      </c>
      <c r="G66" s="231">
        <f t="shared" si="0"/>
        <v>44592</v>
      </c>
      <c r="H66" s="207"/>
      <c r="I66" s="2" t="s">
        <v>2687</v>
      </c>
      <c r="J66" s="2"/>
      <c r="K66" s="2"/>
      <c r="L66" s="2"/>
      <c r="M66" s="3"/>
      <c r="N66" s="3"/>
      <c r="O66" s="24"/>
      <c r="P66" s="3"/>
      <c r="Q66" s="3"/>
      <c r="R66" s="24"/>
      <c r="S66" s="24"/>
      <c r="T66" s="3"/>
      <c r="U66" s="3"/>
      <c r="V66" s="3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3"/>
      <c r="AJ66" s="24"/>
      <c r="AK66" s="284"/>
      <c r="AL66" s="24"/>
      <c r="AM66" s="3"/>
      <c r="AN66" s="3"/>
      <c r="AO66" s="3"/>
      <c r="AP66" s="3"/>
      <c r="AQ66" s="3"/>
      <c r="AR66" s="3"/>
      <c r="AS66" s="24"/>
      <c r="AT66" s="24"/>
      <c r="AU66" s="24"/>
      <c r="AV66" s="24"/>
      <c r="AW66" s="24"/>
      <c r="AX66" s="24"/>
      <c r="AY66" s="3"/>
      <c r="AZ66" s="24">
        <f>G66</f>
        <v>44592</v>
      </c>
      <c r="BA66" s="24"/>
      <c r="BB66" s="24"/>
      <c r="BC66" s="24"/>
      <c r="BD66" s="24"/>
      <c r="BE66" s="24"/>
      <c r="BF66" s="24"/>
      <c r="BG66" s="24"/>
      <c r="BH66" s="343"/>
      <c r="BI66" s="343"/>
      <c r="BJ66" s="24"/>
      <c r="BK66" s="3"/>
      <c r="BL66" s="3"/>
      <c r="BM66" s="24"/>
      <c r="BN66" s="3"/>
      <c r="BO66" s="3"/>
      <c r="BP66" s="3"/>
      <c r="BQ66" s="3"/>
      <c r="BR66" s="3"/>
      <c r="BS66" s="3"/>
      <c r="BT66" s="3"/>
      <c r="BU66" s="24"/>
      <c r="BV66" s="24"/>
      <c r="BW66" s="24"/>
      <c r="BX66" s="24"/>
      <c r="BY66" s="24"/>
      <c r="BZ66" s="3"/>
      <c r="CA66" s="3"/>
      <c r="CB66" s="24"/>
      <c r="CC66" s="24"/>
      <c r="CD66" s="24"/>
      <c r="CE66" s="24"/>
      <c r="CF66" s="24"/>
      <c r="CG66" s="24"/>
      <c r="CH66" s="24"/>
      <c r="CI66" s="3"/>
      <c r="CJ66" s="3"/>
      <c r="CK66" s="24"/>
      <c r="CL66" s="3"/>
      <c r="CM66" s="3"/>
      <c r="CN66" s="24"/>
      <c r="CO66" s="24"/>
      <c r="CP66" s="24"/>
      <c r="CQ66" s="24"/>
      <c r="CR66" s="24"/>
      <c r="CS66" s="3"/>
      <c r="CT66" s="3"/>
      <c r="CU66" s="3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3"/>
      <c r="DR66" s="24">
        <f t="shared" si="5"/>
        <v>44592</v>
      </c>
      <c r="DS66" s="3">
        <f t="shared" si="6"/>
        <v>0</v>
      </c>
      <c r="DU66" s="3">
        <v>44592</v>
      </c>
    </row>
    <row r="67" spans="1:125" x14ac:dyDescent="0.2">
      <c r="C67" s="7" t="s">
        <v>2450</v>
      </c>
      <c r="D67" s="7" t="s">
        <v>2380</v>
      </c>
      <c r="E67" s="153" t="s">
        <v>1320</v>
      </c>
      <c r="F67" s="33" t="s">
        <v>2659</v>
      </c>
      <c r="G67" s="231">
        <f t="shared" si="0"/>
        <v>47930</v>
      </c>
      <c r="H67" s="207"/>
      <c r="I67" s="2" t="s">
        <v>2692</v>
      </c>
      <c r="J67" s="2"/>
      <c r="K67" s="2"/>
      <c r="L67" s="2"/>
      <c r="M67" s="3"/>
      <c r="N67" s="3"/>
      <c r="O67" s="24"/>
      <c r="P67" s="3"/>
      <c r="Q67" s="3"/>
      <c r="R67" s="24"/>
      <c r="S67" s="24"/>
      <c r="T67" s="3"/>
      <c r="U67" s="3"/>
      <c r="V67" s="3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3"/>
      <c r="AJ67" s="24"/>
      <c r="AK67" s="284"/>
      <c r="AL67" s="24"/>
      <c r="AM67" s="3"/>
      <c r="AN67" s="3"/>
      <c r="AO67" s="3"/>
      <c r="AP67" s="3"/>
      <c r="AQ67" s="3"/>
      <c r="AR67" s="3"/>
      <c r="AS67" s="24"/>
      <c r="AT67" s="24"/>
      <c r="AU67" s="24"/>
      <c r="AV67" s="24"/>
      <c r="AW67" s="24"/>
      <c r="AX67" s="24"/>
      <c r="AY67" s="3"/>
      <c r="AZ67" s="24"/>
      <c r="BA67" s="24"/>
      <c r="BB67" s="24"/>
      <c r="BC67" s="24"/>
      <c r="BD67" s="24"/>
      <c r="BE67" s="24"/>
      <c r="BF67" s="24"/>
      <c r="BG67" s="24"/>
      <c r="BH67" s="343"/>
      <c r="BI67" s="343"/>
      <c r="BJ67" s="24"/>
      <c r="BK67" s="3"/>
      <c r="BL67" s="3"/>
      <c r="BM67" s="24"/>
      <c r="BN67" s="3"/>
      <c r="BO67" s="3"/>
      <c r="BP67" s="3"/>
      <c r="BQ67" s="3"/>
      <c r="BR67" s="3"/>
      <c r="BS67" s="3"/>
      <c r="BT67" s="3"/>
      <c r="BU67" s="24">
        <f>G67</f>
        <v>47930</v>
      </c>
      <c r="BV67" s="24"/>
      <c r="BW67" s="24"/>
      <c r="BX67" s="24"/>
      <c r="BY67" s="24"/>
      <c r="BZ67" s="3"/>
      <c r="CA67" s="3"/>
      <c r="CB67" s="24"/>
      <c r="CC67" s="24"/>
      <c r="CD67" s="24"/>
      <c r="CE67" s="24"/>
      <c r="CF67" s="24"/>
      <c r="CG67" s="24"/>
      <c r="CH67" s="24"/>
      <c r="CI67" s="3"/>
      <c r="CJ67" s="3"/>
      <c r="CK67" s="24"/>
      <c r="CL67" s="3"/>
      <c r="CM67" s="3"/>
      <c r="CN67" s="24"/>
      <c r="CO67" s="24"/>
      <c r="CP67" s="24"/>
      <c r="CQ67" s="24"/>
      <c r="CR67" s="24"/>
      <c r="CS67" s="3"/>
      <c r="CT67" s="3"/>
      <c r="CU67" s="3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3"/>
      <c r="DR67" s="24">
        <f t="shared" si="5"/>
        <v>47930</v>
      </c>
      <c r="DS67" s="3">
        <f t="shared" si="6"/>
        <v>0</v>
      </c>
      <c r="DU67" s="3">
        <v>47930</v>
      </c>
    </row>
    <row r="68" spans="1:125" x14ac:dyDescent="0.2">
      <c r="C68" s="7" t="s">
        <v>2626</v>
      </c>
      <c r="D68" s="7" t="s">
        <v>2627</v>
      </c>
      <c r="E68" s="149" t="s">
        <v>2544</v>
      </c>
      <c r="F68" s="33" t="s">
        <v>2659</v>
      </c>
      <c r="G68" s="230">
        <f t="shared" si="0"/>
        <v>46412</v>
      </c>
      <c r="H68" s="207"/>
      <c r="I68" s="2" t="s">
        <v>2687</v>
      </c>
      <c r="J68" s="2"/>
      <c r="K68" s="2"/>
      <c r="L68" s="2"/>
      <c r="M68" s="3"/>
      <c r="N68" s="3"/>
      <c r="O68" s="24"/>
      <c r="P68" s="3"/>
      <c r="Q68" s="3"/>
      <c r="R68" s="24"/>
      <c r="S68" s="24"/>
      <c r="T68" s="3"/>
      <c r="U68" s="3"/>
      <c r="V68" s="3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3"/>
      <c r="AJ68" s="24"/>
      <c r="AK68" s="284"/>
      <c r="AL68" s="24"/>
      <c r="AM68" s="3"/>
      <c r="AN68" s="3"/>
      <c r="AO68" s="3"/>
      <c r="AP68" s="3"/>
      <c r="AQ68" s="3"/>
      <c r="AR68" s="3"/>
      <c r="AS68" s="24"/>
      <c r="AT68" s="24"/>
      <c r="AU68" s="24"/>
      <c r="AV68" s="24"/>
      <c r="AW68" s="24"/>
      <c r="AX68" s="24"/>
      <c r="AY68" s="3"/>
      <c r="AZ68" s="24">
        <f>G68</f>
        <v>46412</v>
      </c>
      <c r="BA68" s="24"/>
      <c r="BB68" s="24"/>
      <c r="BC68" s="24"/>
      <c r="BD68" s="24"/>
      <c r="BE68" s="24"/>
      <c r="BF68" s="24"/>
      <c r="BG68" s="24"/>
      <c r="BH68" s="343"/>
      <c r="BI68" s="343"/>
      <c r="BJ68" s="24"/>
      <c r="BK68" s="3"/>
      <c r="BL68" s="3"/>
      <c r="BM68" s="24"/>
      <c r="BN68" s="3"/>
      <c r="BO68" s="3"/>
      <c r="BP68" s="3"/>
      <c r="BQ68" s="3"/>
      <c r="BR68" s="3"/>
      <c r="BS68" s="3"/>
      <c r="BT68" s="3"/>
      <c r="BU68" s="24"/>
      <c r="BV68" s="24"/>
      <c r="BW68" s="24"/>
      <c r="BX68" s="24"/>
      <c r="BY68" s="24"/>
      <c r="BZ68" s="3"/>
      <c r="CA68" s="3"/>
      <c r="CB68" s="24"/>
      <c r="CC68" s="24"/>
      <c r="CD68" s="24"/>
      <c r="CE68" s="24"/>
      <c r="CF68" s="24"/>
      <c r="CG68" s="24"/>
      <c r="CH68" s="24"/>
      <c r="CI68" s="3"/>
      <c r="CJ68" s="3"/>
      <c r="CK68" s="24"/>
      <c r="CL68" s="3"/>
      <c r="CM68" s="3"/>
      <c r="CN68" s="24"/>
      <c r="CO68" s="24"/>
      <c r="CP68" s="24"/>
      <c r="CQ68" s="24"/>
      <c r="CR68" s="24"/>
      <c r="CS68" s="3"/>
      <c r="CT68" s="3"/>
      <c r="CU68" s="3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3"/>
      <c r="DR68" s="24">
        <f t="shared" si="5"/>
        <v>46412</v>
      </c>
      <c r="DS68" s="3">
        <f t="shared" si="6"/>
        <v>0</v>
      </c>
      <c r="DU68" s="3">
        <v>46412</v>
      </c>
    </row>
    <row r="69" spans="1:125" x14ac:dyDescent="0.2">
      <c r="C69" s="7" t="s">
        <v>2628</v>
      </c>
      <c r="D69" s="7" t="s">
        <v>2629</v>
      </c>
      <c r="E69" s="152" t="s">
        <v>2543</v>
      </c>
      <c r="F69" s="33" t="s">
        <v>2659</v>
      </c>
      <c r="G69" s="231">
        <f t="shared" si="0"/>
        <v>47220</v>
      </c>
      <c r="H69" s="207"/>
      <c r="I69" s="2" t="s">
        <v>2692</v>
      </c>
      <c r="J69" s="2"/>
      <c r="K69" s="2"/>
      <c r="L69" s="2"/>
      <c r="M69" s="3"/>
      <c r="N69" s="3"/>
      <c r="O69" s="24"/>
      <c r="P69" s="3"/>
      <c r="Q69" s="3"/>
      <c r="R69" s="24"/>
      <c r="S69" s="24"/>
      <c r="T69" s="3"/>
      <c r="U69" s="3"/>
      <c r="V69" s="3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3"/>
      <c r="AJ69" s="24"/>
      <c r="AK69" s="284"/>
      <c r="AL69" s="24"/>
      <c r="AM69" s="3"/>
      <c r="AN69" s="3"/>
      <c r="AO69" s="3"/>
      <c r="AP69" s="3"/>
      <c r="AQ69" s="3"/>
      <c r="AR69" s="3"/>
      <c r="AS69" s="24"/>
      <c r="AT69" s="24"/>
      <c r="AU69" s="24"/>
      <c r="AV69" s="24"/>
      <c r="AW69" s="24"/>
      <c r="AX69" s="24"/>
      <c r="AY69" s="3"/>
      <c r="AZ69" s="24"/>
      <c r="BA69" s="24"/>
      <c r="BB69" s="24"/>
      <c r="BC69" s="24"/>
      <c r="BD69" s="24"/>
      <c r="BE69" s="24"/>
      <c r="BF69" s="24"/>
      <c r="BG69" s="24"/>
      <c r="BH69" s="343"/>
      <c r="BI69" s="343"/>
      <c r="BJ69" s="24"/>
      <c r="BK69" s="3"/>
      <c r="BL69" s="3"/>
      <c r="BM69" s="24"/>
      <c r="BN69" s="3"/>
      <c r="BO69" s="3"/>
      <c r="BP69" s="3"/>
      <c r="BQ69" s="3"/>
      <c r="BR69" s="3"/>
      <c r="BS69" s="3"/>
      <c r="BT69" s="3"/>
      <c r="BU69" s="24">
        <f>G69</f>
        <v>47220</v>
      </c>
      <c r="BV69" s="24"/>
      <c r="BW69" s="24"/>
      <c r="BX69" s="24"/>
      <c r="BY69" s="24"/>
      <c r="BZ69" s="3"/>
      <c r="CA69" s="24"/>
      <c r="CB69" s="24"/>
      <c r="CC69" s="24"/>
      <c r="CD69" s="24"/>
      <c r="CE69" s="24"/>
      <c r="CF69" s="24"/>
      <c r="CG69" s="24"/>
      <c r="CH69" s="24"/>
      <c r="CI69" s="3"/>
      <c r="CJ69" s="3"/>
      <c r="CK69" s="24"/>
      <c r="CL69" s="3"/>
      <c r="CM69" s="3"/>
      <c r="CN69" s="24"/>
      <c r="CO69" s="24"/>
      <c r="CP69" s="24"/>
      <c r="CQ69" s="24"/>
      <c r="CR69" s="24"/>
      <c r="CS69" s="3"/>
      <c r="CT69" s="3"/>
      <c r="CU69" s="3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3"/>
      <c r="DR69" s="24">
        <f t="shared" si="5"/>
        <v>47220</v>
      </c>
      <c r="DS69" s="3">
        <f t="shared" si="6"/>
        <v>0</v>
      </c>
      <c r="DU69" s="3">
        <v>47220</v>
      </c>
    </row>
    <row r="70" spans="1:125" x14ac:dyDescent="0.2">
      <c r="C70" s="7" t="s">
        <v>2557</v>
      </c>
      <c r="D70" s="7" t="s">
        <v>2385</v>
      </c>
      <c r="E70" s="152" t="s">
        <v>562</v>
      </c>
      <c r="F70" s="33" t="s">
        <v>2659</v>
      </c>
      <c r="G70" s="231">
        <f t="shared" si="0"/>
        <v>57060</v>
      </c>
      <c r="H70" s="207"/>
      <c r="I70" s="2" t="s">
        <v>2692</v>
      </c>
      <c r="J70" s="2"/>
      <c r="K70" s="2"/>
      <c r="L70" s="2"/>
      <c r="M70" s="3"/>
      <c r="N70" s="3"/>
      <c r="O70" s="24"/>
      <c r="P70" s="3"/>
      <c r="Q70" s="3"/>
      <c r="R70" s="24"/>
      <c r="S70" s="24"/>
      <c r="T70" s="3"/>
      <c r="U70" s="3"/>
      <c r="V70" s="3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3"/>
      <c r="AJ70" s="24"/>
      <c r="AK70" s="284"/>
      <c r="AL70" s="24"/>
      <c r="AM70" s="3"/>
      <c r="AN70" s="3"/>
      <c r="AO70" s="3"/>
      <c r="AP70" s="3"/>
      <c r="AQ70" s="3"/>
      <c r="AR70" s="3"/>
      <c r="AS70" s="24"/>
      <c r="AT70" s="24"/>
      <c r="AU70" s="24"/>
      <c r="AV70" s="24"/>
      <c r="AW70" s="24"/>
      <c r="AX70" s="24"/>
      <c r="AY70" s="3"/>
      <c r="AZ70" s="24"/>
      <c r="BA70" s="24"/>
      <c r="BB70" s="24"/>
      <c r="BC70" s="24"/>
      <c r="BD70" s="24"/>
      <c r="BE70" s="24"/>
      <c r="BF70" s="24"/>
      <c r="BG70" s="24"/>
      <c r="BH70" s="343"/>
      <c r="BI70" s="343"/>
      <c r="BJ70" s="24"/>
      <c r="BK70" s="3"/>
      <c r="BL70" s="3"/>
      <c r="BM70" s="24"/>
      <c r="BN70" s="3"/>
      <c r="BO70" s="3"/>
      <c r="BP70" s="3"/>
      <c r="BQ70" s="3"/>
      <c r="BR70" s="3"/>
      <c r="BS70" s="3"/>
      <c r="BT70" s="3"/>
      <c r="BU70" s="24">
        <f>G70</f>
        <v>57060</v>
      </c>
      <c r="BV70" s="24"/>
      <c r="BW70" s="24"/>
      <c r="BX70" s="24"/>
      <c r="BY70" s="24"/>
      <c r="BZ70" s="3"/>
      <c r="CA70" s="24"/>
      <c r="CB70" s="24"/>
      <c r="CC70" s="24"/>
      <c r="CD70" s="24"/>
      <c r="CE70" s="24"/>
      <c r="CF70" s="24"/>
      <c r="CG70" s="24"/>
      <c r="CH70" s="24"/>
      <c r="CI70" s="3"/>
      <c r="CJ70" s="3"/>
      <c r="CK70" s="24"/>
      <c r="CL70" s="3"/>
      <c r="CM70" s="3"/>
      <c r="CN70" s="24"/>
      <c r="CO70" s="24"/>
      <c r="CP70" s="24"/>
      <c r="CQ70" s="24"/>
      <c r="CR70" s="24"/>
      <c r="CS70" s="3"/>
      <c r="CT70" s="3"/>
      <c r="CU70" s="3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3"/>
      <c r="DR70" s="24">
        <f t="shared" ref="DR70:DR88" si="8">SUM(M70:DQ70)</f>
        <v>57060</v>
      </c>
      <c r="DS70" s="3">
        <f t="shared" ref="DS70:DS88" si="9">DR70-G70</f>
        <v>0</v>
      </c>
      <c r="DU70" s="3">
        <v>57060</v>
      </c>
    </row>
    <row r="71" spans="1:125" x14ac:dyDescent="0.2">
      <c r="C71" s="7" t="s">
        <v>2482</v>
      </c>
      <c r="D71" s="7" t="s">
        <v>2430</v>
      </c>
      <c r="E71" s="149" t="s">
        <v>657</v>
      </c>
      <c r="F71" s="33" t="s">
        <v>2659</v>
      </c>
      <c r="G71" s="231">
        <f t="shared" si="0"/>
        <v>45262</v>
      </c>
      <c r="H71" s="207"/>
      <c r="I71" s="2" t="s">
        <v>2687</v>
      </c>
      <c r="J71" s="2"/>
      <c r="K71" s="2"/>
      <c r="L71" s="2"/>
      <c r="M71" s="3"/>
      <c r="N71" s="3"/>
      <c r="O71" s="24"/>
      <c r="P71" s="3"/>
      <c r="Q71" s="3"/>
      <c r="R71" s="24"/>
      <c r="S71" s="24"/>
      <c r="T71" s="3"/>
      <c r="U71" s="3"/>
      <c r="V71" s="3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3"/>
      <c r="AJ71" s="24"/>
      <c r="AK71" s="284"/>
      <c r="AL71" s="24"/>
      <c r="AM71" s="3"/>
      <c r="AN71" s="3"/>
      <c r="AO71" s="3"/>
      <c r="AP71" s="3"/>
      <c r="AQ71" s="3"/>
      <c r="AR71" s="3"/>
      <c r="AS71" s="24"/>
      <c r="AT71" s="24"/>
      <c r="AU71" s="24"/>
      <c r="AV71" s="24"/>
      <c r="AW71" s="24"/>
      <c r="AX71" s="24"/>
      <c r="AY71" s="3"/>
      <c r="AZ71" s="343">
        <f>G71</f>
        <v>45262</v>
      </c>
      <c r="BA71" s="24"/>
      <c r="BB71" s="24"/>
      <c r="BC71" s="24"/>
      <c r="BD71" s="24"/>
      <c r="BE71" s="24"/>
      <c r="BF71" s="24"/>
      <c r="BG71" s="24"/>
      <c r="BH71" s="343"/>
      <c r="BI71" s="343"/>
      <c r="BJ71" s="24"/>
      <c r="BK71" s="3"/>
      <c r="BL71" s="3"/>
      <c r="BM71" s="24"/>
      <c r="BN71" s="3"/>
      <c r="BO71" s="3"/>
      <c r="BP71" s="3"/>
      <c r="BQ71" s="3"/>
      <c r="BR71" s="3"/>
      <c r="BS71" s="3"/>
      <c r="BT71" s="3"/>
      <c r="BU71" s="24"/>
      <c r="BV71" s="24"/>
      <c r="BW71" s="24"/>
      <c r="BX71" s="24"/>
      <c r="BY71" s="24"/>
      <c r="BZ71" s="3"/>
      <c r="CA71" s="3"/>
      <c r="CB71" s="24"/>
      <c r="CC71" s="24"/>
      <c r="CD71" s="24"/>
      <c r="CE71" s="24"/>
      <c r="CF71" s="24"/>
      <c r="CG71" s="24"/>
      <c r="CH71" s="24"/>
      <c r="CI71" s="3"/>
      <c r="CJ71" s="3"/>
      <c r="CK71" s="24"/>
      <c r="CL71" s="3"/>
      <c r="CM71" s="3"/>
      <c r="CN71" s="24"/>
      <c r="CO71" s="24"/>
      <c r="CP71" s="24"/>
      <c r="CQ71" s="24"/>
      <c r="CR71" s="24"/>
      <c r="CS71" s="3"/>
      <c r="CT71" s="3"/>
      <c r="CU71" s="3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3"/>
      <c r="DR71" s="24">
        <f t="shared" si="8"/>
        <v>45262</v>
      </c>
      <c r="DS71" s="3">
        <f t="shared" si="9"/>
        <v>0</v>
      </c>
      <c r="DU71" s="3">
        <v>45262</v>
      </c>
    </row>
    <row r="72" spans="1:125" x14ac:dyDescent="0.2">
      <c r="A72" s="251"/>
      <c r="C72" s="7" t="s">
        <v>2463</v>
      </c>
      <c r="D72" s="7" t="s">
        <v>2630</v>
      </c>
      <c r="E72" s="149" t="s">
        <v>80</v>
      </c>
      <c r="F72" s="33" t="s">
        <v>2659</v>
      </c>
      <c r="G72" s="231">
        <f t="shared" ref="G72:G88" si="10">IF(DU72&lt;30000,DU72*1.03,+DU72)</f>
        <v>46685</v>
      </c>
      <c r="H72" s="207"/>
      <c r="I72" s="2" t="s">
        <v>2949</v>
      </c>
      <c r="J72" s="2"/>
      <c r="K72" s="2"/>
      <c r="L72" s="2"/>
      <c r="M72" s="3"/>
      <c r="N72" s="3"/>
      <c r="O72" s="24"/>
      <c r="P72" s="3"/>
      <c r="Q72" s="3"/>
      <c r="R72" s="24"/>
      <c r="S72" s="24"/>
      <c r="T72" s="3"/>
      <c r="U72" s="3"/>
      <c r="V72" s="3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3"/>
      <c r="AJ72" s="24"/>
      <c r="AK72" s="284"/>
      <c r="AL72" s="24"/>
      <c r="AM72" s="3"/>
      <c r="AN72" s="3"/>
      <c r="AO72" s="3"/>
      <c r="AP72" s="3"/>
      <c r="AQ72" s="3"/>
      <c r="AR72" s="3"/>
      <c r="AS72" s="24"/>
      <c r="AT72" s="24"/>
      <c r="AU72" s="24"/>
      <c r="AV72" s="24"/>
      <c r="AW72" s="24"/>
      <c r="AX72" s="24"/>
      <c r="AY72" s="3"/>
      <c r="AZ72" s="24">
        <v>0</v>
      </c>
      <c r="BA72" s="24"/>
      <c r="BB72" s="24"/>
      <c r="BC72" s="24"/>
      <c r="BD72" s="24"/>
      <c r="BE72" s="24"/>
      <c r="BF72" s="24"/>
      <c r="BG72" s="24"/>
      <c r="BH72" s="343"/>
      <c r="BI72" s="343"/>
      <c r="BJ72" s="24"/>
      <c r="BK72" s="3"/>
      <c r="BL72" s="3"/>
      <c r="BM72" s="24"/>
      <c r="BN72" s="3"/>
      <c r="BO72" s="3"/>
      <c r="BP72" s="3"/>
      <c r="BQ72" s="3"/>
      <c r="BR72" s="3"/>
      <c r="BS72" s="3"/>
      <c r="BT72" s="3"/>
      <c r="BU72" s="24"/>
      <c r="BV72" s="24"/>
      <c r="BW72" s="24"/>
      <c r="BX72" s="24">
        <f>+G72</f>
        <v>46685</v>
      </c>
      <c r="BY72" s="24"/>
      <c r="BZ72" s="3"/>
      <c r="CA72" s="3"/>
      <c r="CB72" s="24"/>
      <c r="CC72" s="24"/>
      <c r="CD72" s="24"/>
      <c r="CE72" s="24"/>
      <c r="CF72" s="24"/>
      <c r="CG72" s="24"/>
      <c r="CH72" s="24"/>
      <c r="CI72" s="3"/>
      <c r="CJ72" s="3"/>
      <c r="CK72" s="24"/>
      <c r="CL72" s="3"/>
      <c r="CM72" s="3"/>
      <c r="CN72" s="24"/>
      <c r="CO72" s="24"/>
      <c r="CP72" s="24"/>
      <c r="CQ72" s="24"/>
      <c r="CR72" s="24"/>
      <c r="CS72" s="3"/>
      <c r="CT72" s="3"/>
      <c r="CU72" s="3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3"/>
      <c r="DR72" s="24">
        <f t="shared" si="8"/>
        <v>46685</v>
      </c>
      <c r="DS72" s="3">
        <f t="shared" si="9"/>
        <v>0</v>
      </c>
      <c r="DU72" s="3">
        <v>46685</v>
      </c>
    </row>
    <row r="73" spans="1:125" x14ac:dyDescent="0.2">
      <c r="C73" s="7" t="s">
        <v>2631</v>
      </c>
      <c r="D73" s="7" t="s">
        <v>2632</v>
      </c>
      <c r="E73" s="149" t="s">
        <v>81</v>
      </c>
      <c r="F73" s="33" t="s">
        <v>2659</v>
      </c>
      <c r="G73" s="231">
        <f t="shared" si="10"/>
        <v>72500</v>
      </c>
      <c r="H73" s="208"/>
      <c r="I73" s="7" t="s">
        <v>2971</v>
      </c>
      <c r="J73" s="7" t="s">
        <v>2695</v>
      </c>
      <c r="K73" s="3"/>
      <c r="L73" s="3"/>
      <c r="M73" s="24"/>
      <c r="N73" s="3"/>
      <c r="O73" s="24"/>
      <c r="P73" s="3"/>
      <c r="Q73" s="3"/>
      <c r="R73" s="24"/>
      <c r="S73" s="24"/>
      <c r="T73" s="3"/>
      <c r="U73" s="3"/>
      <c r="V73" s="3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3"/>
      <c r="AJ73" s="24"/>
      <c r="AK73" s="284"/>
      <c r="AL73" s="24"/>
      <c r="AM73" s="24"/>
      <c r="AN73" s="24"/>
      <c r="AO73" s="3"/>
      <c r="AP73" s="3"/>
      <c r="AQ73" s="3"/>
      <c r="AR73" s="3"/>
      <c r="AS73" s="24"/>
      <c r="AT73" s="24"/>
      <c r="AU73" s="24"/>
      <c r="AV73" s="24"/>
      <c r="AW73" s="24"/>
      <c r="AX73" s="24"/>
      <c r="AY73" s="3"/>
      <c r="AZ73" s="24"/>
      <c r="BA73" s="24"/>
      <c r="BB73" s="24"/>
      <c r="BC73" s="24"/>
      <c r="BD73" s="24"/>
      <c r="BE73" s="3">
        <f>G73*0.8</f>
        <v>58000</v>
      </c>
      <c r="BF73" s="24"/>
      <c r="BG73" s="24"/>
      <c r="BH73" s="343"/>
      <c r="BI73" s="343"/>
      <c r="BJ73" s="24"/>
      <c r="BK73" s="3"/>
      <c r="BL73" s="3"/>
      <c r="BM73" s="24"/>
      <c r="BN73" s="3"/>
      <c r="BO73" s="3"/>
      <c r="BP73" s="3"/>
      <c r="BQ73" s="3"/>
      <c r="BR73" s="3"/>
      <c r="BS73" s="24"/>
      <c r="BT73" s="24"/>
      <c r="BU73" s="24"/>
      <c r="BV73" s="24"/>
      <c r="BW73" s="24"/>
      <c r="BX73" s="24"/>
      <c r="BY73" s="24"/>
      <c r="BZ73" s="3"/>
      <c r="CA73" s="3"/>
      <c r="CB73" s="24"/>
      <c r="CC73" s="24"/>
      <c r="CD73" s="24"/>
      <c r="CE73" s="24"/>
      <c r="CF73" s="3">
        <f>G73*0.2</f>
        <v>14500</v>
      </c>
      <c r="CG73" s="24"/>
      <c r="CH73" s="24"/>
      <c r="CI73" s="3"/>
      <c r="CJ73" s="3"/>
      <c r="CK73" s="24"/>
      <c r="CL73" s="24"/>
      <c r="CM73" s="24"/>
      <c r="CN73" s="24"/>
      <c r="CO73" s="24"/>
      <c r="CP73" s="24"/>
      <c r="CQ73" s="24"/>
      <c r="CR73" s="24"/>
      <c r="CS73" s="3"/>
      <c r="CT73" s="3"/>
      <c r="CU73" s="3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>
        <f t="shared" si="8"/>
        <v>72500</v>
      </c>
      <c r="DS73" s="3">
        <f t="shared" si="9"/>
        <v>0</v>
      </c>
      <c r="DU73" s="3">
        <v>72500</v>
      </c>
    </row>
    <row r="74" spans="1:125" x14ac:dyDescent="0.2">
      <c r="A74" s="251"/>
      <c r="C74" s="7" t="s">
        <v>2633</v>
      </c>
      <c r="D74" s="7" t="s">
        <v>2634</v>
      </c>
      <c r="E74" s="149" t="s">
        <v>658</v>
      </c>
      <c r="F74" s="33" t="s">
        <v>2659</v>
      </c>
      <c r="G74" s="231">
        <f t="shared" si="10"/>
        <v>45387</v>
      </c>
      <c r="H74" s="208"/>
      <c r="I74" s="2" t="s">
        <v>2687</v>
      </c>
      <c r="J74" s="3"/>
      <c r="K74" s="3"/>
      <c r="L74" s="3"/>
      <c r="M74" s="24"/>
      <c r="N74" s="3"/>
      <c r="O74" s="24"/>
      <c r="P74" s="3"/>
      <c r="Q74" s="3"/>
      <c r="R74" s="24"/>
      <c r="S74" s="24"/>
      <c r="T74" s="3"/>
      <c r="U74" s="3"/>
      <c r="V74" s="3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3"/>
      <c r="AJ74" s="24"/>
      <c r="AK74" s="284"/>
      <c r="AL74" s="24"/>
      <c r="AM74" s="24"/>
      <c r="AN74" s="24"/>
      <c r="AO74" s="3"/>
      <c r="AP74" s="3"/>
      <c r="AQ74" s="3"/>
      <c r="AR74" s="3"/>
      <c r="AS74" s="24"/>
      <c r="AT74" s="24"/>
      <c r="AU74" s="24"/>
      <c r="AV74" s="24"/>
      <c r="AW74" s="24"/>
      <c r="AX74" s="24"/>
      <c r="AY74" s="3"/>
      <c r="AZ74" s="24">
        <f>G74</f>
        <v>45387</v>
      </c>
      <c r="BA74" s="24"/>
      <c r="BB74" s="24"/>
      <c r="BC74" s="24"/>
      <c r="BD74" s="24"/>
      <c r="BE74" s="24"/>
      <c r="BF74" s="24"/>
      <c r="BG74" s="24"/>
      <c r="BH74" s="343"/>
      <c r="BI74" s="343"/>
      <c r="BJ74" s="24"/>
      <c r="BK74" s="3"/>
      <c r="BL74" s="3"/>
      <c r="BM74" s="24"/>
      <c r="BN74" s="3"/>
      <c r="BO74" s="3"/>
      <c r="BP74" s="3"/>
      <c r="BQ74" s="3"/>
      <c r="BR74" s="3"/>
      <c r="BS74" s="24"/>
      <c r="BT74" s="24"/>
      <c r="BU74" s="24"/>
      <c r="BV74" s="24"/>
      <c r="BW74" s="24"/>
      <c r="BX74" s="24"/>
      <c r="BY74" s="24"/>
      <c r="BZ74" s="3"/>
      <c r="CA74" s="3"/>
      <c r="CB74" s="24"/>
      <c r="CC74" s="24"/>
      <c r="CD74" s="24"/>
      <c r="CE74" s="24"/>
      <c r="CF74" s="24"/>
      <c r="CG74" s="24"/>
      <c r="CH74" s="24"/>
      <c r="CI74" s="3"/>
      <c r="CJ74" s="3"/>
      <c r="CK74" s="24"/>
      <c r="CL74" s="24"/>
      <c r="CM74" s="24"/>
      <c r="CN74" s="24"/>
      <c r="CO74" s="24"/>
      <c r="CP74" s="24"/>
      <c r="CQ74" s="24"/>
      <c r="CR74" s="24"/>
      <c r="CS74" s="3"/>
      <c r="CT74" s="3"/>
      <c r="CU74" s="3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>
        <f t="shared" si="8"/>
        <v>45387</v>
      </c>
      <c r="DS74" s="3">
        <f t="shared" si="9"/>
        <v>0</v>
      </c>
      <c r="DU74" s="3">
        <v>45387</v>
      </c>
    </row>
    <row r="75" spans="1:125" x14ac:dyDescent="0.2">
      <c r="A75" s="251"/>
      <c r="B75" s="170"/>
      <c r="C75" s="7" t="s">
        <v>2842</v>
      </c>
      <c r="D75" s="7" t="s">
        <v>2523</v>
      </c>
      <c r="E75" s="149" t="s">
        <v>2838</v>
      </c>
      <c r="F75" s="33" t="s">
        <v>2659</v>
      </c>
      <c r="G75" s="275">
        <f t="shared" si="10"/>
        <v>44592</v>
      </c>
      <c r="H75" s="207"/>
      <c r="I75" s="2" t="s">
        <v>2687</v>
      </c>
      <c r="J75" s="2"/>
      <c r="K75" s="2"/>
      <c r="L75" s="2"/>
      <c r="M75" s="3"/>
      <c r="N75" s="3"/>
      <c r="O75" s="24"/>
      <c r="P75" s="3"/>
      <c r="Q75" s="3"/>
      <c r="R75" s="24"/>
      <c r="S75" s="24"/>
      <c r="T75" s="3"/>
      <c r="U75" s="3"/>
      <c r="V75" s="3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3"/>
      <c r="AJ75" s="24"/>
      <c r="AK75" s="284"/>
      <c r="AL75" s="24"/>
      <c r="AM75" s="3"/>
      <c r="AN75" s="3"/>
      <c r="AO75" s="3"/>
      <c r="AP75" s="3"/>
      <c r="AQ75" s="3"/>
      <c r="AR75" s="3"/>
      <c r="AS75" s="24"/>
      <c r="AT75" s="24"/>
      <c r="AU75" s="24"/>
      <c r="AV75" s="24"/>
      <c r="AW75" s="24"/>
      <c r="AX75" s="24"/>
      <c r="AY75" s="3"/>
      <c r="AZ75" s="24">
        <f>G75</f>
        <v>44592</v>
      </c>
      <c r="BA75" s="24"/>
      <c r="BB75" s="24"/>
      <c r="BC75" s="24"/>
      <c r="BD75" s="24"/>
      <c r="BE75" s="24"/>
      <c r="BF75" s="24"/>
      <c r="BG75" s="24"/>
      <c r="BH75" s="343"/>
      <c r="BI75" s="343"/>
      <c r="BJ75" s="24"/>
      <c r="BK75" s="3"/>
      <c r="BL75" s="3"/>
      <c r="BM75" s="24"/>
      <c r="BN75" s="3"/>
      <c r="BO75" s="3"/>
      <c r="BP75" s="3"/>
      <c r="BQ75" s="3"/>
      <c r="BR75" s="3"/>
      <c r="BS75" s="3"/>
      <c r="BT75" s="3"/>
      <c r="BU75" s="24"/>
      <c r="BV75" s="24"/>
      <c r="BW75" s="24"/>
      <c r="BX75" s="24"/>
      <c r="BY75" s="24"/>
      <c r="BZ75" s="3"/>
      <c r="CA75" s="3"/>
      <c r="CB75" s="24"/>
      <c r="CC75" s="24"/>
      <c r="CD75" s="24"/>
      <c r="CE75" s="24"/>
      <c r="CF75" s="24"/>
      <c r="CG75" s="24"/>
      <c r="CH75" s="24"/>
      <c r="CI75" s="3"/>
      <c r="CJ75" s="3"/>
      <c r="CK75" s="24"/>
      <c r="CL75" s="3"/>
      <c r="CM75" s="3"/>
      <c r="CN75" s="24"/>
      <c r="CO75" s="24"/>
      <c r="CP75" s="24"/>
      <c r="CQ75" s="24"/>
      <c r="CR75" s="24"/>
      <c r="CS75" s="3"/>
      <c r="CT75" s="3"/>
      <c r="CU75" s="3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3"/>
      <c r="DR75" s="24">
        <f t="shared" si="8"/>
        <v>44592</v>
      </c>
      <c r="DS75" s="3">
        <f t="shared" si="9"/>
        <v>0</v>
      </c>
      <c r="DU75" s="3">
        <v>44592</v>
      </c>
    </row>
    <row r="76" spans="1:125" x14ac:dyDescent="0.2">
      <c r="C76" s="7" t="s">
        <v>2426</v>
      </c>
      <c r="D76" s="7" t="s">
        <v>2636</v>
      </c>
      <c r="E76" s="149" t="s">
        <v>1322</v>
      </c>
      <c r="F76" s="33" t="s">
        <v>2659</v>
      </c>
      <c r="G76" s="231">
        <f t="shared" si="10"/>
        <v>48332</v>
      </c>
      <c r="H76" s="208"/>
      <c r="I76" s="2" t="s">
        <v>2687</v>
      </c>
      <c r="J76" s="3"/>
      <c r="K76" s="3"/>
      <c r="L76" s="3"/>
      <c r="M76" s="24"/>
      <c r="N76" s="3"/>
      <c r="O76" s="24"/>
      <c r="P76" s="3"/>
      <c r="Q76" s="3"/>
      <c r="R76" s="3"/>
      <c r="S76" s="3"/>
      <c r="T76" s="3"/>
      <c r="U76" s="3"/>
      <c r="V76" s="3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3"/>
      <c r="AJ76" s="24"/>
      <c r="AK76" s="284"/>
      <c r="AL76" s="24"/>
      <c r="AM76" s="24"/>
      <c r="AN76" s="24"/>
      <c r="AO76" s="3"/>
      <c r="AP76" s="3"/>
      <c r="AQ76" s="3"/>
      <c r="AR76" s="3"/>
      <c r="AS76" s="24"/>
      <c r="AT76" s="24"/>
      <c r="AU76" s="24"/>
      <c r="AV76" s="24"/>
      <c r="AW76" s="24"/>
      <c r="AX76" s="24"/>
      <c r="AY76" s="3"/>
      <c r="AZ76" s="3">
        <f>G76</f>
        <v>48332</v>
      </c>
      <c r="BA76" s="3"/>
      <c r="BB76" s="3"/>
      <c r="BC76" s="24"/>
      <c r="BD76" s="24"/>
      <c r="BE76" s="24"/>
      <c r="BF76" s="24"/>
      <c r="BG76" s="24"/>
      <c r="BH76" s="343"/>
      <c r="BI76" s="343"/>
      <c r="BJ76" s="24"/>
      <c r="BK76" s="3"/>
      <c r="BL76" s="3"/>
      <c r="BM76" s="24"/>
      <c r="BN76" s="3"/>
      <c r="BO76" s="3"/>
      <c r="BP76" s="3"/>
      <c r="BQ76" s="3"/>
      <c r="BR76" s="3"/>
      <c r="BS76" s="24"/>
      <c r="BT76" s="24"/>
      <c r="BU76" s="24"/>
      <c r="BV76" s="24"/>
      <c r="BW76" s="24"/>
      <c r="BX76" s="24"/>
      <c r="BY76" s="24"/>
      <c r="BZ76" s="3"/>
      <c r="CA76" s="3"/>
      <c r="CB76" s="24"/>
      <c r="CC76" s="24"/>
      <c r="CD76" s="24"/>
      <c r="CE76" s="24"/>
      <c r="CF76" s="24"/>
      <c r="CG76" s="24"/>
      <c r="CH76" s="24"/>
      <c r="CI76" s="3"/>
      <c r="CJ76" s="3"/>
      <c r="CK76" s="24"/>
      <c r="CL76" s="24"/>
      <c r="CM76" s="24"/>
      <c r="CN76" s="24"/>
      <c r="CO76" s="24"/>
      <c r="CP76" s="24"/>
      <c r="CQ76" s="24"/>
      <c r="CR76" s="24"/>
      <c r="CS76" s="3"/>
      <c r="CT76" s="3"/>
      <c r="CU76" s="3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>
        <f t="shared" si="8"/>
        <v>48332</v>
      </c>
      <c r="DS76" s="3">
        <f t="shared" si="9"/>
        <v>0</v>
      </c>
      <c r="DU76" s="3">
        <v>48332</v>
      </c>
    </row>
    <row r="77" spans="1:125" x14ac:dyDescent="0.2">
      <c r="C77" s="7" t="s">
        <v>2637</v>
      </c>
      <c r="D77" s="7" t="s">
        <v>2638</v>
      </c>
      <c r="E77" s="149" t="s">
        <v>1323</v>
      </c>
      <c r="F77" s="33" t="s">
        <v>2659</v>
      </c>
      <c r="G77" s="231">
        <f t="shared" si="10"/>
        <v>46892</v>
      </c>
      <c r="H77" s="208"/>
      <c r="I77" s="2" t="s">
        <v>2687</v>
      </c>
      <c r="J77" s="3"/>
      <c r="K77" s="3"/>
      <c r="L77" s="3"/>
      <c r="M77" s="24"/>
      <c r="N77" s="3"/>
      <c r="O77" s="24"/>
      <c r="P77" s="3"/>
      <c r="Q77" s="3"/>
      <c r="R77" s="3"/>
      <c r="S77" s="3"/>
      <c r="T77" s="3"/>
      <c r="U77" s="3"/>
      <c r="V77" s="3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3"/>
      <c r="AJ77" s="24"/>
      <c r="AK77" s="284"/>
      <c r="AL77" s="24"/>
      <c r="AM77" s="24"/>
      <c r="AN77" s="24"/>
      <c r="AO77" s="3"/>
      <c r="AP77" s="3"/>
      <c r="AQ77" s="3"/>
      <c r="AR77" s="3"/>
      <c r="AS77" s="24"/>
      <c r="AT77" s="24"/>
      <c r="AU77" s="24"/>
      <c r="AV77" s="24"/>
      <c r="AW77" s="24"/>
      <c r="AX77" s="24"/>
      <c r="AY77" s="3"/>
      <c r="AZ77" s="3">
        <f>G77</f>
        <v>46892</v>
      </c>
      <c r="BA77" s="3"/>
      <c r="BB77" s="3"/>
      <c r="BC77" s="24"/>
      <c r="BD77" s="24"/>
      <c r="BE77" s="24"/>
      <c r="BF77" s="24"/>
      <c r="BG77" s="24"/>
      <c r="BH77" s="343"/>
      <c r="BI77" s="343"/>
      <c r="BJ77" s="24"/>
      <c r="BK77" s="3"/>
      <c r="BL77" s="3"/>
      <c r="BM77" s="24"/>
      <c r="BN77" s="3"/>
      <c r="BO77" s="3"/>
      <c r="BP77" s="3"/>
      <c r="BQ77" s="3"/>
      <c r="BR77" s="3"/>
      <c r="BS77" s="24"/>
      <c r="BT77" s="24"/>
      <c r="BU77" s="24"/>
      <c r="BV77" s="24"/>
      <c r="BW77" s="24"/>
      <c r="BX77" s="24"/>
      <c r="BY77" s="24"/>
      <c r="BZ77" s="3"/>
      <c r="CA77" s="3"/>
      <c r="CB77" s="24"/>
      <c r="CC77" s="24"/>
      <c r="CD77" s="24"/>
      <c r="CE77" s="24"/>
      <c r="CF77" s="24"/>
      <c r="CG77" s="24"/>
      <c r="CH77" s="24"/>
      <c r="CI77" s="3"/>
      <c r="CJ77" s="3"/>
      <c r="CK77" s="24"/>
      <c r="CL77" s="24"/>
      <c r="CM77" s="24"/>
      <c r="CN77" s="24"/>
      <c r="CO77" s="24"/>
      <c r="CP77" s="24"/>
      <c r="CQ77" s="24"/>
      <c r="CR77" s="24"/>
      <c r="CS77" s="3"/>
      <c r="CT77" s="3"/>
      <c r="CU77" s="3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>
        <f t="shared" si="8"/>
        <v>46892</v>
      </c>
      <c r="DS77" s="3">
        <f t="shared" si="9"/>
        <v>0</v>
      </c>
      <c r="DU77" s="3">
        <v>46892</v>
      </c>
    </row>
    <row r="78" spans="1:125" x14ac:dyDescent="0.2">
      <c r="C78" s="7" t="s">
        <v>2620</v>
      </c>
      <c r="D78" s="7" t="s">
        <v>2621</v>
      </c>
      <c r="E78" s="156" t="s">
        <v>2216</v>
      </c>
      <c r="F78" s="33" t="s">
        <v>2659</v>
      </c>
      <c r="G78" s="230">
        <f t="shared" si="10"/>
        <v>84000</v>
      </c>
      <c r="H78" s="207"/>
      <c r="I78" s="2" t="s">
        <v>2945</v>
      </c>
      <c r="J78" s="2"/>
      <c r="K78" s="2"/>
      <c r="L78" s="2"/>
      <c r="M78" s="3"/>
      <c r="N78" s="3">
        <f>G78</f>
        <v>84000</v>
      </c>
      <c r="O78" s="3"/>
      <c r="P78" s="3"/>
      <c r="Q78" s="3"/>
      <c r="R78" s="24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28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24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24"/>
      <c r="DJ78" s="24"/>
      <c r="DK78" s="24"/>
      <c r="DL78" s="3"/>
      <c r="DM78" s="3"/>
      <c r="DN78" s="3"/>
      <c r="DO78" s="3"/>
      <c r="DP78" s="3"/>
      <c r="DQ78" s="3"/>
      <c r="DR78" s="24">
        <f t="shared" si="8"/>
        <v>84000</v>
      </c>
      <c r="DS78" s="3">
        <f t="shared" si="9"/>
        <v>0</v>
      </c>
      <c r="DU78" s="3">
        <v>84000</v>
      </c>
    </row>
    <row r="79" spans="1:125" x14ac:dyDescent="0.2">
      <c r="C79" s="7" t="s">
        <v>2639</v>
      </c>
      <c r="D79" s="7" t="s">
        <v>2640</v>
      </c>
      <c r="E79" s="149" t="s">
        <v>1324</v>
      </c>
      <c r="F79" s="33" t="s">
        <v>2659</v>
      </c>
      <c r="G79" s="231">
        <f t="shared" si="10"/>
        <v>53372</v>
      </c>
      <c r="H79" s="207"/>
      <c r="I79" s="2" t="s">
        <v>2687</v>
      </c>
      <c r="J79" s="2"/>
      <c r="K79" s="2"/>
      <c r="L79" s="2"/>
      <c r="M79" s="3" t="s">
        <v>342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28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24">
        <f>G79</f>
        <v>53372</v>
      </c>
      <c r="BA79" s="24"/>
      <c r="BB79" s="24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24">
        <f t="shared" si="8"/>
        <v>53372</v>
      </c>
      <c r="DS79" s="3">
        <f t="shared" si="9"/>
        <v>0</v>
      </c>
      <c r="DU79" s="3">
        <v>53372</v>
      </c>
    </row>
    <row r="80" spans="1:125" x14ac:dyDescent="0.2">
      <c r="C80" s="7" t="s">
        <v>2641</v>
      </c>
      <c r="D80" s="7" t="s">
        <v>2642</v>
      </c>
      <c r="E80" s="149" t="s">
        <v>1326</v>
      </c>
      <c r="F80" s="33" t="s">
        <v>2659</v>
      </c>
      <c r="G80" s="230">
        <f t="shared" si="10"/>
        <v>51368</v>
      </c>
      <c r="H80" s="207"/>
      <c r="I80" s="2" t="s">
        <v>2687</v>
      </c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28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24">
        <f>G80</f>
        <v>51368</v>
      </c>
      <c r="BA80" s="24"/>
      <c r="BB80" s="24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24">
        <f t="shared" si="8"/>
        <v>51368</v>
      </c>
      <c r="DS80" s="3">
        <f t="shared" si="9"/>
        <v>0</v>
      </c>
      <c r="DU80" s="3">
        <v>51368</v>
      </c>
    </row>
    <row r="81" spans="1:134" x14ac:dyDescent="0.2">
      <c r="A81" s="251"/>
      <c r="C81" s="7" t="s">
        <v>2643</v>
      </c>
      <c r="D81" s="7" t="s">
        <v>2644</v>
      </c>
      <c r="E81" s="158" t="s">
        <v>82</v>
      </c>
      <c r="F81" s="33" t="s">
        <v>2659</v>
      </c>
      <c r="G81" s="230">
        <f t="shared" si="10"/>
        <v>93524</v>
      </c>
      <c r="H81" s="207"/>
      <c r="I81" s="2" t="s">
        <v>2944</v>
      </c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28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24"/>
      <c r="BA81" s="24"/>
      <c r="BB81" s="24"/>
      <c r="BC81" s="3">
        <f>+G81</f>
        <v>93524</v>
      </c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24">
        <f t="shared" si="8"/>
        <v>93524</v>
      </c>
      <c r="DS81" s="3">
        <f t="shared" si="9"/>
        <v>0</v>
      </c>
      <c r="DU81" s="3">
        <v>93524</v>
      </c>
    </row>
    <row r="82" spans="1:134" x14ac:dyDescent="0.2">
      <c r="C82" s="7" t="s">
        <v>2645</v>
      </c>
      <c r="D82" s="7" t="s">
        <v>2646</v>
      </c>
      <c r="E82" s="149" t="s">
        <v>659</v>
      </c>
      <c r="F82" s="33" t="s">
        <v>2659</v>
      </c>
      <c r="G82" s="231">
        <f t="shared" si="10"/>
        <v>45637</v>
      </c>
      <c r="H82" s="207"/>
      <c r="I82" s="2" t="s">
        <v>2687</v>
      </c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28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24">
        <f>G82</f>
        <v>45637</v>
      </c>
      <c r="BA82" s="24"/>
      <c r="BB82" s="24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227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24">
        <f t="shared" si="8"/>
        <v>45637</v>
      </c>
      <c r="DS82" s="3">
        <f t="shared" si="9"/>
        <v>0</v>
      </c>
      <c r="DU82" s="3">
        <v>45637</v>
      </c>
    </row>
    <row r="83" spans="1:134" x14ac:dyDescent="0.2">
      <c r="C83" s="7" t="s">
        <v>2473</v>
      </c>
      <c r="D83" s="7" t="s">
        <v>2647</v>
      </c>
      <c r="E83" s="156" t="s">
        <v>83</v>
      </c>
      <c r="F83" s="33" t="s">
        <v>2659</v>
      </c>
      <c r="G83" s="230">
        <f t="shared" si="10"/>
        <v>75089</v>
      </c>
      <c r="H83" s="207"/>
      <c r="I83" s="2" t="s">
        <v>2951</v>
      </c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283"/>
      <c r="AL83" s="3"/>
      <c r="AM83" s="3"/>
      <c r="AN83" s="3"/>
      <c r="AO83" s="3"/>
      <c r="AP83" s="3">
        <f>+G83</f>
        <v>75089</v>
      </c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 t="s">
        <v>342</v>
      </c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24">
        <f t="shared" si="8"/>
        <v>75089</v>
      </c>
      <c r="DS83" s="3">
        <f t="shared" si="9"/>
        <v>0</v>
      </c>
      <c r="DU83" s="3">
        <v>75089</v>
      </c>
      <c r="DY83" s="257"/>
      <c r="DZ83" s="257"/>
      <c r="EA83" s="257"/>
      <c r="EB83" s="257"/>
      <c r="EC83" s="257"/>
    </row>
    <row r="84" spans="1:134" x14ac:dyDescent="0.2">
      <c r="C84" s="7" t="s">
        <v>2649</v>
      </c>
      <c r="D84" s="7" t="s">
        <v>2650</v>
      </c>
      <c r="E84" s="149" t="s">
        <v>1328</v>
      </c>
      <c r="F84" s="33" t="s">
        <v>2659</v>
      </c>
      <c r="G84" s="231">
        <f t="shared" si="10"/>
        <v>50783</v>
      </c>
      <c r="H84" s="208"/>
      <c r="I84" s="2" t="s">
        <v>2687</v>
      </c>
      <c r="J84" s="3"/>
      <c r="K84" s="3"/>
      <c r="L84" s="3"/>
      <c r="M84" s="24"/>
      <c r="N84" s="3"/>
      <c r="O84" s="24"/>
      <c r="P84" s="3"/>
      <c r="Q84" s="3"/>
      <c r="R84" s="24"/>
      <c r="S84" s="24"/>
      <c r="T84" s="3"/>
      <c r="U84" s="3"/>
      <c r="V84" s="3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3"/>
      <c r="AJ84" s="24"/>
      <c r="AK84" s="284"/>
      <c r="AL84" s="24"/>
      <c r="AM84" s="24"/>
      <c r="AN84" s="24"/>
      <c r="AO84" s="3"/>
      <c r="AP84" s="3"/>
      <c r="AQ84" s="3"/>
      <c r="AR84" s="3"/>
      <c r="AS84" s="24"/>
      <c r="AT84" s="24"/>
      <c r="AU84" s="24"/>
      <c r="AV84" s="24"/>
      <c r="AW84" s="24"/>
      <c r="AX84" s="24"/>
      <c r="AY84" s="3"/>
      <c r="AZ84" s="24">
        <f>G84</f>
        <v>50783</v>
      </c>
      <c r="BA84" s="24"/>
      <c r="BB84" s="24"/>
      <c r="BC84" s="24"/>
      <c r="BD84" s="24"/>
      <c r="BE84" s="24"/>
      <c r="BF84" s="24"/>
      <c r="BG84" s="24"/>
      <c r="BH84" s="343"/>
      <c r="BI84" s="343"/>
      <c r="BJ84" s="24"/>
      <c r="BK84" s="3"/>
      <c r="BL84" s="3"/>
      <c r="BM84" s="24"/>
      <c r="BN84" s="3"/>
      <c r="BO84" s="3"/>
      <c r="BP84" s="3"/>
      <c r="BQ84" s="3"/>
      <c r="BR84" s="3"/>
      <c r="BS84" s="3"/>
      <c r="BT84" s="3"/>
      <c r="BU84" s="24"/>
      <c r="BV84" s="24"/>
      <c r="BW84" s="24"/>
      <c r="BX84" s="24"/>
      <c r="BY84" s="24"/>
      <c r="BZ84" s="3"/>
      <c r="CA84" s="3"/>
      <c r="CB84" s="24"/>
      <c r="CC84" s="24"/>
      <c r="CD84" s="24"/>
      <c r="CE84" s="24"/>
      <c r="CF84" s="24"/>
      <c r="CG84" s="24"/>
      <c r="CH84" s="24"/>
      <c r="CI84" s="3"/>
      <c r="CJ84" s="3"/>
      <c r="CK84" s="24"/>
      <c r="CL84" s="24"/>
      <c r="CM84" s="24"/>
      <c r="CN84" s="24"/>
      <c r="CO84" s="24"/>
      <c r="CP84" s="24"/>
      <c r="CQ84" s="24"/>
      <c r="CR84" s="24"/>
      <c r="CS84" s="3"/>
      <c r="CT84" s="3"/>
      <c r="CU84" s="3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>
        <f t="shared" si="8"/>
        <v>50783</v>
      </c>
      <c r="DS84" s="3">
        <f t="shared" si="9"/>
        <v>0</v>
      </c>
      <c r="DU84" s="3">
        <v>50783</v>
      </c>
    </row>
    <row r="85" spans="1:134" x14ac:dyDescent="0.2">
      <c r="C85" s="257" t="s">
        <v>2327</v>
      </c>
      <c r="D85" s="257" t="s">
        <v>2651</v>
      </c>
      <c r="E85" s="152" t="s">
        <v>1329</v>
      </c>
      <c r="F85" s="33" t="s">
        <v>2659</v>
      </c>
      <c r="G85" s="230">
        <f t="shared" si="10"/>
        <v>64979</v>
      </c>
      <c r="H85" s="209"/>
      <c r="I85" s="2" t="s">
        <v>2692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85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>
        <f>G85</f>
        <v>64979</v>
      </c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7"/>
      <c r="CI85" s="257"/>
      <c r="CJ85" s="257"/>
      <c r="CK85" s="257"/>
      <c r="CL85" s="257"/>
      <c r="CM85" s="257"/>
      <c r="CN85" s="257"/>
      <c r="CO85" s="257"/>
      <c r="CP85" s="257"/>
      <c r="CQ85" s="257"/>
      <c r="CR85" s="257"/>
      <c r="CS85" s="257"/>
      <c r="CT85" s="257"/>
      <c r="CU85" s="257"/>
      <c r="CV85" s="257"/>
      <c r="CW85" s="257"/>
      <c r="CX85" s="257"/>
      <c r="CY85" s="257"/>
      <c r="CZ85" s="257"/>
      <c r="DA85" s="257"/>
      <c r="DB85" s="257"/>
      <c r="DC85" s="257"/>
      <c r="DD85" s="257"/>
      <c r="DE85" s="257"/>
      <c r="DF85" s="257"/>
      <c r="DG85" s="257"/>
      <c r="DH85" s="257"/>
      <c r="DI85" s="257"/>
      <c r="DJ85" s="257"/>
      <c r="DK85" s="257"/>
      <c r="DL85" s="257"/>
      <c r="DM85" s="257"/>
      <c r="DN85" s="257"/>
      <c r="DO85" s="257"/>
      <c r="DP85" s="257"/>
      <c r="DQ85" s="257"/>
      <c r="DR85" s="24">
        <f t="shared" si="8"/>
        <v>64979</v>
      </c>
      <c r="DS85" s="3">
        <f t="shared" si="9"/>
        <v>0</v>
      </c>
      <c r="DT85" s="257"/>
      <c r="DU85" s="372">
        <v>64979</v>
      </c>
      <c r="DV85" s="257"/>
      <c r="DW85" s="257"/>
      <c r="DX85" s="257"/>
      <c r="ED85" s="257"/>
    </row>
    <row r="86" spans="1:134" x14ac:dyDescent="0.2">
      <c r="C86" s="7" t="s">
        <v>2652</v>
      </c>
      <c r="D86" s="7" t="s">
        <v>2651</v>
      </c>
      <c r="E86" s="149" t="s">
        <v>1330</v>
      </c>
      <c r="F86" s="33" t="s">
        <v>2659</v>
      </c>
      <c r="G86" s="231">
        <f t="shared" si="10"/>
        <v>51598</v>
      </c>
      <c r="H86" s="208"/>
      <c r="I86" s="2" t="s">
        <v>2687</v>
      </c>
      <c r="J86" s="3"/>
      <c r="K86" s="3"/>
      <c r="L86" s="3"/>
      <c r="M86" s="24"/>
      <c r="N86" s="3"/>
      <c r="O86" s="24"/>
      <c r="P86" s="3"/>
      <c r="Q86" s="3"/>
      <c r="R86" s="24"/>
      <c r="S86" s="24"/>
      <c r="T86" s="3"/>
      <c r="U86" s="3"/>
      <c r="V86" s="3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3"/>
      <c r="AJ86" s="24"/>
      <c r="AK86" s="284"/>
      <c r="AL86" s="24"/>
      <c r="AM86" s="24"/>
      <c r="AN86" s="24"/>
      <c r="AO86" s="3"/>
      <c r="AP86" s="3"/>
      <c r="AQ86" s="3"/>
      <c r="AR86" s="3"/>
      <c r="AS86" s="24"/>
      <c r="AT86" s="24"/>
      <c r="AU86" s="24"/>
      <c r="AV86" s="24"/>
      <c r="AW86" s="24"/>
      <c r="AX86" s="24"/>
      <c r="AY86" s="3"/>
      <c r="AZ86" s="24">
        <f>G86</f>
        <v>51598</v>
      </c>
      <c r="BA86" s="24"/>
      <c r="BB86" s="24"/>
      <c r="BC86" s="24"/>
      <c r="BD86" s="24"/>
      <c r="BE86" s="24"/>
      <c r="BF86" s="24"/>
      <c r="BG86" s="24"/>
      <c r="BH86" s="343"/>
      <c r="BI86" s="343"/>
      <c r="BJ86" s="24"/>
      <c r="BK86" s="3"/>
      <c r="BL86" s="3"/>
      <c r="BM86" s="24"/>
      <c r="BN86" s="3"/>
      <c r="BO86" s="3"/>
      <c r="BP86" s="3"/>
      <c r="BQ86" s="3"/>
      <c r="BR86" s="3"/>
      <c r="BS86" s="3"/>
      <c r="BT86" s="3"/>
      <c r="BU86" s="24"/>
      <c r="BV86" s="24"/>
      <c r="BW86" s="24"/>
      <c r="BX86" s="24"/>
      <c r="BY86" s="24"/>
      <c r="BZ86" s="3"/>
      <c r="CA86" s="3"/>
      <c r="CB86" s="24"/>
      <c r="CC86" s="24"/>
      <c r="CD86" s="24"/>
      <c r="CE86" s="24"/>
      <c r="CF86" s="24"/>
      <c r="CG86" s="24"/>
      <c r="CH86" s="24"/>
      <c r="CI86" s="3"/>
      <c r="CJ86" s="3"/>
      <c r="CK86" s="24"/>
      <c r="CL86" s="24"/>
      <c r="CM86" s="24"/>
      <c r="CN86" s="24"/>
      <c r="CO86" s="24"/>
      <c r="CP86" s="24"/>
      <c r="CQ86" s="24"/>
      <c r="CR86" s="24"/>
      <c r="CS86" s="3"/>
      <c r="CT86" s="3"/>
      <c r="CU86" s="3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>
        <f t="shared" si="8"/>
        <v>51598</v>
      </c>
      <c r="DS86" s="3">
        <f t="shared" si="9"/>
        <v>0</v>
      </c>
      <c r="DU86" s="3">
        <v>51598</v>
      </c>
    </row>
    <row r="87" spans="1:134" s="77" customFormat="1" x14ac:dyDescent="0.2">
      <c r="A87" s="25"/>
      <c r="B87" s="170"/>
      <c r="C87" s="7" t="s">
        <v>2653</v>
      </c>
      <c r="D87" s="7" t="s">
        <v>2654</v>
      </c>
      <c r="E87" s="149" t="s">
        <v>1331</v>
      </c>
      <c r="F87" s="33" t="s">
        <v>2659</v>
      </c>
      <c r="G87" s="230">
        <f t="shared" si="10"/>
        <v>61790</v>
      </c>
      <c r="H87" s="207"/>
      <c r="I87" s="2" t="s">
        <v>2687</v>
      </c>
      <c r="J87" s="2"/>
      <c r="K87" s="2"/>
      <c r="L87" s="2"/>
      <c r="M87" s="3"/>
      <c r="N87" s="3"/>
      <c r="O87" s="24"/>
      <c r="P87" s="3"/>
      <c r="Q87" s="3"/>
      <c r="R87" s="24"/>
      <c r="S87" s="24"/>
      <c r="T87" s="3"/>
      <c r="U87" s="3"/>
      <c r="V87" s="3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3"/>
      <c r="AJ87" s="24"/>
      <c r="AK87" s="284"/>
      <c r="AL87" s="24"/>
      <c r="AM87" s="3"/>
      <c r="AN87" s="3"/>
      <c r="AO87" s="3"/>
      <c r="AP87" s="3"/>
      <c r="AQ87" s="3"/>
      <c r="AR87" s="3"/>
      <c r="AS87" s="24"/>
      <c r="AT87" s="24"/>
      <c r="AU87" s="24"/>
      <c r="AV87" s="24"/>
      <c r="AW87" s="24"/>
      <c r="AX87" s="24"/>
      <c r="AY87" s="3"/>
      <c r="AZ87" s="24">
        <f>G87</f>
        <v>61790</v>
      </c>
      <c r="BA87" s="24"/>
      <c r="BB87" s="24"/>
      <c r="BC87" s="24"/>
      <c r="BD87" s="24"/>
      <c r="BE87" s="24"/>
      <c r="BF87" s="24"/>
      <c r="BG87" s="24"/>
      <c r="BH87" s="343"/>
      <c r="BI87" s="343"/>
      <c r="BJ87" s="24"/>
      <c r="BK87" s="3"/>
      <c r="BL87" s="3"/>
      <c r="BM87" s="24"/>
      <c r="BN87" s="3"/>
      <c r="BO87" s="3"/>
      <c r="BP87" s="3"/>
      <c r="BQ87" s="3"/>
      <c r="BR87" s="3"/>
      <c r="BS87" s="3"/>
      <c r="BT87" s="3"/>
      <c r="BU87" s="24"/>
      <c r="BV87" s="24"/>
      <c r="BW87" s="24"/>
      <c r="BX87" s="24"/>
      <c r="BY87" s="24"/>
      <c r="BZ87" s="3"/>
      <c r="CA87" s="3"/>
      <c r="CB87" s="24"/>
      <c r="CC87" s="24"/>
      <c r="CD87" s="24"/>
      <c r="CE87" s="24"/>
      <c r="CF87" s="24"/>
      <c r="CG87" s="24"/>
      <c r="CH87" s="24"/>
      <c r="CI87" s="3"/>
      <c r="CJ87" s="3"/>
      <c r="CK87" s="24"/>
      <c r="CL87" s="3"/>
      <c r="CM87" s="3"/>
      <c r="CN87" s="24"/>
      <c r="CO87" s="24"/>
      <c r="CP87" s="24"/>
      <c r="CQ87" s="24"/>
      <c r="CR87" s="24"/>
      <c r="CS87" s="3"/>
      <c r="CT87" s="3"/>
      <c r="CU87" s="3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3"/>
      <c r="DR87" s="24">
        <f t="shared" si="8"/>
        <v>61790</v>
      </c>
      <c r="DS87" s="3">
        <f t="shared" si="9"/>
        <v>0</v>
      </c>
      <c r="DT87" s="7"/>
      <c r="DU87" s="3">
        <v>61790</v>
      </c>
      <c r="DV87" s="7"/>
      <c r="DW87" s="7"/>
      <c r="DX87" s="7"/>
      <c r="DY87" s="7"/>
      <c r="DZ87" s="7"/>
      <c r="EA87" s="7"/>
      <c r="EB87" s="7"/>
      <c r="EC87" s="7"/>
      <c r="ED87" s="7"/>
    </row>
    <row r="88" spans="1:134" x14ac:dyDescent="0.2">
      <c r="C88" s="7" t="s">
        <v>2266</v>
      </c>
      <c r="D88" s="7" t="s">
        <v>2655</v>
      </c>
      <c r="E88" s="149" t="s">
        <v>1286</v>
      </c>
      <c r="F88" s="33" t="s">
        <v>2659</v>
      </c>
      <c r="G88" s="230">
        <f t="shared" si="10"/>
        <v>48410</v>
      </c>
      <c r="H88" s="207"/>
      <c r="I88" s="2" t="s">
        <v>2687</v>
      </c>
      <c r="J88" s="2"/>
      <c r="K88" s="2"/>
      <c r="L88" s="2"/>
      <c r="M88" s="3"/>
      <c r="N88" s="3"/>
      <c r="O88" s="24"/>
      <c r="P88" s="3"/>
      <c r="Q88" s="3"/>
      <c r="R88" s="24"/>
      <c r="S88" s="24"/>
      <c r="T88" s="3"/>
      <c r="U88" s="3"/>
      <c r="V88" s="3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3"/>
      <c r="AJ88" s="24"/>
      <c r="AK88" s="284"/>
      <c r="AL88" s="24"/>
      <c r="AM88" s="3"/>
      <c r="AN88" s="3"/>
      <c r="AO88" s="3"/>
      <c r="AP88" s="3"/>
      <c r="AQ88" s="3"/>
      <c r="AR88" s="3"/>
      <c r="AS88" s="24"/>
      <c r="AT88" s="24"/>
      <c r="AU88" s="24"/>
      <c r="AV88" s="24"/>
      <c r="AW88" s="24"/>
      <c r="AX88" s="24"/>
      <c r="AY88" s="3"/>
      <c r="AZ88" s="24">
        <f>G88</f>
        <v>48410</v>
      </c>
      <c r="BA88" s="24"/>
      <c r="BB88" s="24"/>
      <c r="BC88" s="24"/>
      <c r="BD88" s="24"/>
      <c r="BE88" s="24"/>
      <c r="BF88" s="24"/>
      <c r="BG88" s="24"/>
      <c r="BH88" s="343"/>
      <c r="BI88" s="343"/>
      <c r="BJ88" s="24"/>
      <c r="BK88" s="3"/>
      <c r="BL88" s="3"/>
      <c r="BM88" s="24"/>
      <c r="BN88" s="3"/>
      <c r="BO88" s="3"/>
      <c r="BP88" s="3"/>
      <c r="BQ88" s="3"/>
      <c r="BR88" s="3"/>
      <c r="BS88" s="3"/>
      <c r="BT88" s="3"/>
      <c r="BU88" s="24"/>
      <c r="BV88" s="24"/>
      <c r="BW88" s="24"/>
      <c r="BX88" s="24"/>
      <c r="BY88" s="24"/>
      <c r="BZ88" s="3"/>
      <c r="CA88" s="3"/>
      <c r="CB88" s="24"/>
      <c r="CC88" s="24"/>
      <c r="CD88" s="24"/>
      <c r="CE88" s="24"/>
      <c r="CF88" s="24"/>
      <c r="CG88" s="24"/>
      <c r="CH88" s="24"/>
      <c r="CI88" s="3"/>
      <c r="CJ88" s="3"/>
      <c r="CK88" s="24"/>
      <c r="CL88" s="3"/>
      <c r="CM88" s="3"/>
      <c r="CN88" s="24"/>
      <c r="CO88" s="24"/>
      <c r="CP88" s="24"/>
      <c r="CQ88" s="24"/>
      <c r="CR88" s="24"/>
      <c r="CS88" s="3"/>
      <c r="CT88" s="3"/>
      <c r="CU88" s="3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3"/>
      <c r="DR88" s="24">
        <f t="shared" si="8"/>
        <v>48410</v>
      </c>
      <c r="DS88" s="3">
        <f t="shared" si="9"/>
        <v>0</v>
      </c>
      <c r="DU88" s="3">
        <v>48410</v>
      </c>
    </row>
    <row r="89" spans="1:134" x14ac:dyDescent="0.2">
      <c r="E89" s="159"/>
      <c r="F89" s="33"/>
      <c r="G89" s="188">
        <f>SUM(G8:G88)</f>
        <v>4556524.08</v>
      </c>
      <c r="H89" s="20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28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24"/>
    </row>
    <row r="90" spans="1:134" x14ac:dyDescent="0.2">
      <c r="E90" s="159" t="s">
        <v>342</v>
      </c>
      <c r="F90" s="33"/>
      <c r="G90" s="25" t="s">
        <v>342</v>
      </c>
      <c r="H90" s="207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28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24"/>
    </row>
    <row r="91" spans="1:134" x14ac:dyDescent="0.2">
      <c r="E91" s="160" t="s">
        <v>84</v>
      </c>
      <c r="F91" s="33"/>
      <c r="G91" s="25"/>
      <c r="H91" s="20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28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24"/>
    </row>
    <row r="92" spans="1:134" x14ac:dyDescent="0.2">
      <c r="E92" s="159"/>
      <c r="F92" s="33"/>
      <c r="G92" s="25"/>
      <c r="H92" s="20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28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24"/>
    </row>
    <row r="93" spans="1:134" x14ac:dyDescent="0.2">
      <c r="E93" s="159"/>
      <c r="F93" s="33"/>
      <c r="G93" s="25"/>
      <c r="H93" s="207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28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24"/>
    </row>
    <row r="94" spans="1:134" x14ac:dyDescent="0.2">
      <c r="E94" s="159"/>
      <c r="F94" s="33"/>
      <c r="G94" s="25"/>
      <c r="H94" s="207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28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24"/>
    </row>
    <row r="95" spans="1:134" ht="15.75" x14ac:dyDescent="0.25">
      <c r="E95" s="515" t="s">
        <v>1287</v>
      </c>
      <c r="F95" s="515"/>
      <c r="G95" s="515"/>
      <c r="H95" s="207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28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24"/>
    </row>
    <row r="96" spans="1:134" x14ac:dyDescent="0.2">
      <c r="E96" s="159"/>
      <c r="F96" s="33"/>
      <c r="G96" s="26"/>
      <c r="H96" s="207"/>
      <c r="DR96" s="24"/>
    </row>
    <row r="97" spans="1:125" x14ac:dyDescent="0.2">
      <c r="C97" s="7" t="s">
        <v>2415</v>
      </c>
      <c r="D97" s="7" t="s">
        <v>2245</v>
      </c>
      <c r="E97" s="161" t="s">
        <v>1334</v>
      </c>
      <c r="F97" s="33" t="s">
        <v>2660</v>
      </c>
      <c r="G97" s="230">
        <f t="shared" ref="G97:G160" si="11">IF(DU97&lt;30000,DU97*1.03,+DU97)</f>
        <v>66407.039999999994</v>
      </c>
      <c r="H97" s="207"/>
      <c r="I97" s="2" t="s">
        <v>2683</v>
      </c>
      <c r="J97" s="2"/>
      <c r="K97" s="2"/>
      <c r="L97" s="2"/>
      <c r="M97" s="3"/>
      <c r="N97" s="3"/>
      <c r="O97" s="24"/>
      <c r="P97" s="3"/>
      <c r="Q97" s="3"/>
      <c r="R97" s="24"/>
      <c r="S97" s="24"/>
      <c r="T97" s="3"/>
      <c r="U97" s="3"/>
      <c r="V97" s="3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3"/>
      <c r="AJ97" s="24">
        <f>+G97</f>
        <v>66407.039999999994</v>
      </c>
      <c r="AK97" s="284"/>
      <c r="AL97" s="24"/>
      <c r="AM97" s="3"/>
      <c r="AN97" s="3"/>
      <c r="AO97" s="3"/>
      <c r="AP97" s="3"/>
      <c r="AQ97" s="3"/>
      <c r="AR97" s="3"/>
      <c r="AS97" s="24"/>
      <c r="AT97" s="24"/>
      <c r="AU97" s="24"/>
      <c r="AV97" s="24"/>
      <c r="AW97" s="24"/>
      <c r="AX97" s="24"/>
      <c r="AY97" s="3"/>
      <c r="AZ97" s="24"/>
      <c r="BA97" s="24"/>
      <c r="BB97" s="24"/>
      <c r="BC97" s="24"/>
      <c r="BD97" s="24"/>
      <c r="BE97" s="24"/>
      <c r="BF97" s="24"/>
      <c r="BG97" s="24"/>
      <c r="BH97" s="343"/>
      <c r="BI97" s="343"/>
      <c r="BJ97" s="24"/>
      <c r="BK97" s="3"/>
      <c r="BL97" s="3"/>
      <c r="BM97" s="24"/>
      <c r="BN97" s="3"/>
      <c r="BO97" s="3"/>
      <c r="BP97" s="3"/>
      <c r="BQ97" s="3"/>
      <c r="BR97" s="3"/>
      <c r="BS97" s="3"/>
      <c r="BT97" s="3"/>
      <c r="BU97" s="24"/>
      <c r="BV97" s="24"/>
      <c r="BW97" s="24"/>
      <c r="BX97" s="24"/>
      <c r="BY97" s="24"/>
      <c r="BZ97" s="3"/>
      <c r="CA97" s="3"/>
      <c r="CB97" s="24"/>
      <c r="CC97" s="24"/>
      <c r="CD97" s="24"/>
      <c r="CE97" s="24"/>
      <c r="CF97" s="24"/>
      <c r="CG97" s="24"/>
      <c r="CH97" s="24"/>
      <c r="CI97" s="3"/>
      <c r="CJ97" s="3"/>
      <c r="CK97" s="24"/>
      <c r="CL97" s="3"/>
      <c r="CM97" s="3"/>
      <c r="CN97" s="24"/>
      <c r="CO97" s="24"/>
      <c r="CP97" s="24"/>
      <c r="CQ97" s="24"/>
      <c r="CR97" s="24"/>
      <c r="CS97" s="3"/>
      <c r="CT97" s="3"/>
      <c r="CU97" s="3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3"/>
      <c r="DR97" s="24">
        <f t="shared" ref="DR97:DR127" si="12">SUM(M97:DQ97)</f>
        <v>66407.039999999994</v>
      </c>
      <c r="DS97" s="3">
        <f t="shared" ref="DS97:DS127" si="13">DR97-G97</f>
        <v>0</v>
      </c>
      <c r="DU97" s="3">
        <v>66407.039999999994</v>
      </c>
    </row>
    <row r="98" spans="1:125" x14ac:dyDescent="0.2">
      <c r="C98" s="7" t="s">
        <v>2416</v>
      </c>
      <c r="D98" s="7" t="s">
        <v>2417</v>
      </c>
      <c r="E98" s="149" t="s">
        <v>2211</v>
      </c>
      <c r="F98" s="33" t="s">
        <v>2658</v>
      </c>
      <c r="G98" s="231">
        <f t="shared" si="11"/>
        <v>40203.96</v>
      </c>
      <c r="H98" s="207"/>
      <c r="I98" s="2" t="s">
        <v>2687</v>
      </c>
      <c r="J98" s="2"/>
      <c r="K98" s="2"/>
      <c r="L98" s="2"/>
      <c r="M98" s="3"/>
      <c r="N98" s="3"/>
      <c r="O98" s="24"/>
      <c r="P98" s="3"/>
      <c r="Q98" s="3"/>
      <c r="R98" s="24"/>
      <c r="S98" s="24"/>
      <c r="T98" s="3"/>
      <c r="U98" s="3"/>
      <c r="V98" s="3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3"/>
      <c r="AJ98" s="24"/>
      <c r="AK98" s="284"/>
      <c r="AL98" s="24"/>
      <c r="AM98" s="3"/>
      <c r="AN98" s="3"/>
      <c r="AO98" s="3"/>
      <c r="AP98" s="3"/>
      <c r="AQ98" s="3"/>
      <c r="AR98" s="3"/>
      <c r="AS98" s="24"/>
      <c r="AT98" s="24"/>
      <c r="AU98" s="24"/>
      <c r="AV98" s="24"/>
      <c r="AW98" s="24"/>
      <c r="AX98" s="24"/>
      <c r="AY98" s="3"/>
      <c r="AZ98" s="24">
        <f>G98</f>
        <v>40203.96</v>
      </c>
      <c r="BA98" s="24"/>
      <c r="BB98" s="24"/>
      <c r="BC98" s="24"/>
      <c r="BD98" s="24"/>
      <c r="BE98" s="24"/>
      <c r="BF98" s="24"/>
      <c r="BG98" s="24"/>
      <c r="BH98" s="343"/>
      <c r="BI98" s="343"/>
      <c r="BJ98" s="24"/>
      <c r="BK98" s="3"/>
      <c r="BL98" s="3"/>
      <c r="BM98" s="24"/>
      <c r="BN98" s="3"/>
      <c r="BO98" s="3"/>
      <c r="BP98" s="3"/>
      <c r="BQ98" s="3"/>
      <c r="BR98" s="3"/>
      <c r="BS98" s="3"/>
      <c r="BT98" s="3"/>
      <c r="BU98" s="24"/>
      <c r="BV98" s="24"/>
      <c r="BW98" s="24"/>
      <c r="BX98" s="24"/>
      <c r="BY98" s="24"/>
      <c r="BZ98" s="3"/>
      <c r="CA98" s="3"/>
      <c r="CB98" s="24"/>
      <c r="CC98" s="24"/>
      <c r="CD98" s="24"/>
      <c r="CE98" s="24"/>
      <c r="CF98" s="24"/>
      <c r="CG98" s="24"/>
      <c r="CH98" s="24"/>
      <c r="CI98" s="3"/>
      <c r="CJ98" s="3"/>
      <c r="CK98" s="24"/>
      <c r="CL98" s="3"/>
      <c r="CM98" s="3"/>
      <c r="CN98" s="24"/>
      <c r="CO98" s="24"/>
      <c r="CP98" s="24"/>
      <c r="CQ98" s="24"/>
      <c r="CR98" s="24"/>
      <c r="CS98" s="3"/>
      <c r="CT98" s="3"/>
      <c r="CU98" s="3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3"/>
      <c r="DR98" s="24">
        <f t="shared" si="12"/>
        <v>40203.96</v>
      </c>
      <c r="DS98" s="3">
        <f t="shared" si="13"/>
        <v>0</v>
      </c>
      <c r="DU98" s="3">
        <v>40203.96</v>
      </c>
    </row>
    <row r="99" spans="1:125" x14ac:dyDescent="0.2">
      <c r="C99" s="7" t="s">
        <v>2418</v>
      </c>
      <c r="D99" s="7" t="s">
        <v>2419</v>
      </c>
      <c r="E99" s="156" t="s">
        <v>1335</v>
      </c>
      <c r="F99" s="33" t="s">
        <v>2661</v>
      </c>
      <c r="G99" s="231">
        <f t="shared" si="11"/>
        <v>45913.919999999998</v>
      </c>
      <c r="H99" s="207"/>
      <c r="I99" s="3" t="s">
        <v>2699</v>
      </c>
      <c r="J99" s="3" t="s">
        <v>2693</v>
      </c>
      <c r="K99" s="3"/>
      <c r="L99" s="3"/>
      <c r="M99" s="24"/>
      <c r="N99" s="3"/>
      <c r="O99" s="24"/>
      <c r="P99" s="3"/>
      <c r="Q99" s="3"/>
      <c r="R99" s="24"/>
      <c r="S99" s="24"/>
      <c r="T99" s="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3"/>
      <c r="AJ99" s="24"/>
      <c r="AK99" s="284"/>
      <c r="AL99" s="24"/>
      <c r="AM99" s="24"/>
      <c r="AN99" s="24"/>
      <c r="AO99" s="3"/>
      <c r="AP99" s="3"/>
      <c r="AQ99" s="3"/>
      <c r="AR99" s="3"/>
      <c r="AS99" s="24"/>
      <c r="AT99" s="24"/>
      <c r="AU99" s="24"/>
      <c r="AV99" s="24"/>
      <c r="AW99" s="24"/>
      <c r="AX99" s="24"/>
      <c r="AY99" s="3"/>
      <c r="AZ99" s="24"/>
      <c r="BA99" s="24"/>
      <c r="BB99" s="24"/>
      <c r="BC99" s="24"/>
      <c r="BD99" s="24"/>
      <c r="BE99" s="24"/>
      <c r="BF99" s="24"/>
      <c r="BG99" s="24"/>
      <c r="BH99" s="343"/>
      <c r="BI99" s="343"/>
      <c r="BJ99" s="24"/>
      <c r="BK99" s="3"/>
      <c r="BL99" s="3"/>
      <c r="BM99" s="24"/>
      <c r="BN99" s="3"/>
      <c r="BO99" s="3"/>
      <c r="BP99" s="3"/>
      <c r="BQ99" s="3"/>
      <c r="BR99" s="3"/>
      <c r="BS99" s="3"/>
      <c r="BT99" s="3"/>
      <c r="BU99" s="24"/>
      <c r="BV99" s="8">
        <f>G99*0.2</f>
        <v>9182.7800000000007</v>
      </c>
      <c r="BW99" s="24"/>
      <c r="BX99" s="24"/>
      <c r="BY99" s="24"/>
      <c r="BZ99" s="3"/>
      <c r="CA99" s="3"/>
      <c r="CB99" s="24"/>
      <c r="CC99" s="24"/>
      <c r="CD99" s="24"/>
      <c r="CE99" s="24"/>
      <c r="CF99" s="24"/>
      <c r="CG99" s="24"/>
      <c r="CH99" s="24"/>
      <c r="CI99" s="3"/>
      <c r="CJ99" s="3"/>
      <c r="CK99" s="24"/>
      <c r="CL99" s="24"/>
      <c r="CM99" s="24"/>
      <c r="CN99" s="24">
        <f>G99*0.8</f>
        <v>36731.14</v>
      </c>
      <c r="CO99" s="24"/>
      <c r="CP99" s="24"/>
      <c r="CQ99" s="24"/>
      <c r="CR99" s="24"/>
      <c r="CS99" s="3"/>
      <c r="CT99" s="3"/>
      <c r="CU99" s="3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>
        <f t="shared" si="12"/>
        <v>45913.919999999998</v>
      </c>
      <c r="DS99" s="3">
        <f t="shared" si="13"/>
        <v>0</v>
      </c>
      <c r="DU99" s="3">
        <v>45913.919999999998</v>
      </c>
    </row>
    <row r="100" spans="1:125" x14ac:dyDescent="0.2">
      <c r="C100" s="7" t="s">
        <v>2420</v>
      </c>
      <c r="D100" s="7" t="s">
        <v>2223</v>
      </c>
      <c r="E100" s="162" t="s">
        <v>2210</v>
      </c>
      <c r="F100" s="33" t="s">
        <v>2661</v>
      </c>
      <c r="G100" s="231">
        <f t="shared" si="11"/>
        <v>47147.519999999997</v>
      </c>
      <c r="H100" s="207"/>
      <c r="I100" s="2" t="s">
        <v>3157</v>
      </c>
      <c r="J100" s="3"/>
      <c r="K100" s="3"/>
      <c r="L100" s="3"/>
      <c r="M100" s="24"/>
      <c r="N100" s="3"/>
      <c r="O100" s="24"/>
      <c r="P100" s="3"/>
      <c r="Q100" s="3"/>
      <c r="R100" s="24"/>
      <c r="S100" s="24"/>
      <c r="T100" s="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3"/>
      <c r="AJ100" s="24"/>
      <c r="AK100" s="284"/>
      <c r="AL100" s="24"/>
      <c r="AM100" s="24"/>
      <c r="AN100" s="24"/>
      <c r="AO100" s="3"/>
      <c r="AP100" s="3"/>
      <c r="AQ100" s="3"/>
      <c r="AR100" s="3"/>
      <c r="AS100" s="24"/>
      <c r="AT100" s="24"/>
      <c r="AU100" s="24"/>
      <c r="AV100" s="24"/>
      <c r="AW100" s="24"/>
      <c r="AX100" s="24"/>
      <c r="AY100" s="3"/>
      <c r="AZ100" s="24"/>
      <c r="BA100" s="24"/>
      <c r="BB100" s="24"/>
      <c r="BC100" s="24"/>
      <c r="BD100" s="24"/>
      <c r="BE100" s="24"/>
      <c r="BF100" s="24"/>
      <c r="BG100" s="24"/>
      <c r="BH100" s="343"/>
      <c r="BI100" s="343"/>
      <c r="BJ100" s="24"/>
      <c r="BK100" s="3"/>
      <c r="BL100" s="3"/>
      <c r="BM100" s="24"/>
      <c r="BN100" s="3"/>
      <c r="BO100" s="3"/>
      <c r="BP100" s="3"/>
      <c r="BQ100" s="3"/>
      <c r="BR100" s="3"/>
      <c r="BS100" s="3"/>
      <c r="BT100" s="3"/>
      <c r="BU100" s="24"/>
      <c r="BV100" s="8"/>
      <c r="BW100" s="24"/>
      <c r="BX100" s="24"/>
      <c r="BY100" s="24"/>
      <c r="BZ100" s="3"/>
      <c r="CA100" s="3"/>
      <c r="CB100" s="24"/>
      <c r="CC100" s="24"/>
      <c r="CD100" s="24"/>
      <c r="CE100" s="24"/>
      <c r="CF100" s="24"/>
      <c r="CG100" s="24"/>
      <c r="CH100" s="24"/>
      <c r="CI100" s="3"/>
      <c r="CJ100" s="3"/>
      <c r="CK100" s="24"/>
      <c r="CL100" s="24"/>
      <c r="CM100" s="24"/>
      <c r="CN100" s="24"/>
      <c r="CO100" s="24"/>
      <c r="CP100" s="24"/>
      <c r="CQ100" s="24"/>
      <c r="CR100" s="24"/>
      <c r="CS100" s="3"/>
      <c r="CT100" s="3"/>
      <c r="CU100" s="3">
        <f>G100</f>
        <v>47147.519999999997</v>
      </c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>
        <f t="shared" si="12"/>
        <v>47147.519999999997</v>
      </c>
      <c r="DS100" s="3">
        <f t="shared" si="13"/>
        <v>0</v>
      </c>
      <c r="DU100" s="3">
        <v>47147.519999999997</v>
      </c>
    </row>
    <row r="101" spans="1:125" x14ac:dyDescent="0.2">
      <c r="C101" s="7" t="s">
        <v>2421</v>
      </c>
      <c r="D101" s="7" t="s">
        <v>2223</v>
      </c>
      <c r="E101" s="163" t="s">
        <v>1336</v>
      </c>
      <c r="F101" s="33" t="s">
        <v>2661</v>
      </c>
      <c r="G101" s="231">
        <f t="shared" si="11"/>
        <v>46429.56</v>
      </c>
      <c r="H101" s="207"/>
      <c r="I101" s="2" t="s">
        <v>2676</v>
      </c>
      <c r="J101" s="2"/>
      <c r="K101" s="2"/>
      <c r="L101" s="2"/>
      <c r="M101" s="3"/>
      <c r="N101" s="3"/>
      <c r="O101" s="24">
        <f>G101</f>
        <v>46429.56</v>
      </c>
      <c r="P101" s="3"/>
      <c r="Q101" s="3" t="s">
        <v>342</v>
      </c>
      <c r="R101" s="24"/>
      <c r="S101" s="24"/>
      <c r="T101" s="3"/>
      <c r="U101" s="3"/>
      <c r="V101" s="3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3"/>
      <c r="AJ101" s="24"/>
      <c r="AK101" s="284"/>
      <c r="AL101" s="24"/>
      <c r="AM101" s="3"/>
      <c r="AN101" s="3"/>
      <c r="AO101" s="3"/>
      <c r="AP101" s="3"/>
      <c r="AQ101" s="3"/>
      <c r="AR101" s="3"/>
      <c r="AS101" s="24"/>
      <c r="AT101" s="24"/>
      <c r="AU101" s="24"/>
      <c r="AV101" s="24"/>
      <c r="AW101" s="24"/>
      <c r="AX101" s="24"/>
      <c r="AY101" s="3"/>
      <c r="AZ101" s="24"/>
      <c r="BA101" s="24"/>
      <c r="BB101" s="24"/>
      <c r="BC101" s="24"/>
      <c r="BD101" s="24"/>
      <c r="BE101" s="24"/>
      <c r="BF101" s="24"/>
      <c r="BG101" s="24"/>
      <c r="BH101" s="343"/>
      <c r="BI101" s="343"/>
      <c r="BJ101" s="24"/>
      <c r="BK101" s="3"/>
      <c r="BL101" s="3"/>
      <c r="BM101" s="24"/>
      <c r="BN101" s="3"/>
      <c r="BO101" s="3"/>
      <c r="BP101" s="3"/>
      <c r="BQ101" s="3"/>
      <c r="BR101" s="3"/>
      <c r="BS101" s="3"/>
      <c r="BT101" s="3"/>
      <c r="BU101" s="24"/>
      <c r="BV101" s="24"/>
      <c r="BW101" s="24"/>
      <c r="BX101" s="24"/>
      <c r="BY101" s="24"/>
      <c r="BZ101" s="3"/>
      <c r="CA101" s="3"/>
      <c r="CB101" s="24"/>
      <c r="CC101" s="24"/>
      <c r="CD101" s="24"/>
      <c r="CE101" s="24"/>
      <c r="CF101" s="24"/>
      <c r="CG101" s="24"/>
      <c r="CH101" s="24"/>
      <c r="CI101" s="3"/>
      <c r="CJ101" s="3"/>
      <c r="CK101" s="3"/>
      <c r="CL101" s="3"/>
      <c r="CM101" s="3"/>
      <c r="CN101" s="24"/>
      <c r="CO101" s="24"/>
      <c r="CP101" s="24"/>
      <c r="CQ101" s="24"/>
      <c r="CR101" s="3"/>
      <c r="CS101" s="3"/>
      <c r="CT101" s="3"/>
      <c r="CU101" s="3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3"/>
      <c r="DR101" s="24">
        <f t="shared" si="12"/>
        <v>46429.56</v>
      </c>
      <c r="DS101" s="3">
        <f t="shared" si="13"/>
        <v>0</v>
      </c>
      <c r="DU101" s="3">
        <v>46429.56</v>
      </c>
    </row>
    <row r="102" spans="1:125" x14ac:dyDescent="0.2">
      <c r="B102" s="170"/>
      <c r="C102" s="7" t="s">
        <v>2422</v>
      </c>
      <c r="D102" s="7" t="s">
        <v>2423</v>
      </c>
      <c r="E102" s="152" t="s">
        <v>227</v>
      </c>
      <c r="F102" s="33" t="s">
        <v>2661</v>
      </c>
      <c r="G102" s="206">
        <f t="shared" si="11"/>
        <v>21768.06</v>
      </c>
      <c r="H102" s="207"/>
      <c r="I102" s="2" t="s">
        <v>2687</v>
      </c>
      <c r="J102" s="2"/>
      <c r="K102" s="2"/>
      <c r="L102" s="2"/>
      <c r="M102" s="3"/>
      <c r="N102" s="3"/>
      <c r="O102" s="24"/>
      <c r="P102" s="3"/>
      <c r="Q102" s="3"/>
      <c r="R102" s="24"/>
      <c r="S102" s="24"/>
      <c r="T102" s="3"/>
      <c r="U102" s="3"/>
      <c r="V102" s="3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3"/>
      <c r="AJ102" s="24"/>
      <c r="AK102" s="284"/>
      <c r="AL102" s="24"/>
      <c r="AM102" s="3"/>
      <c r="AN102" s="3"/>
      <c r="AO102" s="3"/>
      <c r="AP102" s="3"/>
      <c r="AQ102" s="3"/>
      <c r="AR102" s="3"/>
      <c r="AS102" s="24"/>
      <c r="AT102" s="24"/>
      <c r="AU102" s="24"/>
      <c r="AV102" s="24"/>
      <c r="AW102" s="24"/>
      <c r="AX102" s="24"/>
      <c r="AY102" s="3"/>
      <c r="AZ102" s="24">
        <f>G102</f>
        <v>21768.06</v>
      </c>
      <c r="BA102" s="24"/>
      <c r="BB102" s="24"/>
      <c r="BC102" s="24"/>
      <c r="BD102" s="24"/>
      <c r="BE102" s="24"/>
      <c r="BF102" s="24"/>
      <c r="BG102" s="24"/>
      <c r="BH102" s="343"/>
      <c r="BI102" s="343"/>
      <c r="BJ102" s="24"/>
      <c r="BK102" s="3"/>
      <c r="BL102" s="3"/>
      <c r="BM102" s="24"/>
      <c r="BN102" s="3"/>
      <c r="BO102" s="3"/>
      <c r="BP102" s="3"/>
      <c r="BQ102" s="3"/>
      <c r="BR102" s="3"/>
      <c r="BS102" s="3"/>
      <c r="BT102" s="3"/>
      <c r="BU102" s="24"/>
      <c r="BV102" s="24"/>
      <c r="BW102" s="24"/>
      <c r="BX102" s="24"/>
      <c r="BY102" s="24"/>
      <c r="BZ102" s="3"/>
      <c r="CA102" s="3"/>
      <c r="CB102" s="24"/>
      <c r="CC102" s="24"/>
      <c r="CD102" s="24"/>
      <c r="CE102" s="24"/>
      <c r="CF102" s="24"/>
      <c r="CG102" s="24"/>
      <c r="CH102" s="24"/>
      <c r="CI102" s="3"/>
      <c r="CJ102" s="3"/>
      <c r="CK102" s="3"/>
      <c r="CL102" s="3"/>
      <c r="CM102" s="3"/>
      <c r="CN102" s="24"/>
      <c r="CO102" s="24"/>
      <c r="CP102" s="24"/>
      <c r="CQ102" s="24"/>
      <c r="CR102" s="3"/>
      <c r="CS102" s="3"/>
      <c r="CT102" s="3"/>
      <c r="CU102" s="3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3"/>
      <c r="DR102" s="24">
        <f t="shared" si="12"/>
        <v>21768.06</v>
      </c>
      <c r="DS102" s="3">
        <f t="shared" si="13"/>
        <v>0</v>
      </c>
      <c r="DU102" s="3">
        <v>21134.04</v>
      </c>
    </row>
    <row r="103" spans="1:125" x14ac:dyDescent="0.2">
      <c r="C103" s="7" t="s">
        <v>2424</v>
      </c>
      <c r="D103" s="7" t="s">
        <v>2425</v>
      </c>
      <c r="E103" s="156" t="s">
        <v>1203</v>
      </c>
      <c r="F103" s="33" t="s">
        <v>2661</v>
      </c>
      <c r="G103" s="231">
        <f t="shared" si="11"/>
        <v>75900</v>
      </c>
      <c r="H103" s="207"/>
      <c r="I103" s="2" t="s">
        <v>2694</v>
      </c>
      <c r="J103" s="2" t="s">
        <v>2698</v>
      </c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28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24">
        <f>+G103*0.5</f>
        <v>37950</v>
      </c>
      <c r="CB103" s="3"/>
      <c r="CC103" s="3"/>
      <c r="CD103" s="3"/>
      <c r="CE103" s="3"/>
      <c r="CF103" s="3"/>
      <c r="CG103" s="3"/>
      <c r="CH103" s="3"/>
      <c r="CI103" s="3"/>
      <c r="CJ103" s="3"/>
      <c r="CK103" s="3">
        <f>+G103*0.5</f>
        <v>37950</v>
      </c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24">
        <f t="shared" si="12"/>
        <v>75900</v>
      </c>
      <c r="DS103" s="3">
        <f t="shared" si="13"/>
        <v>0</v>
      </c>
      <c r="DU103" s="3">
        <v>75900</v>
      </c>
    </row>
    <row r="104" spans="1:125" x14ac:dyDescent="0.2">
      <c r="C104" s="7" t="s">
        <v>2231</v>
      </c>
      <c r="D104" s="7" t="s">
        <v>2309</v>
      </c>
      <c r="E104" s="152" t="s">
        <v>532</v>
      </c>
      <c r="F104" s="33" t="s">
        <v>2661</v>
      </c>
      <c r="G104" s="231">
        <f t="shared" si="11"/>
        <v>37743.96</v>
      </c>
      <c r="H104" s="207"/>
      <c r="I104" s="2" t="s">
        <v>2692</v>
      </c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28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>
        <f>G104</f>
        <v>37743.96</v>
      </c>
      <c r="BV104" s="3"/>
      <c r="BW104" s="3"/>
      <c r="BX104" s="3"/>
      <c r="BY104" s="3"/>
      <c r="BZ104" s="3"/>
      <c r="CA104" s="24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24"/>
      <c r="CQ104" s="24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24">
        <f t="shared" si="12"/>
        <v>37743.96</v>
      </c>
      <c r="DS104" s="3">
        <f t="shared" si="13"/>
        <v>0</v>
      </c>
      <c r="DU104" s="3">
        <v>37743.96</v>
      </c>
    </row>
    <row r="105" spans="1:125" x14ac:dyDescent="0.2">
      <c r="A105" s="251"/>
      <c r="C105" s="7" t="s">
        <v>2283</v>
      </c>
      <c r="D105" s="7" t="s">
        <v>2477</v>
      </c>
      <c r="E105" s="149" t="s">
        <v>2200</v>
      </c>
      <c r="F105" s="33" t="s">
        <v>2658</v>
      </c>
      <c r="G105" s="231">
        <f t="shared" si="11"/>
        <v>42884.01</v>
      </c>
      <c r="H105" s="207"/>
      <c r="I105" s="2" t="s">
        <v>2687</v>
      </c>
      <c r="J105" s="2"/>
      <c r="K105" s="2"/>
      <c r="L105" s="2"/>
      <c r="M105" s="24"/>
      <c r="N105" s="3"/>
      <c r="O105" s="24"/>
      <c r="P105" s="3"/>
      <c r="Q105" s="3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3"/>
      <c r="AJ105" s="24"/>
      <c r="AK105" s="284"/>
      <c r="AL105" s="24"/>
      <c r="AM105" s="24"/>
      <c r="AN105" s="24"/>
      <c r="AO105" s="3"/>
      <c r="AP105" s="3"/>
      <c r="AQ105" s="3"/>
      <c r="AR105" s="3"/>
      <c r="AS105" s="24"/>
      <c r="AT105" s="24"/>
      <c r="AU105" s="24"/>
      <c r="AV105" s="24"/>
      <c r="AW105" s="24"/>
      <c r="AX105" s="24"/>
      <c r="AY105" s="3"/>
      <c r="AZ105" s="24">
        <f>G105</f>
        <v>42884.01</v>
      </c>
      <c r="BA105" s="24"/>
      <c r="BB105" s="24"/>
      <c r="BC105" s="24"/>
      <c r="BD105" s="24"/>
      <c r="BE105" s="24"/>
      <c r="BF105" s="24"/>
      <c r="BG105" s="24"/>
      <c r="BH105" s="343"/>
      <c r="BI105" s="343"/>
      <c r="BJ105" s="24"/>
      <c r="BK105" s="3"/>
      <c r="BL105" s="3"/>
      <c r="BM105" s="24"/>
      <c r="BN105" s="3"/>
      <c r="BO105" s="3"/>
      <c r="BP105" s="3"/>
      <c r="BQ105" s="3"/>
      <c r="BR105" s="3"/>
      <c r="BS105" s="24"/>
      <c r="BT105" s="24"/>
      <c r="BU105" s="24"/>
      <c r="BV105" s="24"/>
      <c r="BW105" s="24"/>
      <c r="BX105" s="24"/>
      <c r="BY105" s="24"/>
      <c r="BZ105" s="3"/>
      <c r="CA105" s="3"/>
      <c r="CB105" s="24"/>
      <c r="CC105" s="24"/>
      <c r="CD105" s="24"/>
      <c r="CE105" s="24"/>
      <c r="CF105" s="24"/>
      <c r="CG105" s="24"/>
      <c r="CH105" s="24"/>
      <c r="CI105" s="3"/>
      <c r="CJ105" s="3"/>
      <c r="CK105" s="24"/>
      <c r="CL105" s="24"/>
      <c r="CM105" s="24"/>
      <c r="CN105" s="24"/>
      <c r="CO105" s="24"/>
      <c r="CP105" s="24"/>
      <c r="CQ105" s="24"/>
      <c r="CR105" s="24"/>
      <c r="CS105" s="3"/>
      <c r="CT105" s="3"/>
      <c r="CU105" s="3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>
        <f t="shared" si="12"/>
        <v>42884.01</v>
      </c>
      <c r="DS105" s="3">
        <f t="shared" si="13"/>
        <v>0</v>
      </c>
      <c r="DU105" s="3">
        <v>42884.01</v>
      </c>
    </row>
    <row r="106" spans="1:125" x14ac:dyDescent="0.2">
      <c r="C106" s="7" t="s">
        <v>2427</v>
      </c>
      <c r="D106" s="7" t="s">
        <v>2428</v>
      </c>
      <c r="E106" s="164" t="s">
        <v>1204</v>
      </c>
      <c r="F106" s="255" t="s">
        <v>2661</v>
      </c>
      <c r="G106" s="231">
        <f t="shared" si="11"/>
        <v>40479.96</v>
      </c>
      <c r="H106" s="207"/>
      <c r="I106" s="2" t="s">
        <v>2682</v>
      </c>
      <c r="J106" s="2"/>
      <c r="K106" s="2"/>
      <c r="L106" s="2"/>
      <c r="M106" s="3"/>
      <c r="N106" s="3"/>
      <c r="O106" s="24"/>
      <c r="P106" s="3"/>
      <c r="Q106" s="3"/>
      <c r="R106" s="24"/>
      <c r="S106" s="24"/>
      <c r="T106" s="3"/>
      <c r="U106" s="3"/>
      <c r="V106" s="3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>
        <f>G106</f>
        <v>40479.96</v>
      </c>
      <c r="AI106" s="3"/>
      <c r="AJ106" s="24"/>
      <c r="AK106" s="284"/>
      <c r="AL106" s="24"/>
      <c r="AM106" s="3"/>
      <c r="AN106" s="3"/>
      <c r="AO106" s="3"/>
      <c r="AP106" s="3"/>
      <c r="AQ106" s="3"/>
      <c r="AR106" s="3"/>
      <c r="AS106" s="24"/>
      <c r="AT106" s="24"/>
      <c r="AU106" s="24"/>
      <c r="AV106" s="24"/>
      <c r="AW106" s="24"/>
      <c r="AX106" s="24"/>
      <c r="AY106" s="3"/>
      <c r="AZ106" s="24"/>
      <c r="BA106" s="24"/>
      <c r="BB106" s="24"/>
      <c r="BC106" s="24"/>
      <c r="BD106" s="24"/>
      <c r="BE106" s="24"/>
      <c r="BF106" s="24"/>
      <c r="BG106" s="24"/>
      <c r="BH106" s="343"/>
      <c r="BI106" s="343"/>
      <c r="BJ106" s="24"/>
      <c r="BK106" s="3"/>
      <c r="BL106" s="3"/>
      <c r="BM106" s="24"/>
      <c r="BN106" s="3"/>
      <c r="BO106" s="3"/>
      <c r="BP106" s="3"/>
      <c r="BQ106" s="3"/>
      <c r="BR106" s="3"/>
      <c r="BS106" s="3"/>
      <c r="BT106" s="3"/>
      <c r="BU106" s="24"/>
      <c r="BV106" s="24"/>
      <c r="BW106" s="24"/>
      <c r="BX106" s="24"/>
      <c r="BY106" s="24"/>
      <c r="BZ106" s="3"/>
      <c r="CA106" s="3"/>
      <c r="CB106" s="24"/>
      <c r="CC106" s="24"/>
      <c r="CD106" s="24"/>
      <c r="CE106" s="24"/>
      <c r="CF106" s="24"/>
      <c r="CG106" s="24"/>
      <c r="CH106" s="24"/>
      <c r="CI106" s="3"/>
      <c r="CJ106" s="3"/>
      <c r="CK106" s="24"/>
      <c r="CL106" s="3"/>
      <c r="CM106" s="3"/>
      <c r="CN106" s="24"/>
      <c r="CO106" s="24"/>
      <c r="CP106" s="24"/>
      <c r="CQ106" s="24"/>
      <c r="CR106" s="24"/>
      <c r="CS106" s="3"/>
      <c r="CT106" s="3"/>
      <c r="CU106" s="3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3"/>
      <c r="DR106" s="24">
        <f t="shared" si="12"/>
        <v>40479.96</v>
      </c>
      <c r="DS106" s="3">
        <f t="shared" si="13"/>
        <v>0</v>
      </c>
      <c r="DU106" s="3">
        <v>40479.96</v>
      </c>
    </row>
    <row r="107" spans="1:125" x14ac:dyDescent="0.2">
      <c r="A107" s="251"/>
      <c r="C107" s="7" t="s">
        <v>2473</v>
      </c>
      <c r="D107" s="7" t="s">
        <v>2780</v>
      </c>
      <c r="E107" s="148" t="s">
        <v>2779</v>
      </c>
      <c r="F107" s="255" t="s">
        <v>2661</v>
      </c>
      <c r="G107" s="231">
        <f t="shared" si="11"/>
        <v>44702.01</v>
      </c>
      <c r="H107" s="207"/>
      <c r="I107" s="2" t="s">
        <v>2692</v>
      </c>
      <c r="J107" s="2"/>
      <c r="K107" s="2"/>
      <c r="L107" s="2"/>
      <c r="M107" s="3"/>
      <c r="N107" s="3"/>
      <c r="O107" s="24"/>
      <c r="P107" s="3"/>
      <c r="Q107" s="3"/>
      <c r="R107" s="24"/>
      <c r="S107" s="24"/>
      <c r="T107" s="3"/>
      <c r="U107" s="3"/>
      <c r="V107" s="3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3"/>
      <c r="AJ107" s="24"/>
      <c r="AK107" s="284"/>
      <c r="AL107" s="24"/>
      <c r="AM107" s="3"/>
      <c r="AN107" s="3"/>
      <c r="AO107" s="3"/>
      <c r="AP107" s="3"/>
      <c r="AQ107" s="3"/>
      <c r="AR107" s="3"/>
      <c r="AS107" s="24"/>
      <c r="AT107" s="24"/>
      <c r="AU107" s="24"/>
      <c r="AV107" s="24"/>
      <c r="AW107" s="24"/>
      <c r="AX107" s="24"/>
      <c r="AY107" s="3"/>
      <c r="AZ107" s="24"/>
      <c r="BA107" s="24"/>
      <c r="BB107" s="24"/>
      <c r="BC107" s="24"/>
      <c r="BD107" s="24"/>
      <c r="BE107" s="24"/>
      <c r="BF107" s="24"/>
      <c r="BG107" s="24"/>
      <c r="BH107" s="343"/>
      <c r="BI107" s="343"/>
      <c r="BJ107" s="24"/>
      <c r="BK107" s="3"/>
      <c r="BL107" s="3"/>
      <c r="BM107" s="24"/>
      <c r="BN107" s="3"/>
      <c r="BO107" s="3"/>
      <c r="BP107" s="3"/>
      <c r="BQ107" s="3"/>
      <c r="BR107" s="3"/>
      <c r="BS107" s="3"/>
      <c r="BT107" s="3"/>
      <c r="BU107" s="24">
        <f>+G107</f>
        <v>44702.01</v>
      </c>
      <c r="BV107" s="24"/>
      <c r="BW107" s="24"/>
      <c r="BX107" s="24"/>
      <c r="BY107" s="24"/>
      <c r="BZ107" s="3"/>
      <c r="CA107" s="3"/>
      <c r="CB107" s="24"/>
      <c r="CC107" s="24"/>
      <c r="CD107" s="24"/>
      <c r="CE107" s="24"/>
      <c r="CF107" s="24"/>
      <c r="CG107" s="24"/>
      <c r="CH107" s="24"/>
      <c r="CI107" s="3"/>
      <c r="CJ107" s="3"/>
      <c r="CK107" s="24"/>
      <c r="CL107" s="3"/>
      <c r="CM107" s="3"/>
      <c r="CN107" s="24"/>
      <c r="CO107" s="24"/>
      <c r="CP107" s="24"/>
      <c r="CQ107" s="24"/>
      <c r="CR107" s="24"/>
      <c r="CS107" s="3"/>
      <c r="CT107" s="3"/>
      <c r="CU107" s="3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3"/>
      <c r="DR107" s="24">
        <f t="shared" si="12"/>
        <v>44702.01</v>
      </c>
      <c r="DS107" s="3">
        <f t="shared" si="13"/>
        <v>0</v>
      </c>
      <c r="DU107" s="3">
        <v>44702.01</v>
      </c>
    </row>
    <row r="108" spans="1:125" x14ac:dyDescent="0.2">
      <c r="A108" s="251"/>
      <c r="C108" s="7" t="s">
        <v>2793</v>
      </c>
      <c r="D108" s="7" t="s">
        <v>2794</v>
      </c>
      <c r="E108" s="202" t="s">
        <v>2795</v>
      </c>
      <c r="F108" s="33" t="s">
        <v>2661</v>
      </c>
      <c r="G108" s="230">
        <f t="shared" si="11"/>
        <v>60720</v>
      </c>
      <c r="H108" s="207"/>
      <c r="I108" s="2" t="s">
        <v>2796</v>
      </c>
      <c r="J108" s="2"/>
      <c r="K108" s="2"/>
      <c r="L108" s="2"/>
      <c r="M108" s="3"/>
      <c r="N108" s="3"/>
      <c r="O108" s="24"/>
      <c r="P108" s="3"/>
      <c r="Q108" s="3">
        <f>G108</f>
        <v>60720</v>
      </c>
      <c r="R108" s="24"/>
      <c r="S108" s="24"/>
      <c r="T108" s="3"/>
      <c r="U108" s="3"/>
      <c r="V108" s="3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3"/>
      <c r="AJ108" s="24"/>
      <c r="AK108" s="284"/>
      <c r="AL108" s="24"/>
      <c r="AM108" s="3"/>
      <c r="AN108" s="3"/>
      <c r="AO108" s="3"/>
      <c r="AP108" s="3"/>
      <c r="AQ108" s="3"/>
      <c r="AR108" s="3"/>
      <c r="AS108" s="24"/>
      <c r="AT108" s="24"/>
      <c r="AU108" s="24"/>
      <c r="AV108" s="24"/>
      <c r="AW108" s="24"/>
      <c r="AX108" s="24"/>
      <c r="AY108" s="3"/>
      <c r="AZ108" s="24"/>
      <c r="BA108" s="24"/>
      <c r="BB108" s="24"/>
      <c r="BC108" s="24"/>
      <c r="BD108" s="24"/>
      <c r="BE108" s="24"/>
      <c r="BF108" s="24"/>
      <c r="BG108" s="24"/>
      <c r="BH108" s="343"/>
      <c r="BI108" s="343"/>
      <c r="BJ108" s="24"/>
      <c r="BK108" s="3"/>
      <c r="BL108" s="3"/>
      <c r="BM108" s="24"/>
      <c r="BN108" s="3"/>
      <c r="BO108" s="3"/>
      <c r="BP108" s="3"/>
      <c r="BQ108" s="3"/>
      <c r="BR108" s="3"/>
      <c r="BS108" s="3"/>
      <c r="BT108" s="3"/>
      <c r="BU108" s="24"/>
      <c r="BV108" s="24"/>
      <c r="BW108" s="24"/>
      <c r="BX108" s="24"/>
      <c r="BY108" s="24"/>
      <c r="BZ108" s="3"/>
      <c r="CA108" s="3"/>
      <c r="CB108" s="24"/>
      <c r="CC108" s="24"/>
      <c r="CD108" s="24"/>
      <c r="CE108" s="24"/>
      <c r="CF108" s="24"/>
      <c r="CG108" s="24"/>
      <c r="CH108" s="24"/>
      <c r="CI108" s="3"/>
      <c r="CJ108" s="3"/>
      <c r="CK108" s="24"/>
      <c r="CL108" s="3"/>
      <c r="CM108" s="3"/>
      <c r="CN108" s="24"/>
      <c r="CO108" s="24"/>
      <c r="CP108" s="24"/>
      <c r="CQ108" s="24"/>
      <c r="CR108" s="24"/>
      <c r="CS108" s="3"/>
      <c r="CT108" s="3"/>
      <c r="CU108" s="3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3"/>
      <c r="DR108" s="24">
        <f t="shared" si="12"/>
        <v>60720</v>
      </c>
      <c r="DS108" s="3">
        <f t="shared" si="13"/>
        <v>0</v>
      </c>
      <c r="DU108" s="3">
        <v>60720</v>
      </c>
    </row>
    <row r="109" spans="1:125" x14ac:dyDescent="0.2">
      <c r="A109" s="251"/>
      <c r="C109" s="7" t="s">
        <v>2431</v>
      </c>
      <c r="D109" s="7" t="s">
        <v>2432</v>
      </c>
      <c r="E109" s="203" t="s">
        <v>421</v>
      </c>
      <c r="F109" s="255" t="s">
        <v>2661</v>
      </c>
      <c r="G109" s="231">
        <f t="shared" si="11"/>
        <v>29000.639999999999</v>
      </c>
      <c r="H109" s="207"/>
      <c r="I109" s="3" t="s">
        <v>2681</v>
      </c>
      <c r="J109" s="3"/>
      <c r="K109" s="3"/>
      <c r="L109" s="3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>
        <f>G109</f>
        <v>29000.639999999999</v>
      </c>
      <c r="AG109" s="24"/>
      <c r="AH109" s="24"/>
      <c r="AI109" s="24"/>
      <c r="AJ109" s="24"/>
      <c r="AK109" s="28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343"/>
      <c r="BI109" s="343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>
        <f t="shared" si="12"/>
        <v>29000.639999999999</v>
      </c>
      <c r="DS109" s="3">
        <f t="shared" si="13"/>
        <v>0</v>
      </c>
      <c r="DU109" s="3">
        <v>28155.96</v>
      </c>
    </row>
    <row r="110" spans="1:125" x14ac:dyDescent="0.2">
      <c r="C110" s="7" t="s">
        <v>2483</v>
      </c>
      <c r="D110" s="7" t="s">
        <v>2484</v>
      </c>
      <c r="E110" s="203" t="s">
        <v>2201</v>
      </c>
      <c r="F110" s="33" t="s">
        <v>2661</v>
      </c>
      <c r="G110" s="231">
        <f t="shared" si="11"/>
        <v>27304.23</v>
      </c>
      <c r="H110" s="207"/>
      <c r="I110" s="2" t="s">
        <v>2689</v>
      </c>
      <c r="J110" s="2"/>
      <c r="K110" s="2"/>
      <c r="L110" s="2"/>
      <c r="M110" s="24"/>
      <c r="N110" s="3"/>
      <c r="O110" s="24"/>
      <c r="P110" s="3"/>
      <c r="Q110" s="3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3"/>
      <c r="AJ110" s="24"/>
      <c r="AK110" s="284"/>
      <c r="AL110" s="24"/>
      <c r="AM110" s="24"/>
      <c r="AN110" s="24"/>
      <c r="AO110" s="3"/>
      <c r="AP110" s="3"/>
      <c r="AQ110" s="3"/>
      <c r="AR110" s="3"/>
      <c r="AS110" s="24"/>
      <c r="AT110" s="24"/>
      <c r="AU110" s="24"/>
      <c r="AV110" s="24"/>
      <c r="AW110" s="24"/>
      <c r="AX110" s="24"/>
      <c r="AY110" s="3"/>
      <c r="AZ110" s="24"/>
      <c r="BA110" s="24"/>
      <c r="BB110" s="24"/>
      <c r="BC110" s="24"/>
      <c r="BD110" s="24"/>
      <c r="BE110" s="24"/>
      <c r="BF110" s="24"/>
      <c r="BG110" s="24"/>
      <c r="BH110" s="343"/>
      <c r="BI110" s="343"/>
      <c r="BJ110" s="24">
        <f>G110</f>
        <v>27304.23</v>
      </c>
      <c r="BK110" s="3"/>
      <c r="BL110" s="3"/>
      <c r="BM110" s="24"/>
      <c r="BN110" s="3"/>
      <c r="BO110" s="3"/>
      <c r="BP110" s="3"/>
      <c r="BQ110" s="3"/>
      <c r="BR110" s="3"/>
      <c r="BS110" s="24"/>
      <c r="BT110" s="24"/>
      <c r="BU110" s="24"/>
      <c r="BV110" s="24"/>
      <c r="BW110" s="24"/>
      <c r="BX110" s="24"/>
      <c r="BY110" s="24"/>
      <c r="BZ110" s="3"/>
      <c r="CA110" s="3"/>
      <c r="CB110" s="24"/>
      <c r="CC110" s="24"/>
      <c r="CD110" s="24"/>
      <c r="CE110" s="24"/>
      <c r="CF110" s="24"/>
      <c r="CG110" s="24"/>
      <c r="CH110" s="24"/>
      <c r="CI110" s="3"/>
      <c r="CJ110" s="3"/>
      <c r="CK110" s="24"/>
      <c r="CL110" s="24"/>
      <c r="CM110" s="24"/>
      <c r="CN110" s="24"/>
      <c r="CO110" s="24"/>
      <c r="CP110" s="24"/>
      <c r="CQ110" s="24"/>
      <c r="CR110" s="24"/>
      <c r="CS110" s="3"/>
      <c r="CT110" s="3"/>
      <c r="CU110" s="3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>
        <f t="shared" si="12"/>
        <v>27304.23</v>
      </c>
      <c r="DS110" s="3">
        <f t="shared" si="13"/>
        <v>0</v>
      </c>
      <c r="DU110" s="3">
        <v>26508.959999999999</v>
      </c>
    </row>
    <row r="111" spans="1:125" x14ac:dyDescent="0.2">
      <c r="C111" s="7" t="s">
        <v>2433</v>
      </c>
      <c r="D111" s="7" t="s">
        <v>2335</v>
      </c>
      <c r="E111" s="228" t="s">
        <v>1206</v>
      </c>
      <c r="F111" s="33" t="s">
        <v>2661</v>
      </c>
      <c r="G111" s="231">
        <f t="shared" si="11"/>
        <v>38496.120000000003</v>
      </c>
      <c r="H111" s="207"/>
      <c r="I111" s="3" t="s">
        <v>3083</v>
      </c>
      <c r="J111" s="3"/>
      <c r="K111" s="3"/>
      <c r="L111" s="3"/>
      <c r="M111" s="24"/>
      <c r="N111" s="3"/>
      <c r="O111" s="24"/>
      <c r="P111" s="3"/>
      <c r="Q111" s="3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84"/>
      <c r="AL111" s="24"/>
      <c r="AM111" s="24"/>
      <c r="AN111" s="24"/>
      <c r="AO111" s="3"/>
      <c r="AP111" s="3"/>
      <c r="AQ111" s="3"/>
      <c r="AR111" s="3"/>
      <c r="AS111" s="24"/>
      <c r="AT111" s="24"/>
      <c r="AU111" s="24"/>
      <c r="AV111" s="24"/>
      <c r="AW111" s="24"/>
      <c r="AX111" s="24"/>
      <c r="AY111" s="3"/>
      <c r="AZ111" s="24"/>
      <c r="BA111" s="24"/>
      <c r="BB111" s="24"/>
      <c r="BC111" s="24"/>
      <c r="BD111" s="24"/>
      <c r="BE111" s="24"/>
      <c r="BF111" s="24"/>
      <c r="BG111" s="24"/>
      <c r="BH111" s="343"/>
      <c r="BI111" s="343"/>
      <c r="BJ111" s="24"/>
      <c r="BK111" s="24"/>
      <c r="BL111" s="3"/>
      <c r="BM111" s="24"/>
      <c r="BN111" s="3"/>
      <c r="BO111" s="3"/>
      <c r="BP111" s="3"/>
      <c r="BQ111" s="3"/>
      <c r="BR111" s="3"/>
      <c r="BS111" s="24"/>
      <c r="BT111" s="24"/>
      <c r="BU111" s="24"/>
      <c r="BV111" s="24"/>
      <c r="BW111" s="24"/>
      <c r="BX111" s="24"/>
      <c r="BY111" s="24"/>
      <c r="BZ111" s="3"/>
      <c r="CA111" s="3"/>
      <c r="CB111" s="24"/>
      <c r="CC111" s="24"/>
      <c r="CD111" s="24"/>
      <c r="CE111" s="24"/>
      <c r="CF111" s="24"/>
      <c r="CG111" s="24"/>
      <c r="CH111" s="24"/>
      <c r="CI111" s="3"/>
      <c r="CJ111" s="3"/>
      <c r="CK111" s="24"/>
      <c r="CL111" s="24"/>
      <c r="CM111" s="24"/>
      <c r="CN111" s="24"/>
      <c r="CO111" s="24"/>
      <c r="CP111" s="24"/>
      <c r="CQ111" s="24"/>
      <c r="CR111" s="24"/>
      <c r="CS111" s="3"/>
      <c r="CT111" s="3"/>
      <c r="CU111" s="3"/>
      <c r="CV111" s="24"/>
      <c r="CW111" s="24">
        <f>G111</f>
        <v>38496.120000000003</v>
      </c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>
        <f t="shared" si="12"/>
        <v>38496.120000000003</v>
      </c>
      <c r="DS111" s="3">
        <f t="shared" si="13"/>
        <v>0</v>
      </c>
      <c r="DU111" s="3">
        <v>38496.120000000003</v>
      </c>
    </row>
    <row r="112" spans="1:125" x14ac:dyDescent="0.2">
      <c r="C112" s="7" t="s">
        <v>2434</v>
      </c>
      <c r="D112" s="7" t="s">
        <v>2435</v>
      </c>
      <c r="E112" s="205" t="s">
        <v>1892</v>
      </c>
      <c r="F112" s="33" t="s">
        <v>2661</v>
      </c>
      <c r="G112" s="231">
        <f t="shared" si="11"/>
        <v>42788.04</v>
      </c>
      <c r="H112" s="207"/>
      <c r="I112" s="2" t="s">
        <v>2678</v>
      </c>
      <c r="J112" s="2"/>
      <c r="K112" s="2"/>
      <c r="L112" s="2"/>
      <c r="M112" s="3"/>
      <c r="N112" s="3"/>
      <c r="O112" s="24"/>
      <c r="P112" s="3"/>
      <c r="Q112" s="3"/>
      <c r="R112" s="24"/>
      <c r="S112" s="24"/>
      <c r="T112" s="3"/>
      <c r="U112" s="3"/>
      <c r="V112" s="3"/>
      <c r="W112" s="24"/>
      <c r="X112" s="24">
        <f>G112</f>
        <v>42788.04</v>
      </c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3"/>
      <c r="AJ112" s="24"/>
      <c r="AK112" s="284"/>
      <c r="AL112" s="24"/>
      <c r="AM112" s="3"/>
      <c r="AN112" s="3"/>
      <c r="AO112" s="3"/>
      <c r="AP112" s="3"/>
      <c r="AQ112" s="3"/>
      <c r="AR112" s="3"/>
      <c r="AS112" s="24"/>
      <c r="AT112" s="24"/>
      <c r="AU112" s="24"/>
      <c r="AV112" s="24"/>
      <c r="AW112" s="24"/>
      <c r="AX112" s="24"/>
      <c r="AY112" s="3"/>
      <c r="AZ112" s="24"/>
      <c r="BA112" s="24"/>
      <c r="BB112" s="24"/>
      <c r="BC112" s="24"/>
      <c r="BD112" s="24"/>
      <c r="BE112" s="24"/>
      <c r="BF112" s="24"/>
      <c r="BG112" s="24"/>
      <c r="BH112" s="343"/>
      <c r="BI112" s="343"/>
      <c r="BJ112" s="24"/>
      <c r="BK112" s="3"/>
      <c r="BL112" s="3"/>
      <c r="BM112" s="24"/>
      <c r="BN112" s="3"/>
      <c r="BO112" s="3"/>
      <c r="BP112" s="3"/>
      <c r="BQ112" s="3"/>
      <c r="BR112" s="3"/>
      <c r="BS112" s="3"/>
      <c r="BT112" s="3"/>
      <c r="BU112" s="24"/>
      <c r="BV112" s="24"/>
      <c r="BW112" s="24"/>
      <c r="BX112" s="24"/>
      <c r="BY112" s="24"/>
      <c r="BZ112" s="3"/>
      <c r="CA112" s="3"/>
      <c r="CB112" s="24"/>
      <c r="CC112" s="24"/>
      <c r="CD112" s="24"/>
      <c r="CE112" s="24"/>
      <c r="CF112" s="24"/>
      <c r="CG112" s="24"/>
      <c r="CH112" s="24"/>
      <c r="CI112" s="3"/>
      <c r="CJ112" s="3"/>
      <c r="CK112" s="24"/>
      <c r="CL112" s="3"/>
      <c r="CM112" s="3"/>
      <c r="CN112" s="24"/>
      <c r="CO112" s="24"/>
      <c r="CP112" s="24"/>
      <c r="CQ112" s="24"/>
      <c r="CR112" s="24"/>
      <c r="CS112" s="3"/>
      <c r="CT112" s="3"/>
      <c r="CU112" s="3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3"/>
      <c r="DR112" s="24">
        <f t="shared" si="12"/>
        <v>42788.04</v>
      </c>
      <c r="DS112" s="3">
        <f t="shared" si="13"/>
        <v>0</v>
      </c>
      <c r="DU112" s="3">
        <v>42788.04</v>
      </c>
    </row>
    <row r="113" spans="1:125" x14ac:dyDescent="0.2">
      <c r="C113" s="7" t="s">
        <v>2436</v>
      </c>
      <c r="D113" s="7" t="s">
        <v>2435</v>
      </c>
      <c r="E113" s="202" t="s">
        <v>2014</v>
      </c>
      <c r="F113" s="33" t="s">
        <v>2661</v>
      </c>
      <c r="G113" s="231">
        <f t="shared" si="11"/>
        <v>48476.76</v>
      </c>
      <c r="H113" s="207"/>
      <c r="I113" s="2" t="s">
        <v>2797</v>
      </c>
      <c r="J113" s="2"/>
      <c r="K113" s="2"/>
      <c r="L113" s="2"/>
      <c r="M113" s="3"/>
      <c r="N113" s="3"/>
      <c r="O113" s="24"/>
      <c r="P113" s="3"/>
      <c r="Q113" s="3"/>
      <c r="R113" s="24"/>
      <c r="S113" s="24"/>
      <c r="T113" s="3"/>
      <c r="U113" s="3"/>
      <c r="V113" s="3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3"/>
      <c r="AJ113" s="24"/>
      <c r="AK113" s="284"/>
      <c r="AL113" s="24"/>
      <c r="AM113" s="3"/>
      <c r="AN113" s="3"/>
      <c r="AO113" s="3"/>
      <c r="AP113" s="3"/>
      <c r="AQ113" s="3"/>
      <c r="AR113" s="3"/>
      <c r="AS113" s="24"/>
      <c r="AT113" s="24"/>
      <c r="AU113" s="24"/>
      <c r="AV113" s="24"/>
      <c r="AW113" s="24"/>
      <c r="AX113" s="24"/>
      <c r="AY113" s="3"/>
      <c r="AZ113" s="24"/>
      <c r="BA113" s="24"/>
      <c r="BB113" s="24"/>
      <c r="BC113" s="24"/>
      <c r="BD113" s="24"/>
      <c r="BE113" s="24"/>
      <c r="BF113" s="24"/>
      <c r="BG113" s="24"/>
      <c r="BH113" s="343"/>
      <c r="BI113" s="343"/>
      <c r="BJ113" s="24"/>
      <c r="BK113" s="3">
        <f>+G113</f>
        <v>48476.76</v>
      </c>
      <c r="BL113" s="3"/>
      <c r="BM113" s="24"/>
      <c r="BN113" s="3"/>
      <c r="BO113" s="3"/>
      <c r="BP113" s="3"/>
      <c r="BQ113" s="3"/>
      <c r="BR113" s="3"/>
      <c r="BS113" s="3"/>
      <c r="BT113" s="3"/>
      <c r="BU113" s="24"/>
      <c r="BV113" s="24"/>
      <c r="BW113" s="24"/>
      <c r="BX113" s="24"/>
      <c r="BY113" s="24"/>
      <c r="BZ113" s="3"/>
      <c r="CA113" s="3"/>
      <c r="CB113" s="24"/>
      <c r="CC113" s="24"/>
      <c r="CD113" s="24"/>
      <c r="CE113" s="24"/>
      <c r="CF113" s="24"/>
      <c r="CG113" s="24"/>
      <c r="CH113" s="24"/>
      <c r="CI113" s="3"/>
      <c r="CJ113" s="3"/>
      <c r="CK113" s="24"/>
      <c r="CL113" s="3"/>
      <c r="CM113" s="3"/>
      <c r="CN113" s="24"/>
      <c r="CO113" s="24"/>
      <c r="CP113" s="24"/>
      <c r="CQ113" s="24">
        <f>+G113-BK113</f>
        <v>0</v>
      </c>
      <c r="CR113" s="24"/>
      <c r="CS113" s="3"/>
      <c r="CT113" s="3"/>
      <c r="CU113" s="3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3"/>
      <c r="DR113" s="24">
        <f t="shared" si="12"/>
        <v>48476.76</v>
      </c>
      <c r="DS113" s="3">
        <f t="shared" si="13"/>
        <v>0</v>
      </c>
      <c r="DU113" s="3">
        <v>48476.76</v>
      </c>
    </row>
    <row r="114" spans="1:125" x14ac:dyDescent="0.2">
      <c r="C114" s="7" t="s">
        <v>2437</v>
      </c>
      <c r="D114" s="7" t="s">
        <v>2438</v>
      </c>
      <c r="E114" s="203" t="s">
        <v>1208</v>
      </c>
      <c r="F114" s="33" t="s">
        <v>2661</v>
      </c>
      <c r="G114" s="231">
        <f t="shared" si="11"/>
        <v>28789.53</v>
      </c>
      <c r="H114" s="207"/>
      <c r="I114" s="2" t="s">
        <v>2697</v>
      </c>
      <c r="J114" s="2"/>
      <c r="K114" s="2"/>
      <c r="L114" s="2"/>
      <c r="M114" s="3"/>
      <c r="N114" s="3"/>
      <c r="O114" s="24"/>
      <c r="P114" s="3"/>
      <c r="Q114" s="3"/>
      <c r="R114" s="24"/>
      <c r="S114" s="24"/>
      <c r="T114" s="3"/>
      <c r="U114" s="3"/>
      <c r="V114" s="3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3"/>
      <c r="AJ114" s="24"/>
      <c r="AK114" s="284"/>
      <c r="AL114" s="24"/>
      <c r="AM114" s="3"/>
      <c r="AN114" s="3"/>
      <c r="AO114" s="3"/>
      <c r="AP114" s="3"/>
      <c r="AQ114" s="3"/>
      <c r="AR114" s="3"/>
      <c r="AS114" s="24"/>
      <c r="AT114" s="24"/>
      <c r="AU114" s="24"/>
      <c r="AV114" s="24"/>
      <c r="AW114" s="24"/>
      <c r="AX114" s="24"/>
      <c r="AY114" s="3"/>
      <c r="AZ114" s="24"/>
      <c r="BA114" s="24"/>
      <c r="BB114" s="24"/>
      <c r="BC114" s="24"/>
      <c r="BD114" s="24"/>
      <c r="BE114" s="3"/>
      <c r="BF114" s="24"/>
      <c r="BG114" s="24"/>
      <c r="BH114" s="343"/>
      <c r="BI114" s="343"/>
      <c r="BJ114" s="24"/>
      <c r="BK114" s="3"/>
      <c r="BL114" s="3"/>
      <c r="BM114" s="3"/>
      <c r="BN114" s="3"/>
      <c r="BO114" s="3"/>
      <c r="BP114" s="3"/>
      <c r="BQ114" s="3"/>
      <c r="BR114" s="3"/>
      <c r="BS114" s="24"/>
      <c r="BT114" s="3"/>
      <c r="BU114" s="24"/>
      <c r="BV114" s="24"/>
      <c r="BW114" s="24"/>
      <c r="BX114" s="24"/>
      <c r="BY114" s="24"/>
      <c r="BZ114" s="3"/>
      <c r="CA114" s="3"/>
      <c r="CB114" s="24"/>
      <c r="CC114" s="24"/>
      <c r="CD114" s="24"/>
      <c r="CE114" s="24"/>
      <c r="CF114" s="24"/>
      <c r="CG114" s="24"/>
      <c r="CH114" s="24"/>
      <c r="CI114" s="24">
        <f>G114</f>
        <v>28789.53</v>
      </c>
      <c r="CJ114" s="3"/>
      <c r="CK114" s="24"/>
      <c r="CL114" s="3"/>
      <c r="CM114" s="3"/>
      <c r="CN114" s="24"/>
      <c r="CO114" s="24"/>
      <c r="CP114" s="24"/>
      <c r="CQ114" s="24"/>
      <c r="CR114" s="24"/>
      <c r="CS114" s="3"/>
      <c r="CT114" s="3"/>
      <c r="CU114" s="3"/>
      <c r="CV114" s="24"/>
      <c r="CW114" s="24"/>
      <c r="CX114" s="24"/>
      <c r="CY114" s="24"/>
      <c r="CZ114" s="3"/>
      <c r="DA114" s="3"/>
      <c r="DB114" s="3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3"/>
      <c r="DR114" s="24">
        <f t="shared" si="12"/>
        <v>28789.53</v>
      </c>
      <c r="DS114" s="3">
        <f t="shared" si="13"/>
        <v>0</v>
      </c>
      <c r="DU114" s="3">
        <v>27951</v>
      </c>
    </row>
    <row r="115" spans="1:125" x14ac:dyDescent="0.2">
      <c r="A115" s="251"/>
      <c r="C115" s="7" t="s">
        <v>2283</v>
      </c>
      <c r="D115" s="7" t="s">
        <v>2439</v>
      </c>
      <c r="E115" s="203" t="s">
        <v>1209</v>
      </c>
      <c r="F115" s="255" t="s">
        <v>2661</v>
      </c>
      <c r="G115" s="231">
        <f t="shared" si="11"/>
        <v>41573.64</v>
      </c>
      <c r="H115" s="207"/>
      <c r="I115" s="3" t="s">
        <v>2688</v>
      </c>
      <c r="J115" s="3"/>
      <c r="K115" s="3"/>
      <c r="L115" s="3"/>
      <c r="M115" s="24"/>
      <c r="N115" s="3"/>
      <c r="O115" s="24"/>
      <c r="P115" s="3"/>
      <c r="Q115" s="3"/>
      <c r="R115" s="24"/>
      <c r="S115" s="24"/>
      <c r="T115" s="3"/>
      <c r="U115" s="3"/>
      <c r="V115" s="3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3"/>
      <c r="AJ115" s="3" t="s">
        <v>342</v>
      </c>
      <c r="AK115" s="283"/>
      <c r="AL115" s="24"/>
      <c r="AM115" s="24"/>
      <c r="AN115" s="24"/>
      <c r="AO115" s="3"/>
      <c r="AP115" s="3"/>
      <c r="AQ115" s="3"/>
      <c r="AR115" s="3"/>
      <c r="AS115" s="24"/>
      <c r="AT115" s="24"/>
      <c r="AU115" s="24"/>
      <c r="AV115" s="24"/>
      <c r="AW115" s="24"/>
      <c r="AX115" s="24"/>
      <c r="AY115" s="3">
        <f>+G115</f>
        <v>41573.64</v>
      </c>
      <c r="AZ115" s="24"/>
      <c r="BA115" s="24"/>
      <c r="BB115" s="24"/>
      <c r="BC115" s="24"/>
      <c r="BD115" s="24"/>
      <c r="BE115" s="24"/>
      <c r="BF115" s="24"/>
      <c r="BG115" s="24"/>
      <c r="BH115" s="343"/>
      <c r="BI115" s="343"/>
      <c r="BJ115" s="24"/>
      <c r="BK115" s="3"/>
      <c r="BL115" s="3"/>
      <c r="BM115" s="24"/>
      <c r="BN115" s="3"/>
      <c r="BO115" s="3"/>
      <c r="BP115" s="3"/>
      <c r="BQ115" s="3"/>
      <c r="BR115" s="3"/>
      <c r="BS115" s="3"/>
      <c r="BT115" s="3"/>
      <c r="BU115" s="24"/>
      <c r="BV115" s="24"/>
      <c r="BW115" s="24"/>
      <c r="BX115" s="24"/>
      <c r="BY115" s="24"/>
      <c r="BZ115" s="3"/>
      <c r="CA115" s="3"/>
      <c r="CB115" s="24"/>
      <c r="CC115" s="24"/>
      <c r="CD115" s="24"/>
      <c r="CE115" s="24"/>
      <c r="CF115" s="24"/>
      <c r="CG115" s="24"/>
      <c r="CH115" s="24"/>
      <c r="CI115" s="3"/>
      <c r="CJ115" s="3"/>
      <c r="CK115" s="24"/>
      <c r="CL115" s="24"/>
      <c r="CM115" s="24"/>
      <c r="CN115" s="24"/>
      <c r="CO115" s="24"/>
      <c r="CP115" s="24"/>
      <c r="CQ115" s="24"/>
      <c r="CR115" s="24"/>
      <c r="CS115" s="3"/>
      <c r="CT115" s="3"/>
      <c r="CU115" s="3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>
        <f t="shared" si="12"/>
        <v>41573.64</v>
      </c>
      <c r="DS115" s="3">
        <f t="shared" si="13"/>
        <v>0</v>
      </c>
      <c r="DU115" s="3">
        <v>41573.64</v>
      </c>
    </row>
    <row r="116" spans="1:125" x14ac:dyDescent="0.2">
      <c r="A116" s="251"/>
      <c r="C116" s="7" t="s">
        <v>2426</v>
      </c>
      <c r="D116" s="7" t="s">
        <v>3030</v>
      </c>
      <c r="E116" s="338" t="s">
        <v>3031</v>
      </c>
      <c r="F116" s="255" t="s">
        <v>2661</v>
      </c>
      <c r="G116" s="231">
        <f t="shared" si="11"/>
        <v>24650.95</v>
      </c>
      <c r="H116" s="207"/>
      <c r="I116" s="342" t="s">
        <v>2952</v>
      </c>
      <c r="J116" s="2"/>
      <c r="K116" s="2"/>
      <c r="L116" s="2"/>
      <c r="M116" s="3"/>
      <c r="N116" s="3"/>
      <c r="O116" s="24"/>
      <c r="P116" s="3"/>
      <c r="Q116" s="3"/>
      <c r="R116" s="24"/>
      <c r="S116" s="24"/>
      <c r="T116" s="3"/>
      <c r="U116" s="3"/>
      <c r="V116" s="3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3"/>
      <c r="AJ116" s="24"/>
      <c r="AK116" s="284"/>
      <c r="AL116" s="24"/>
      <c r="AM116" s="3"/>
      <c r="AN116" s="3"/>
      <c r="AO116" s="3"/>
      <c r="AP116" s="3"/>
      <c r="AQ116" s="3"/>
      <c r="AR116" s="3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343"/>
      <c r="BI116" s="343"/>
      <c r="BJ116" s="24"/>
      <c r="BK116" s="3"/>
      <c r="BL116" s="24">
        <f>G116</f>
        <v>24650.95</v>
      </c>
      <c r="BM116" s="24"/>
      <c r="BN116" s="3"/>
      <c r="BO116" s="3"/>
      <c r="BP116" s="3"/>
      <c r="BQ116" s="3"/>
      <c r="BR116" s="3"/>
      <c r="BS116" s="3"/>
      <c r="BT116" s="3"/>
      <c r="BU116" s="24"/>
      <c r="BV116" s="24"/>
      <c r="BW116" s="24"/>
      <c r="BX116" s="24"/>
      <c r="BY116" s="24"/>
      <c r="BZ116" s="3"/>
      <c r="CA116" s="3"/>
      <c r="CB116" s="24"/>
      <c r="CC116" s="24"/>
      <c r="CD116" s="24"/>
      <c r="CE116" s="24"/>
      <c r="CF116" s="24"/>
      <c r="CG116" s="24"/>
      <c r="CH116" s="24"/>
      <c r="CI116" s="3"/>
      <c r="CJ116" s="3"/>
      <c r="CK116" s="24"/>
      <c r="CL116" s="3"/>
      <c r="CM116" s="3"/>
      <c r="CN116" s="24"/>
      <c r="CO116" s="24"/>
      <c r="CP116" s="24"/>
      <c r="CQ116" s="24"/>
      <c r="CR116" s="24"/>
      <c r="CS116" s="3"/>
      <c r="CT116" s="3"/>
      <c r="CU116" s="3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3"/>
      <c r="DR116" s="24">
        <f t="shared" ref="DR116" si="14">SUM(M116:DQ116)</f>
        <v>24650.95</v>
      </c>
      <c r="DS116" s="3">
        <f t="shared" si="13"/>
        <v>0</v>
      </c>
      <c r="DU116" s="3">
        <v>23932.959999999999</v>
      </c>
    </row>
    <row r="117" spans="1:125" x14ac:dyDescent="0.2">
      <c r="C117" s="7" t="s">
        <v>2383</v>
      </c>
      <c r="D117" s="7" t="s">
        <v>2990</v>
      </c>
      <c r="E117" s="221" t="s">
        <v>2991</v>
      </c>
      <c r="F117" s="33" t="s">
        <v>2661</v>
      </c>
      <c r="G117" s="231">
        <f t="shared" si="11"/>
        <v>43290.48</v>
      </c>
      <c r="H117" s="207"/>
      <c r="I117" s="3" t="s">
        <v>2698</v>
      </c>
      <c r="J117" s="3"/>
      <c r="K117" s="3"/>
      <c r="L117" s="3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8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343"/>
      <c r="BI117" s="343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>
        <f>G117</f>
        <v>43290.48</v>
      </c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>
        <f t="shared" si="12"/>
        <v>43290.48</v>
      </c>
      <c r="DS117" s="3">
        <f t="shared" si="13"/>
        <v>0</v>
      </c>
      <c r="DU117" s="3">
        <v>43290.48</v>
      </c>
    </row>
    <row r="118" spans="1:125" x14ac:dyDescent="0.2">
      <c r="A118" s="251"/>
      <c r="C118" s="7" t="s">
        <v>2787</v>
      </c>
      <c r="D118" s="7" t="s">
        <v>2578</v>
      </c>
      <c r="E118" s="203" t="s">
        <v>2762</v>
      </c>
      <c r="F118" s="33" t="s">
        <v>2658</v>
      </c>
      <c r="G118" s="231">
        <f t="shared" si="11"/>
        <v>24440.91</v>
      </c>
      <c r="H118" s="207"/>
      <c r="I118" s="342" t="s">
        <v>2952</v>
      </c>
      <c r="J118" s="3"/>
      <c r="K118" s="3"/>
      <c r="L118" s="3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8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343"/>
      <c r="BI118" s="343"/>
      <c r="BJ118" s="24"/>
      <c r="BK118" s="24"/>
      <c r="BL118" s="24">
        <f>G118</f>
        <v>24440.91</v>
      </c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>
        <f t="shared" si="12"/>
        <v>24440.91</v>
      </c>
      <c r="DS118" s="3">
        <f t="shared" si="13"/>
        <v>0</v>
      </c>
      <c r="DU118" s="3">
        <v>23729.040000000001</v>
      </c>
    </row>
    <row r="119" spans="1:125" x14ac:dyDescent="0.2">
      <c r="A119" s="251"/>
      <c r="C119" s="7" t="s">
        <v>2504</v>
      </c>
      <c r="D119" s="7" t="s">
        <v>2323</v>
      </c>
      <c r="E119" s="203" t="s">
        <v>2041</v>
      </c>
      <c r="F119" s="255" t="s">
        <v>2658</v>
      </c>
      <c r="G119" s="231">
        <f t="shared" si="11"/>
        <v>25749.96</v>
      </c>
      <c r="H119" s="207"/>
      <c r="I119" s="2" t="s">
        <v>3077</v>
      </c>
      <c r="J119" s="2"/>
      <c r="K119" s="2"/>
      <c r="L119" s="2"/>
      <c r="M119" s="3"/>
      <c r="N119" s="3"/>
      <c r="O119" s="24"/>
      <c r="P119" s="3"/>
      <c r="Q119" s="3"/>
      <c r="R119" s="24"/>
      <c r="S119" s="24"/>
      <c r="T119" s="3"/>
      <c r="U119" s="3"/>
      <c r="V119" s="3"/>
      <c r="W119" s="24"/>
      <c r="X119" s="24"/>
      <c r="Y119" s="24"/>
      <c r="Z119" s="24"/>
      <c r="AA119" s="24"/>
      <c r="AB119" s="24"/>
      <c r="AC119" s="24"/>
      <c r="AD119" s="24"/>
      <c r="AE119" s="24"/>
      <c r="AF119" s="3"/>
      <c r="AG119" s="3"/>
      <c r="AH119" s="24"/>
      <c r="AI119" s="3"/>
      <c r="AJ119" s="24"/>
      <c r="AK119" s="287"/>
      <c r="AL119" s="24"/>
      <c r="AM119" s="3"/>
      <c r="AN119" s="3"/>
      <c r="AO119" s="3"/>
      <c r="AP119" s="3"/>
      <c r="AQ119" s="3"/>
      <c r="AR119" s="3"/>
      <c r="AS119" s="24"/>
      <c r="AT119" s="24"/>
      <c r="AU119" s="24"/>
      <c r="AV119" s="24"/>
      <c r="AW119" s="24">
        <f>+G119</f>
        <v>25749.96</v>
      </c>
      <c r="AX119" s="24"/>
      <c r="AY119" s="3"/>
      <c r="AZ119" s="24"/>
      <c r="BA119" s="24"/>
      <c r="BB119" s="24"/>
      <c r="BC119" s="24"/>
      <c r="BD119" s="24"/>
      <c r="BE119" s="24"/>
      <c r="BF119" s="24"/>
      <c r="BG119" s="24"/>
      <c r="BH119" s="343"/>
      <c r="BI119" s="343"/>
      <c r="BJ119" s="24"/>
      <c r="BK119" s="3"/>
      <c r="BL119" s="3"/>
      <c r="BM119" s="24"/>
      <c r="BN119" s="3"/>
      <c r="BO119" s="3"/>
      <c r="BP119" s="3"/>
      <c r="BQ119" s="3"/>
      <c r="BR119" s="3"/>
      <c r="BS119" s="3"/>
      <c r="BT119" s="3"/>
      <c r="BU119" s="24"/>
      <c r="BV119" s="24"/>
      <c r="BW119" s="24"/>
      <c r="BX119" s="24"/>
      <c r="BY119" s="24"/>
      <c r="BZ119" s="3"/>
      <c r="CA119" s="3"/>
      <c r="CB119" s="24"/>
      <c r="CC119" s="24"/>
      <c r="CD119" s="24"/>
      <c r="CE119" s="24"/>
      <c r="CF119" s="24"/>
      <c r="CG119" s="24"/>
      <c r="CH119" s="24"/>
      <c r="CI119" s="3"/>
      <c r="CJ119" s="3"/>
      <c r="CK119" s="24"/>
      <c r="CL119" s="3"/>
      <c r="CM119" s="3"/>
      <c r="CN119" s="24"/>
      <c r="CO119" s="24"/>
      <c r="CP119" s="24"/>
      <c r="CQ119" s="24"/>
      <c r="CR119" s="24"/>
      <c r="CS119" s="3"/>
      <c r="CT119" s="3"/>
      <c r="CU119" s="3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3"/>
      <c r="DR119" s="24">
        <f t="shared" si="12"/>
        <v>25749.96</v>
      </c>
      <c r="DS119" s="3">
        <f t="shared" si="13"/>
        <v>0</v>
      </c>
      <c r="DU119" s="3">
        <v>24999.96</v>
      </c>
    </row>
    <row r="120" spans="1:125" x14ac:dyDescent="0.2">
      <c r="C120" s="7" t="s">
        <v>2322</v>
      </c>
      <c r="D120" s="7" t="s">
        <v>2323</v>
      </c>
      <c r="E120" s="156" t="s">
        <v>2773</v>
      </c>
      <c r="F120" s="33" t="s">
        <v>2661</v>
      </c>
      <c r="G120" s="231">
        <f t="shared" si="11"/>
        <v>40947.480000000003</v>
      </c>
      <c r="H120" s="207"/>
      <c r="I120" s="2" t="s">
        <v>2679</v>
      </c>
      <c r="J120" s="2"/>
      <c r="K120" s="2"/>
      <c r="L120" s="2"/>
      <c r="M120" s="24"/>
      <c r="N120" s="3"/>
      <c r="O120" s="24"/>
      <c r="P120" s="3"/>
      <c r="Q120" s="3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>
        <f>G120</f>
        <v>40947.480000000003</v>
      </c>
      <c r="AD120" s="24"/>
      <c r="AE120" s="24"/>
      <c r="AF120" s="24"/>
      <c r="AG120" s="24"/>
      <c r="AH120" s="24"/>
      <c r="AI120" s="3"/>
      <c r="AJ120" s="24"/>
      <c r="AK120" s="284"/>
      <c r="AL120" s="24"/>
      <c r="AM120" s="24"/>
      <c r="AN120" s="24"/>
      <c r="AO120" s="3"/>
      <c r="AP120" s="3"/>
      <c r="AQ120" s="3"/>
      <c r="AR120" s="3"/>
      <c r="AS120" s="24"/>
      <c r="AT120" s="24"/>
      <c r="AU120" s="24"/>
      <c r="AV120" s="24"/>
      <c r="AW120" s="24"/>
      <c r="AX120" s="24"/>
      <c r="AY120" s="3"/>
      <c r="AZ120" s="24"/>
      <c r="BA120" s="24"/>
      <c r="BB120" s="24"/>
      <c r="BC120" s="24"/>
      <c r="BD120" s="24"/>
      <c r="BE120" s="24"/>
      <c r="BF120" s="24"/>
      <c r="BG120" s="24"/>
      <c r="BH120" s="343"/>
      <c r="BI120" s="343"/>
      <c r="BJ120" s="24"/>
      <c r="BK120" s="3"/>
      <c r="BL120" s="3"/>
      <c r="BM120" s="24"/>
      <c r="BN120" s="3"/>
      <c r="BO120" s="3"/>
      <c r="BP120" s="3"/>
      <c r="BQ120" s="3"/>
      <c r="BR120" s="3"/>
      <c r="BS120" s="24"/>
      <c r="BT120" s="24"/>
      <c r="BU120" s="24"/>
      <c r="BV120" s="24"/>
      <c r="BW120" s="24"/>
      <c r="BX120" s="24"/>
      <c r="BY120" s="24"/>
      <c r="BZ120" s="3"/>
      <c r="CA120" s="3"/>
      <c r="CB120" s="24"/>
      <c r="CC120" s="24"/>
      <c r="CD120" s="24"/>
      <c r="CE120" s="24"/>
      <c r="CF120" s="24"/>
      <c r="CG120" s="24"/>
      <c r="CH120" s="24"/>
      <c r="CI120" s="3"/>
      <c r="CJ120" s="3"/>
      <c r="CK120" s="24"/>
      <c r="CL120" s="24"/>
      <c r="CM120" s="24"/>
      <c r="CN120" s="24"/>
      <c r="CO120" s="24"/>
      <c r="CP120" s="24"/>
      <c r="CQ120" s="24"/>
      <c r="CR120" s="24"/>
      <c r="CS120" s="3"/>
      <c r="CT120" s="3"/>
      <c r="CU120" s="3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>
        <f t="shared" si="12"/>
        <v>40947.480000000003</v>
      </c>
      <c r="DS120" s="3">
        <f t="shared" si="13"/>
        <v>0</v>
      </c>
      <c r="DU120" s="3">
        <v>40947.480000000003</v>
      </c>
    </row>
    <row r="121" spans="1:125" x14ac:dyDescent="0.2">
      <c r="C121" s="7" t="s">
        <v>2331</v>
      </c>
      <c r="D121" s="7" t="s">
        <v>2367</v>
      </c>
      <c r="E121" s="202" t="s">
        <v>1267</v>
      </c>
      <c r="F121" s="33" t="s">
        <v>2661</v>
      </c>
      <c r="G121" s="231">
        <f t="shared" si="11"/>
        <v>56041.32</v>
      </c>
      <c r="H121" s="207"/>
      <c r="I121" s="2" t="s">
        <v>2771</v>
      </c>
      <c r="J121" s="2" t="s">
        <v>2677</v>
      </c>
      <c r="M121" s="3"/>
      <c r="N121" s="3"/>
      <c r="O121" s="24"/>
      <c r="P121" s="3"/>
      <c r="Q121" s="3"/>
      <c r="R121" s="24"/>
      <c r="S121" s="24"/>
      <c r="T121" s="3"/>
      <c r="U121" s="3"/>
      <c r="V121" s="3">
        <f>+G121*0.1</f>
        <v>5604.13</v>
      </c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3"/>
      <c r="AJ121" s="24"/>
      <c r="AK121" s="284"/>
      <c r="AL121" s="24"/>
      <c r="AM121" s="3"/>
      <c r="AN121" s="3"/>
      <c r="AO121" s="3"/>
      <c r="AP121" s="3"/>
      <c r="AQ121" s="3"/>
      <c r="AR121" s="3"/>
      <c r="AS121" s="24"/>
      <c r="AT121" s="24"/>
      <c r="AU121" s="24"/>
      <c r="AV121" s="24"/>
      <c r="AW121" s="24"/>
      <c r="AX121" s="24"/>
      <c r="AY121" s="3"/>
      <c r="AZ121" s="24"/>
      <c r="BA121" s="24"/>
      <c r="BB121" s="24"/>
      <c r="BC121" s="24"/>
      <c r="BD121" s="24"/>
      <c r="BE121" s="24"/>
      <c r="BF121" s="24"/>
      <c r="BG121" s="24"/>
      <c r="BH121" s="343"/>
      <c r="BI121" s="343"/>
      <c r="BJ121" s="24"/>
      <c r="BK121" s="3"/>
      <c r="BL121" s="3"/>
      <c r="BM121" s="24"/>
      <c r="BN121" s="3"/>
      <c r="BO121" s="3"/>
      <c r="BP121" s="3"/>
      <c r="BQ121" s="3"/>
      <c r="BR121" s="3"/>
      <c r="BS121" s="3"/>
      <c r="BT121" s="3"/>
      <c r="BU121" s="24"/>
      <c r="BV121" s="24"/>
      <c r="BW121" s="24"/>
      <c r="BX121" s="24"/>
      <c r="BY121" s="24"/>
      <c r="BZ121" s="3"/>
      <c r="CA121" s="3"/>
      <c r="CB121" s="24"/>
      <c r="CC121" s="24"/>
      <c r="CD121" s="24"/>
      <c r="CE121" s="24"/>
      <c r="CF121" s="24"/>
      <c r="CG121" s="24"/>
      <c r="CH121" s="24"/>
      <c r="CI121" s="3"/>
      <c r="CJ121" s="3"/>
      <c r="CK121" s="24"/>
      <c r="CL121" s="3">
        <f>G121*0.9</f>
        <v>50437.19</v>
      </c>
      <c r="CM121" s="3"/>
      <c r="CN121" s="24"/>
      <c r="CO121" s="24"/>
      <c r="CP121" s="24"/>
      <c r="CQ121" s="24"/>
      <c r="CR121" s="24"/>
      <c r="CS121" s="3"/>
      <c r="CT121" s="3"/>
      <c r="CU121" s="3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3"/>
      <c r="DR121" s="24">
        <f t="shared" si="12"/>
        <v>56041.32</v>
      </c>
      <c r="DS121" s="3">
        <f t="shared" si="13"/>
        <v>0</v>
      </c>
      <c r="DU121" s="3">
        <v>56041.32</v>
      </c>
    </row>
    <row r="122" spans="1:125" x14ac:dyDescent="0.2">
      <c r="C122" s="7" t="s">
        <v>2383</v>
      </c>
      <c r="D122" s="7" t="s">
        <v>2367</v>
      </c>
      <c r="E122" s="202" t="s">
        <v>2541</v>
      </c>
      <c r="F122" s="33" t="s">
        <v>2661</v>
      </c>
      <c r="G122" s="231">
        <f t="shared" si="11"/>
        <v>42815.76</v>
      </c>
      <c r="H122" s="207"/>
      <c r="I122" s="3" t="s">
        <v>2700</v>
      </c>
      <c r="J122" s="2"/>
      <c r="K122" s="3"/>
      <c r="L122" s="3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8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343"/>
      <c r="BI122" s="343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3"/>
      <c r="BW122" s="24"/>
      <c r="BX122" s="24"/>
      <c r="BY122" s="24"/>
      <c r="BZ122" s="24"/>
      <c r="CA122" s="3"/>
      <c r="CB122" s="24"/>
      <c r="CC122" s="24"/>
      <c r="CD122" s="3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>
        <f>+G122</f>
        <v>42815.76</v>
      </c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>
        <f t="shared" si="12"/>
        <v>42815.76</v>
      </c>
      <c r="DS122" s="3">
        <f t="shared" si="13"/>
        <v>0</v>
      </c>
      <c r="DU122" s="3">
        <v>42815.76</v>
      </c>
    </row>
    <row r="123" spans="1:125" x14ac:dyDescent="0.2">
      <c r="C123" s="7" t="s">
        <v>2440</v>
      </c>
      <c r="D123" s="7" t="s">
        <v>2441</v>
      </c>
      <c r="E123" s="149" t="s">
        <v>2414</v>
      </c>
      <c r="F123" s="33" t="s">
        <v>2658</v>
      </c>
      <c r="G123" s="231">
        <f t="shared" si="11"/>
        <v>54123</v>
      </c>
      <c r="H123" s="207"/>
      <c r="I123" s="2" t="s">
        <v>2687</v>
      </c>
      <c r="J123" s="2" t="s">
        <v>2797</v>
      </c>
      <c r="K123" s="3"/>
      <c r="L123" s="3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8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>
        <f>+G123*0.6</f>
        <v>32473.8</v>
      </c>
      <c r="BA123" s="24"/>
      <c r="BB123" s="24"/>
      <c r="BC123" s="24"/>
      <c r="BD123" s="24"/>
      <c r="BE123" s="24"/>
      <c r="BF123" s="24"/>
      <c r="BG123" s="24"/>
      <c r="BH123" s="343"/>
      <c r="BI123" s="343"/>
      <c r="BJ123" s="24"/>
      <c r="BK123" s="24">
        <f>+G123*0.4</f>
        <v>21649.200000000001</v>
      </c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3"/>
      <c r="BW123" s="24"/>
      <c r="BX123" s="24"/>
      <c r="BY123" s="24"/>
      <c r="BZ123" s="24"/>
      <c r="CA123" s="3"/>
      <c r="CB123" s="24"/>
      <c r="CC123" s="24"/>
      <c r="CD123" s="3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>
        <f t="shared" si="12"/>
        <v>54123</v>
      </c>
      <c r="DS123" s="3">
        <f t="shared" si="13"/>
        <v>0</v>
      </c>
      <c r="DU123" s="3">
        <v>54123</v>
      </c>
    </row>
    <row r="124" spans="1:125" x14ac:dyDescent="0.2">
      <c r="A124" s="251"/>
      <c r="C124" s="7" t="s">
        <v>2359</v>
      </c>
      <c r="D124" s="7" t="s">
        <v>2442</v>
      </c>
      <c r="E124" s="202" t="s">
        <v>1347</v>
      </c>
      <c r="F124" s="255" t="s">
        <v>2661</v>
      </c>
      <c r="G124" s="231">
        <f t="shared" si="11"/>
        <v>42908.76</v>
      </c>
      <c r="H124" s="207"/>
      <c r="I124" s="3" t="s">
        <v>2688</v>
      </c>
      <c r="J124" s="3"/>
      <c r="K124" s="3"/>
      <c r="L124" s="3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8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>
        <f>+G124</f>
        <v>42908.76</v>
      </c>
      <c r="AZ124" s="24"/>
      <c r="BA124" s="24"/>
      <c r="BB124" s="24"/>
      <c r="BC124" s="24"/>
      <c r="BD124" s="24"/>
      <c r="BE124" s="24"/>
      <c r="BF124" s="24"/>
      <c r="BG124" s="24"/>
      <c r="BH124" s="343"/>
      <c r="BI124" s="343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 t="s">
        <v>342</v>
      </c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 t="s">
        <v>342</v>
      </c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3"/>
      <c r="DA124" s="3"/>
      <c r="DB124" s="3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>
        <f t="shared" si="12"/>
        <v>42908.76</v>
      </c>
      <c r="DS124" s="3">
        <f t="shared" si="13"/>
        <v>0</v>
      </c>
      <c r="DU124" s="3">
        <v>42908.76</v>
      </c>
    </row>
    <row r="125" spans="1:125" x14ac:dyDescent="0.2">
      <c r="C125" s="7" t="s">
        <v>2233</v>
      </c>
      <c r="D125" s="7" t="s">
        <v>2289</v>
      </c>
      <c r="E125" s="202" t="s">
        <v>1349</v>
      </c>
      <c r="F125" s="33" t="s">
        <v>2661</v>
      </c>
      <c r="G125" s="231">
        <f t="shared" si="11"/>
        <v>56070.48</v>
      </c>
      <c r="H125" s="207"/>
      <c r="I125" s="342" t="s">
        <v>2952</v>
      </c>
      <c r="J125" s="3"/>
      <c r="K125" s="3"/>
      <c r="L125" s="3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8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343"/>
      <c r="BI125" s="343"/>
      <c r="BJ125" s="24"/>
      <c r="BK125" s="24"/>
      <c r="BL125" s="24">
        <f>G125</f>
        <v>56070.48</v>
      </c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>
        <f t="shared" si="12"/>
        <v>56070.48</v>
      </c>
      <c r="DS125" s="3">
        <f t="shared" si="13"/>
        <v>0</v>
      </c>
      <c r="DU125" s="3">
        <v>56070.48</v>
      </c>
    </row>
    <row r="126" spans="1:125" x14ac:dyDescent="0.2">
      <c r="C126" s="7" t="s">
        <v>2443</v>
      </c>
      <c r="D126" s="7" t="s">
        <v>2444</v>
      </c>
      <c r="E126" s="147" t="s">
        <v>4</v>
      </c>
      <c r="F126" s="33" t="s">
        <v>2658</v>
      </c>
      <c r="G126" s="230">
        <f t="shared" si="11"/>
        <v>43922.04</v>
      </c>
      <c r="H126" s="207"/>
      <c r="I126" s="2" t="s">
        <v>2687</v>
      </c>
      <c r="AZ126" s="3">
        <f>G126</f>
        <v>43922.04</v>
      </c>
      <c r="BU126" s="3"/>
      <c r="DQ126" s="3"/>
      <c r="DR126" s="24">
        <f t="shared" si="12"/>
        <v>43922.04</v>
      </c>
      <c r="DS126" s="3">
        <f t="shared" si="13"/>
        <v>0</v>
      </c>
      <c r="DU126" s="3">
        <v>43922.04</v>
      </c>
    </row>
    <row r="127" spans="1:125" x14ac:dyDescent="0.2">
      <c r="A127" s="251"/>
      <c r="C127" s="7" t="s">
        <v>2816</v>
      </c>
      <c r="D127" s="7" t="s">
        <v>2817</v>
      </c>
      <c r="E127" s="227" t="s">
        <v>2818</v>
      </c>
      <c r="F127" s="255" t="s">
        <v>2658</v>
      </c>
      <c r="G127" s="230">
        <f t="shared" si="11"/>
        <v>29186.04</v>
      </c>
      <c r="H127" s="207"/>
      <c r="I127" s="3" t="s">
        <v>2709</v>
      </c>
      <c r="AZ127" s="3"/>
      <c r="BU127" s="3"/>
      <c r="DI127" s="3">
        <f>+G127</f>
        <v>29186.04</v>
      </c>
      <c r="DQ127" s="3"/>
      <c r="DR127" s="24">
        <f t="shared" si="12"/>
        <v>29186.04</v>
      </c>
      <c r="DS127" s="3">
        <f t="shared" si="13"/>
        <v>0</v>
      </c>
      <c r="DU127" s="3">
        <v>28335.96</v>
      </c>
    </row>
    <row r="128" spans="1:125" x14ac:dyDescent="0.2">
      <c r="C128" s="7" t="s">
        <v>2390</v>
      </c>
      <c r="D128" s="7" t="s">
        <v>2445</v>
      </c>
      <c r="E128" s="202" t="s">
        <v>1352</v>
      </c>
      <c r="F128" s="33" t="s">
        <v>2661</v>
      </c>
      <c r="G128" s="231">
        <f t="shared" si="11"/>
        <v>56990.28</v>
      </c>
      <c r="H128" s="207"/>
      <c r="I128" s="3" t="s">
        <v>2681</v>
      </c>
      <c r="J128" s="2" t="s">
        <v>2694</v>
      </c>
      <c r="K128" s="3"/>
      <c r="L128" s="3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>
        <f>G128*90%</f>
        <v>51291.25</v>
      </c>
      <c r="AG128" s="24"/>
      <c r="AH128" s="24"/>
      <c r="AI128" s="24"/>
      <c r="AJ128" s="24"/>
      <c r="AK128" s="284"/>
      <c r="AL128" s="24"/>
      <c r="AM128" s="24"/>
      <c r="AN128" s="24"/>
      <c r="AO128" s="24"/>
      <c r="AP128" s="24"/>
      <c r="AQ128" s="24"/>
      <c r="AR128" s="24"/>
      <c r="AS128" s="3" t="s">
        <v>342</v>
      </c>
      <c r="AT128" s="3"/>
      <c r="AU128" s="3"/>
      <c r="AV128" s="3"/>
      <c r="AW128" s="3"/>
      <c r="AX128" s="3"/>
      <c r="AY128" s="24"/>
      <c r="AZ128" s="24"/>
      <c r="BA128" s="24"/>
      <c r="BB128" s="24"/>
      <c r="BC128" s="24"/>
      <c r="BD128" s="24"/>
      <c r="BE128" s="24"/>
      <c r="BF128" s="24"/>
      <c r="BG128" s="24"/>
      <c r="BH128" s="343"/>
      <c r="BI128" s="343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>
        <f>G128*10%</f>
        <v>5699.03</v>
      </c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>
        <f t="shared" ref="DR128:DR157" si="15">SUM(M128:DQ128)</f>
        <v>56990.28</v>
      </c>
      <c r="DS128" s="3">
        <f t="shared" ref="DS128:DS157" si="16">DR128-G128</f>
        <v>0</v>
      </c>
      <c r="DU128" s="3">
        <v>56990.28</v>
      </c>
    </row>
    <row r="129" spans="1:125" x14ac:dyDescent="0.2">
      <c r="C129" s="7" t="s">
        <v>2446</v>
      </c>
      <c r="D129" s="7" t="s">
        <v>2447</v>
      </c>
      <c r="E129" s="147" t="s">
        <v>7</v>
      </c>
      <c r="F129" s="33" t="s">
        <v>2658</v>
      </c>
      <c r="G129" s="230">
        <f t="shared" si="11"/>
        <v>53542</v>
      </c>
      <c r="H129" s="207"/>
      <c r="I129" s="2" t="s">
        <v>2687</v>
      </c>
      <c r="J129" s="3"/>
      <c r="K129" s="3"/>
      <c r="L129" s="3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84"/>
      <c r="AL129" s="24"/>
      <c r="AM129" s="24"/>
      <c r="AN129" s="24"/>
      <c r="AO129" s="24"/>
      <c r="AP129" s="24"/>
      <c r="AQ129" s="24"/>
      <c r="AR129" s="24"/>
      <c r="AS129" s="3"/>
      <c r="AT129" s="3"/>
      <c r="AU129" s="3"/>
      <c r="AV129" s="3"/>
      <c r="AW129" s="3"/>
      <c r="AX129" s="3"/>
      <c r="AY129" s="24"/>
      <c r="AZ129" s="24">
        <f>G129</f>
        <v>53542</v>
      </c>
      <c r="BA129" s="24"/>
      <c r="BB129" s="24"/>
      <c r="BC129" s="24"/>
      <c r="BD129" s="24"/>
      <c r="BE129" s="24"/>
      <c r="BF129" s="24"/>
      <c r="BG129" s="24"/>
      <c r="BH129" s="343"/>
      <c r="BI129" s="343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>
        <f t="shared" si="15"/>
        <v>53542</v>
      </c>
      <c r="DS129" s="3">
        <f t="shared" si="16"/>
        <v>0</v>
      </c>
      <c r="DU129" s="3">
        <v>53542</v>
      </c>
    </row>
    <row r="130" spans="1:125" x14ac:dyDescent="0.2">
      <c r="C130" s="7" t="s">
        <v>2448</v>
      </c>
      <c r="D130" s="7" t="s">
        <v>2449</v>
      </c>
      <c r="E130" s="205" t="s">
        <v>533</v>
      </c>
      <c r="F130" s="255" t="s">
        <v>2661</v>
      </c>
      <c r="G130" s="231">
        <f t="shared" si="11"/>
        <v>50600.04</v>
      </c>
      <c r="H130" s="207"/>
      <c r="I130" s="7" t="s">
        <v>2971</v>
      </c>
      <c r="J130" s="3"/>
      <c r="K130" s="3"/>
      <c r="L130" s="3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84"/>
      <c r="AL130" s="24"/>
      <c r="AM130" s="24"/>
      <c r="AN130" s="24"/>
      <c r="AO130" s="24"/>
      <c r="AP130" s="24"/>
      <c r="AQ130" s="24"/>
      <c r="AR130" s="24"/>
      <c r="AS130" s="3"/>
      <c r="AT130" s="3"/>
      <c r="AU130" s="3"/>
      <c r="AV130" s="3"/>
      <c r="AW130" s="3"/>
      <c r="AX130" s="3"/>
      <c r="AY130" s="24"/>
      <c r="AZ130" s="24"/>
      <c r="BA130" s="24"/>
      <c r="BB130" s="24"/>
      <c r="BC130" s="24"/>
      <c r="BD130" s="24"/>
      <c r="BE130" s="24"/>
      <c r="BF130" s="24">
        <f>G130</f>
        <v>50600.04</v>
      </c>
      <c r="BG130" s="24"/>
      <c r="BH130" s="343"/>
      <c r="BI130" s="343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>
        <f t="shared" si="15"/>
        <v>50600.04</v>
      </c>
      <c r="DS130" s="3">
        <f t="shared" si="16"/>
        <v>0</v>
      </c>
      <c r="DU130" s="3">
        <v>50600.04</v>
      </c>
    </row>
    <row r="131" spans="1:125" x14ac:dyDescent="0.2">
      <c r="A131" s="251"/>
      <c r="C131" s="7" t="s">
        <v>2337</v>
      </c>
      <c r="D131" s="7" t="s">
        <v>2429</v>
      </c>
      <c r="E131" s="152" t="s">
        <v>2013</v>
      </c>
      <c r="F131" s="33" t="s">
        <v>2661</v>
      </c>
      <c r="G131" s="231">
        <f t="shared" si="11"/>
        <v>40874</v>
      </c>
      <c r="H131" s="207"/>
      <c r="I131" s="2" t="s">
        <v>2692</v>
      </c>
      <c r="J131" s="2"/>
      <c r="K131" s="2"/>
      <c r="L131" s="2"/>
      <c r="M131" s="3"/>
      <c r="N131" s="3"/>
      <c r="O131" s="24"/>
      <c r="P131" s="3"/>
      <c r="Q131" s="3"/>
      <c r="R131" s="24"/>
      <c r="S131" s="24"/>
      <c r="T131" s="3"/>
      <c r="U131" s="3"/>
      <c r="V131" s="3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3"/>
      <c r="AJ131" s="24"/>
      <c r="AK131" s="284"/>
      <c r="AL131" s="24"/>
      <c r="AM131" s="3"/>
      <c r="AN131" s="3"/>
      <c r="AO131" s="3"/>
      <c r="AP131" s="3"/>
      <c r="AQ131" s="3"/>
      <c r="AR131" s="3"/>
      <c r="AS131" s="24"/>
      <c r="AT131" s="24"/>
      <c r="AU131" s="24"/>
      <c r="AV131" s="24"/>
      <c r="AW131" s="24"/>
      <c r="AX131" s="24"/>
      <c r="AY131" s="3"/>
      <c r="AZ131" s="24"/>
      <c r="BA131" s="24"/>
      <c r="BB131" s="24"/>
      <c r="BC131" s="24"/>
      <c r="BD131" s="24"/>
      <c r="BE131" s="24"/>
      <c r="BF131" s="24"/>
      <c r="BG131" s="24"/>
      <c r="BH131" s="343"/>
      <c r="BI131" s="343"/>
      <c r="BJ131" s="24"/>
      <c r="BK131" s="3"/>
      <c r="BL131" s="3"/>
      <c r="BM131" s="24"/>
      <c r="BN131" s="3"/>
      <c r="BO131" s="3"/>
      <c r="BP131" s="3"/>
      <c r="BQ131" s="3"/>
      <c r="BR131" s="3"/>
      <c r="BS131" s="3"/>
      <c r="BT131" s="3"/>
      <c r="BU131" s="24">
        <f>G131</f>
        <v>40874</v>
      </c>
      <c r="BV131" s="24"/>
      <c r="BW131" s="24"/>
      <c r="BX131" s="24"/>
      <c r="BY131" s="24"/>
      <c r="BZ131" s="3"/>
      <c r="CA131" s="3"/>
      <c r="CB131" s="24"/>
      <c r="CC131" s="24"/>
      <c r="CD131" s="24"/>
      <c r="CE131" s="24"/>
      <c r="CF131" s="24"/>
      <c r="CG131" s="24"/>
      <c r="CH131" s="24"/>
      <c r="CI131" s="3"/>
      <c r="CJ131" s="3"/>
      <c r="CK131" s="24"/>
      <c r="CL131" s="3"/>
      <c r="CM131" s="3"/>
      <c r="CN131" s="24"/>
      <c r="CO131" s="24"/>
      <c r="CP131" s="24"/>
      <c r="CQ131" s="24"/>
      <c r="CR131" s="24"/>
      <c r="CS131" s="3"/>
      <c r="CT131" s="3"/>
      <c r="CU131" s="3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3"/>
      <c r="DR131" s="24">
        <f t="shared" si="15"/>
        <v>40874</v>
      </c>
      <c r="DS131" s="3">
        <f t="shared" si="16"/>
        <v>0</v>
      </c>
      <c r="DU131" s="3">
        <v>40874</v>
      </c>
    </row>
    <row r="132" spans="1:125" x14ac:dyDescent="0.2">
      <c r="C132" s="7" t="s">
        <v>2785</v>
      </c>
      <c r="D132" s="7" t="s">
        <v>2786</v>
      </c>
      <c r="E132" s="202" t="s">
        <v>2774</v>
      </c>
      <c r="F132" s="255" t="s">
        <v>2661</v>
      </c>
      <c r="G132" s="231">
        <f t="shared" si="11"/>
        <v>43577.04</v>
      </c>
      <c r="H132" s="207"/>
      <c r="I132" s="2" t="s">
        <v>3689</v>
      </c>
      <c r="J132" s="2"/>
      <c r="K132" s="2"/>
      <c r="L132" s="2"/>
      <c r="M132" s="3"/>
      <c r="N132" s="3"/>
      <c r="O132" s="24"/>
      <c r="P132" s="3"/>
      <c r="Q132" s="3"/>
      <c r="R132" s="24"/>
      <c r="S132" s="24"/>
      <c r="T132" s="3"/>
      <c r="U132" s="3"/>
      <c r="V132" s="3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3"/>
      <c r="AJ132" s="24"/>
      <c r="AK132" s="284"/>
      <c r="AL132" s="24"/>
      <c r="AM132" s="3"/>
      <c r="AN132" s="3"/>
      <c r="AO132" s="3"/>
      <c r="AP132" s="3"/>
      <c r="AQ132" s="3"/>
      <c r="AR132" s="3"/>
      <c r="AS132" s="24"/>
      <c r="AT132" s="24"/>
      <c r="AU132" s="24"/>
      <c r="AV132" s="24"/>
      <c r="AW132" s="24"/>
      <c r="AX132" s="24"/>
      <c r="AY132" s="3"/>
      <c r="AZ132" s="24"/>
      <c r="BA132" s="24"/>
      <c r="BB132" s="24"/>
      <c r="BC132" s="24"/>
      <c r="BD132" s="24"/>
      <c r="BE132" s="24"/>
      <c r="BF132" s="24"/>
      <c r="BG132" s="24"/>
      <c r="BH132" s="343">
        <f>+G132</f>
        <v>43577.04</v>
      </c>
      <c r="BI132" s="343"/>
      <c r="BJ132" s="24"/>
      <c r="BK132" s="3"/>
      <c r="BL132" s="3"/>
      <c r="BM132" s="24"/>
      <c r="BN132" s="3"/>
      <c r="BO132" s="3"/>
      <c r="BP132" s="3"/>
      <c r="BQ132" s="3"/>
      <c r="BR132" s="3"/>
      <c r="BS132" s="3"/>
      <c r="BT132" s="3"/>
      <c r="BU132" s="24"/>
      <c r="BV132" s="24"/>
      <c r="BW132" s="24"/>
      <c r="BX132" s="24"/>
      <c r="BY132" s="24"/>
      <c r="BZ132" s="3"/>
      <c r="CA132" s="3"/>
      <c r="CB132" s="24"/>
      <c r="CC132" s="24"/>
      <c r="CD132" s="24"/>
      <c r="CE132" s="24"/>
      <c r="CF132" s="24"/>
      <c r="CG132" s="24"/>
      <c r="CH132" s="24"/>
      <c r="CI132" s="3"/>
      <c r="CJ132" s="3"/>
      <c r="CK132" s="24"/>
      <c r="CL132" s="3"/>
      <c r="CM132" s="3"/>
      <c r="CN132" s="24"/>
      <c r="CO132" s="24"/>
      <c r="CP132" s="24"/>
      <c r="CQ132" s="24"/>
      <c r="CR132" s="24"/>
      <c r="CS132" s="3"/>
      <c r="CT132" s="3"/>
      <c r="CU132" s="3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3"/>
      <c r="DR132" s="24">
        <f t="shared" si="15"/>
        <v>43577.04</v>
      </c>
      <c r="DS132" s="3">
        <f t="shared" si="16"/>
        <v>0</v>
      </c>
      <c r="DU132" s="3">
        <v>43577.04</v>
      </c>
    </row>
    <row r="133" spans="1:125" x14ac:dyDescent="0.2">
      <c r="C133" s="7" t="s">
        <v>2450</v>
      </c>
      <c r="D133" s="7" t="s">
        <v>2239</v>
      </c>
      <c r="E133" s="202" t="s">
        <v>2775</v>
      </c>
      <c r="F133" s="33" t="s">
        <v>2661</v>
      </c>
      <c r="G133" s="231">
        <f t="shared" si="11"/>
        <v>60720</v>
      </c>
      <c r="H133" s="207"/>
      <c r="I133" s="342" t="s">
        <v>2806</v>
      </c>
      <c r="J133" s="2"/>
      <c r="K133" s="3"/>
      <c r="L133" s="3"/>
      <c r="M133" s="24"/>
      <c r="N133" s="24"/>
      <c r="O133" s="24"/>
      <c r="P133" s="24"/>
      <c r="Q133" s="24"/>
      <c r="R133" s="24">
        <f>+G133</f>
        <v>60720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8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343"/>
      <c r="BI133" s="343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>
        <f t="shared" si="15"/>
        <v>60720</v>
      </c>
      <c r="DS133" s="3">
        <f t="shared" si="16"/>
        <v>0</v>
      </c>
      <c r="DU133" s="3">
        <v>60720</v>
      </c>
    </row>
    <row r="134" spans="1:125" x14ac:dyDescent="0.2">
      <c r="C134" s="7" t="s">
        <v>2451</v>
      </c>
      <c r="D134" s="7" t="s">
        <v>2239</v>
      </c>
      <c r="E134" s="205" t="s">
        <v>2413</v>
      </c>
      <c r="F134" s="255" t="s">
        <v>2661</v>
      </c>
      <c r="G134" s="231">
        <f t="shared" si="11"/>
        <v>42787.08</v>
      </c>
      <c r="H134" s="207"/>
      <c r="I134" s="2" t="s">
        <v>2678</v>
      </c>
      <c r="J134" s="3"/>
      <c r="K134" s="3"/>
      <c r="L134" s="3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>
        <f>G134</f>
        <v>42787.08</v>
      </c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8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343"/>
      <c r="BI134" s="343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>
        <f t="shared" si="15"/>
        <v>42787.08</v>
      </c>
      <c r="DS134" s="3">
        <f t="shared" si="16"/>
        <v>0</v>
      </c>
      <c r="DU134" s="3">
        <v>42787.08</v>
      </c>
    </row>
    <row r="135" spans="1:125" x14ac:dyDescent="0.2">
      <c r="C135" s="7" t="s">
        <v>2452</v>
      </c>
      <c r="D135" s="7" t="s">
        <v>2453</v>
      </c>
      <c r="E135" s="147" t="s">
        <v>1353</v>
      </c>
      <c r="F135" s="33" t="s">
        <v>2658</v>
      </c>
      <c r="G135" s="231">
        <f t="shared" si="11"/>
        <v>51883</v>
      </c>
      <c r="H135" s="207"/>
      <c r="I135" s="2" t="s">
        <v>2687</v>
      </c>
      <c r="J135" s="3"/>
      <c r="K135" s="3"/>
      <c r="L135" s="3"/>
      <c r="M135" s="24"/>
      <c r="N135" s="3"/>
      <c r="O135" s="3" t="s">
        <v>342</v>
      </c>
      <c r="P135" s="3"/>
      <c r="Q135" s="3"/>
      <c r="R135" s="24"/>
      <c r="S135" s="24"/>
      <c r="T135" s="3"/>
      <c r="U135" s="3"/>
      <c r="V135" s="3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3"/>
      <c r="AJ135" s="24"/>
      <c r="AK135" s="284"/>
      <c r="AL135" s="24"/>
      <c r="AM135" s="24"/>
      <c r="AN135" s="24"/>
      <c r="AO135" s="3"/>
      <c r="AP135" s="3"/>
      <c r="AQ135" s="3"/>
      <c r="AR135" s="3"/>
      <c r="AS135" s="24"/>
      <c r="AT135" s="24"/>
      <c r="AU135" s="24"/>
      <c r="AV135" s="24"/>
      <c r="AW135" s="24"/>
      <c r="AX135" s="24"/>
      <c r="AY135" s="3"/>
      <c r="AZ135" s="24">
        <f>+G135</f>
        <v>51883</v>
      </c>
      <c r="BA135" s="24"/>
      <c r="BB135" s="24"/>
      <c r="BC135" s="24"/>
      <c r="BD135" s="24"/>
      <c r="BE135" s="24"/>
      <c r="BF135" s="24"/>
      <c r="BG135" s="24"/>
      <c r="BH135" s="343"/>
      <c r="BI135" s="343"/>
      <c r="BJ135" s="24"/>
      <c r="BK135" s="3"/>
      <c r="BL135" s="3"/>
      <c r="BM135" s="24"/>
      <c r="BN135" s="3"/>
      <c r="BO135" s="3"/>
      <c r="BP135" s="3"/>
      <c r="BQ135" s="3"/>
      <c r="BR135" s="3"/>
      <c r="BS135" s="3"/>
      <c r="BT135" s="3"/>
      <c r="BU135" s="24"/>
      <c r="BV135" s="24"/>
      <c r="BW135" s="24"/>
      <c r="BX135" s="24"/>
      <c r="BY135" s="24"/>
      <c r="BZ135" s="3"/>
      <c r="CA135" s="3"/>
      <c r="CB135" s="24"/>
      <c r="CC135" s="24"/>
      <c r="CD135" s="24"/>
      <c r="CE135" s="24"/>
      <c r="CF135" s="24"/>
      <c r="CG135" s="24"/>
      <c r="CH135" s="24"/>
      <c r="CI135" s="3"/>
      <c r="CJ135" s="3"/>
      <c r="CK135" s="24"/>
      <c r="CL135" s="24"/>
      <c r="CM135" s="24"/>
      <c r="CN135" s="24"/>
      <c r="CO135" s="24"/>
      <c r="CP135" s="24"/>
      <c r="CQ135" s="24"/>
      <c r="CR135" s="24"/>
      <c r="CS135" s="3"/>
      <c r="CT135" s="3"/>
      <c r="CU135" s="3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>
        <f t="shared" si="15"/>
        <v>51883</v>
      </c>
      <c r="DS135" s="3">
        <f t="shared" si="16"/>
        <v>0</v>
      </c>
      <c r="DU135" s="3">
        <v>51883</v>
      </c>
    </row>
    <row r="136" spans="1:125" x14ac:dyDescent="0.2">
      <c r="C136" s="7" t="s">
        <v>2454</v>
      </c>
      <c r="D136" s="7" t="s">
        <v>2455</v>
      </c>
      <c r="E136" s="202" t="s">
        <v>1464</v>
      </c>
      <c r="F136" s="33" t="s">
        <v>2661</v>
      </c>
      <c r="G136" s="231">
        <f t="shared" si="11"/>
        <v>61251.12</v>
      </c>
      <c r="H136" s="207"/>
      <c r="I136" s="2" t="s">
        <v>2749</v>
      </c>
      <c r="J136" s="2"/>
      <c r="K136" s="3"/>
      <c r="L136" s="3"/>
      <c r="M136" s="24"/>
      <c r="N136" s="3"/>
      <c r="O136" s="3"/>
      <c r="P136" s="3"/>
      <c r="Q136" s="3"/>
      <c r="R136" s="24"/>
      <c r="S136" s="24"/>
      <c r="T136" s="3"/>
      <c r="U136" s="3"/>
      <c r="V136" s="3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3"/>
      <c r="AJ136" s="24"/>
      <c r="AK136" s="284"/>
      <c r="AL136" s="24"/>
      <c r="AM136" s="24"/>
      <c r="AN136" s="24"/>
      <c r="AO136" s="3"/>
      <c r="AP136" s="3"/>
      <c r="AQ136" s="3"/>
      <c r="AR136" s="3"/>
      <c r="AS136" s="24"/>
      <c r="AT136" s="24"/>
      <c r="AU136" s="24"/>
      <c r="AV136" s="24"/>
      <c r="AW136" s="24"/>
      <c r="AX136" s="24"/>
      <c r="AY136" s="3"/>
      <c r="AZ136" s="24"/>
      <c r="BA136" s="24"/>
      <c r="BB136" s="24"/>
      <c r="BC136" s="24"/>
      <c r="BD136" s="24"/>
      <c r="BE136" s="24"/>
      <c r="BF136" s="24"/>
      <c r="BG136" s="24"/>
      <c r="BH136" s="343"/>
      <c r="BI136" s="343"/>
      <c r="BJ136" s="24"/>
      <c r="BK136" s="3"/>
      <c r="BL136" s="3"/>
      <c r="BM136" s="24"/>
      <c r="BN136" s="3"/>
      <c r="BO136" s="3"/>
      <c r="BP136" s="3"/>
      <c r="BQ136" s="3"/>
      <c r="BR136" s="3"/>
      <c r="BS136" s="3"/>
      <c r="BT136" s="3"/>
      <c r="BU136" s="24"/>
      <c r="BV136" s="24"/>
      <c r="BW136" s="24"/>
      <c r="BX136" s="24"/>
      <c r="BY136" s="24">
        <f>+G136</f>
        <v>61251.12</v>
      </c>
      <c r="BZ136" s="3"/>
      <c r="CA136" s="3"/>
      <c r="CB136" s="24"/>
      <c r="CC136" s="24"/>
      <c r="CD136" s="24"/>
      <c r="CE136" s="24"/>
      <c r="CF136" s="24"/>
      <c r="CG136" s="24"/>
      <c r="CH136" s="24"/>
      <c r="CI136" s="3"/>
      <c r="CJ136" s="3"/>
      <c r="CK136" s="24"/>
      <c r="CL136" s="24"/>
      <c r="CM136" s="24"/>
      <c r="CN136" s="24"/>
      <c r="CO136" s="24"/>
      <c r="CP136" s="24"/>
      <c r="CQ136" s="24"/>
      <c r="CR136" s="24"/>
      <c r="CS136" s="3"/>
      <c r="CT136" s="3"/>
      <c r="CU136" s="3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>
        <f t="shared" si="15"/>
        <v>61251.12</v>
      </c>
      <c r="DS136" s="3">
        <f t="shared" si="16"/>
        <v>0</v>
      </c>
      <c r="DU136" s="3">
        <v>61251.12</v>
      </c>
    </row>
    <row r="137" spans="1:125" x14ac:dyDescent="0.2">
      <c r="C137" s="7" t="s">
        <v>2456</v>
      </c>
      <c r="D137" s="7" t="s">
        <v>2287</v>
      </c>
      <c r="E137" s="202" t="s">
        <v>2759</v>
      </c>
      <c r="F137" s="33" t="s">
        <v>2661</v>
      </c>
      <c r="G137" s="230">
        <f t="shared" si="11"/>
        <v>61141.32</v>
      </c>
      <c r="H137" s="207"/>
      <c r="I137" s="3" t="s">
        <v>2700</v>
      </c>
      <c r="J137" s="3"/>
      <c r="K137" s="2"/>
      <c r="L137" s="2"/>
      <c r="M137" s="24"/>
      <c r="N137" s="3"/>
      <c r="O137" s="3"/>
      <c r="P137" s="3"/>
      <c r="Q137" s="3"/>
      <c r="R137" s="24"/>
      <c r="S137" s="24"/>
      <c r="T137" s="3"/>
      <c r="U137" s="3"/>
      <c r="V137" s="3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3"/>
      <c r="AJ137" s="24"/>
      <c r="AK137" s="284"/>
      <c r="AL137" s="24"/>
      <c r="AM137" s="24"/>
      <c r="AN137" s="24"/>
      <c r="AO137" s="3"/>
      <c r="AP137" s="3"/>
      <c r="AQ137" s="3"/>
      <c r="AR137" s="3"/>
      <c r="AS137" s="24"/>
      <c r="AT137" s="24"/>
      <c r="AU137" s="24"/>
      <c r="AV137" s="24"/>
      <c r="AW137" s="24"/>
      <c r="AX137" s="24"/>
      <c r="AY137" s="3"/>
      <c r="AZ137" s="24"/>
      <c r="BA137" s="24"/>
      <c r="BB137" s="24"/>
      <c r="BC137" s="24"/>
      <c r="BD137" s="24"/>
      <c r="BE137" s="24"/>
      <c r="BF137" s="24"/>
      <c r="BG137" s="24"/>
      <c r="BH137" s="343"/>
      <c r="BI137" s="343"/>
      <c r="BJ137" s="24"/>
      <c r="BK137" s="3"/>
      <c r="BL137" s="3"/>
      <c r="BM137" s="24"/>
      <c r="BN137" s="3"/>
      <c r="BO137" s="3"/>
      <c r="BP137" s="3"/>
      <c r="BQ137" s="3"/>
      <c r="BR137" s="3"/>
      <c r="BS137" s="3"/>
      <c r="BT137" s="3"/>
      <c r="BU137" s="24"/>
      <c r="BV137" s="24"/>
      <c r="BW137" s="24"/>
      <c r="BX137" s="24"/>
      <c r="BY137" s="24"/>
      <c r="BZ137" s="3"/>
      <c r="CA137" s="3"/>
      <c r="CB137" s="24"/>
      <c r="CC137" s="24"/>
      <c r="CD137" s="24"/>
      <c r="CE137" s="24"/>
      <c r="CF137" s="24"/>
      <c r="CG137" s="24"/>
      <c r="CH137" s="24"/>
      <c r="CI137" s="3"/>
      <c r="CJ137" s="3"/>
      <c r="CK137" s="24"/>
      <c r="CL137" s="24"/>
      <c r="CM137" s="24"/>
      <c r="CN137" s="24"/>
      <c r="CO137" s="24"/>
      <c r="CP137" s="24">
        <f>+G137</f>
        <v>61141.32</v>
      </c>
      <c r="CQ137" s="24"/>
      <c r="CR137" s="24"/>
      <c r="CS137" s="3"/>
      <c r="CT137" s="3"/>
      <c r="CU137" s="3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>
        <f t="shared" si="15"/>
        <v>61141.32</v>
      </c>
      <c r="DS137" s="3">
        <f t="shared" si="16"/>
        <v>0</v>
      </c>
      <c r="DU137" s="3">
        <v>61141.32</v>
      </c>
    </row>
    <row r="138" spans="1:125" x14ac:dyDescent="0.2">
      <c r="C138" s="7" t="s">
        <v>2790</v>
      </c>
      <c r="D138" s="7" t="s">
        <v>2287</v>
      </c>
      <c r="E138" s="202" t="s">
        <v>2760</v>
      </c>
      <c r="F138" s="33" t="s">
        <v>2658</v>
      </c>
      <c r="G138" s="230">
        <f t="shared" si="11"/>
        <v>35783</v>
      </c>
      <c r="H138" s="207"/>
      <c r="I138" s="2" t="s">
        <v>2692</v>
      </c>
      <c r="J138" s="3"/>
      <c r="K138" s="3"/>
      <c r="L138" s="3"/>
      <c r="M138" s="24"/>
      <c r="N138" s="3"/>
      <c r="O138" s="3"/>
      <c r="P138" s="3"/>
      <c r="Q138" s="3"/>
      <c r="R138" s="24"/>
      <c r="S138" s="24"/>
      <c r="T138" s="3"/>
      <c r="U138" s="3"/>
      <c r="V138" s="3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3"/>
      <c r="AJ138" s="24"/>
      <c r="AK138" s="284"/>
      <c r="AL138" s="24"/>
      <c r="AM138" s="24"/>
      <c r="AN138" s="24"/>
      <c r="AO138" s="3"/>
      <c r="AP138" s="3"/>
      <c r="AQ138" s="3"/>
      <c r="AR138" s="3"/>
      <c r="AS138" s="24"/>
      <c r="AT138" s="24"/>
      <c r="AU138" s="24"/>
      <c r="AV138" s="24"/>
      <c r="AW138" s="24"/>
      <c r="AX138" s="24"/>
      <c r="AY138" s="3"/>
      <c r="AZ138" s="24"/>
      <c r="BA138" s="24"/>
      <c r="BB138" s="24"/>
      <c r="BC138" s="24"/>
      <c r="BD138" s="24"/>
      <c r="BE138" s="24"/>
      <c r="BF138" s="24"/>
      <c r="BG138" s="24"/>
      <c r="BH138" s="343"/>
      <c r="BI138" s="343"/>
      <c r="BJ138" s="24"/>
      <c r="BK138" s="3"/>
      <c r="BL138" s="3"/>
      <c r="BM138" s="24"/>
      <c r="BN138" s="3"/>
      <c r="BO138" s="3"/>
      <c r="BP138" s="3"/>
      <c r="BQ138" s="3"/>
      <c r="BR138" s="3"/>
      <c r="BS138" s="3"/>
      <c r="BT138" s="3"/>
      <c r="BU138" s="24">
        <f>+G138</f>
        <v>35783</v>
      </c>
      <c r="BV138" s="24"/>
      <c r="BW138" s="24"/>
      <c r="BX138" s="24"/>
      <c r="BY138" s="24"/>
      <c r="BZ138" s="3"/>
      <c r="CA138" s="3"/>
      <c r="CB138" s="24"/>
      <c r="CC138" s="24"/>
      <c r="CD138" s="24"/>
      <c r="CE138" s="24"/>
      <c r="CF138" s="24"/>
      <c r="CG138" s="24"/>
      <c r="CH138" s="24"/>
      <c r="CI138" s="3"/>
      <c r="CJ138" s="3"/>
      <c r="CK138" s="24"/>
      <c r="CL138" s="24"/>
      <c r="CM138" s="24"/>
      <c r="CN138" s="24"/>
      <c r="CO138" s="24"/>
      <c r="CP138" s="24"/>
      <c r="CQ138" s="24"/>
      <c r="CR138" s="24"/>
      <c r="CS138" s="3"/>
      <c r="CT138" s="3"/>
      <c r="CU138" s="3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>
        <f t="shared" si="15"/>
        <v>35783</v>
      </c>
      <c r="DS138" s="3">
        <f t="shared" si="16"/>
        <v>0</v>
      </c>
      <c r="DU138" s="3">
        <v>35783</v>
      </c>
    </row>
    <row r="139" spans="1:125" x14ac:dyDescent="0.2">
      <c r="C139" s="7" t="s">
        <v>2457</v>
      </c>
      <c r="D139" s="7" t="s">
        <v>2287</v>
      </c>
      <c r="E139" s="205" t="s">
        <v>1354</v>
      </c>
      <c r="F139" s="33" t="s">
        <v>2661</v>
      </c>
      <c r="G139" s="231">
        <f t="shared" si="11"/>
        <v>49790.400000000001</v>
      </c>
      <c r="H139" s="207"/>
      <c r="I139" s="2" t="s">
        <v>2676</v>
      </c>
      <c r="J139" s="2"/>
      <c r="K139" s="2"/>
      <c r="L139" s="2"/>
      <c r="M139" s="3"/>
      <c r="N139" s="3"/>
      <c r="O139" s="24">
        <f>G139</f>
        <v>49790.400000000001</v>
      </c>
      <c r="P139" s="3"/>
      <c r="Q139" s="3"/>
      <c r="R139" s="24"/>
      <c r="S139" s="24"/>
      <c r="T139" s="3"/>
      <c r="U139" s="3"/>
      <c r="V139" s="3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3"/>
      <c r="AJ139" s="24"/>
      <c r="AK139" s="284"/>
      <c r="AL139" s="24"/>
      <c r="AM139" s="3"/>
      <c r="AN139" s="3"/>
      <c r="AO139" s="3"/>
      <c r="AP139" s="3"/>
      <c r="AQ139" s="3"/>
      <c r="AR139" s="3"/>
      <c r="AS139" s="24"/>
      <c r="AT139" s="24"/>
      <c r="AU139" s="24"/>
      <c r="AV139" s="24"/>
      <c r="AW139" s="24"/>
      <c r="AX139" s="24"/>
      <c r="AY139" s="3"/>
      <c r="AZ139" s="24"/>
      <c r="BA139" s="24"/>
      <c r="BB139" s="24"/>
      <c r="BC139" s="24"/>
      <c r="BD139" s="24"/>
      <c r="BE139" s="24"/>
      <c r="BF139" s="24"/>
      <c r="BG139" s="24"/>
      <c r="BH139" s="343"/>
      <c r="BI139" s="343"/>
      <c r="BJ139" s="24"/>
      <c r="BK139" s="3"/>
      <c r="BL139" s="3"/>
      <c r="BM139" s="24"/>
      <c r="BN139" s="3"/>
      <c r="BO139" s="3"/>
      <c r="BP139" s="3"/>
      <c r="BQ139" s="3"/>
      <c r="BR139" s="3"/>
      <c r="BS139" s="3"/>
      <c r="BT139" s="3"/>
      <c r="BU139" s="24"/>
      <c r="BV139" s="24"/>
      <c r="BW139" s="24"/>
      <c r="BX139" s="24"/>
      <c r="BY139" s="24"/>
      <c r="BZ139" s="3"/>
      <c r="CA139" s="3"/>
      <c r="CB139" s="24"/>
      <c r="CC139" s="24"/>
      <c r="CD139" s="24"/>
      <c r="CE139" s="24"/>
      <c r="CF139" s="24"/>
      <c r="CG139" s="24"/>
      <c r="CH139" s="24"/>
      <c r="CI139" s="3"/>
      <c r="CJ139" s="3"/>
      <c r="CK139" s="24"/>
      <c r="CL139" s="3"/>
      <c r="CM139" s="3"/>
      <c r="CN139" s="3" t="s">
        <v>342</v>
      </c>
      <c r="CO139" s="3"/>
      <c r="CP139" s="3"/>
      <c r="CQ139" s="3"/>
      <c r="CR139" s="3"/>
      <c r="CS139" s="3"/>
      <c r="CT139" s="3"/>
      <c r="CU139" s="3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3"/>
      <c r="DR139" s="24">
        <f t="shared" si="15"/>
        <v>49790.400000000001</v>
      </c>
      <c r="DS139" s="3">
        <f t="shared" si="16"/>
        <v>0</v>
      </c>
      <c r="DU139" s="3">
        <v>49790.400000000001</v>
      </c>
    </row>
    <row r="140" spans="1:125" x14ac:dyDescent="0.2">
      <c r="C140" s="7" t="s">
        <v>2458</v>
      </c>
      <c r="D140" s="7" t="s">
        <v>2287</v>
      </c>
      <c r="E140" s="152" t="s">
        <v>2025</v>
      </c>
      <c r="F140" s="33" t="s">
        <v>2661</v>
      </c>
      <c r="G140" s="230">
        <f t="shared" si="11"/>
        <v>68952</v>
      </c>
      <c r="H140" s="207"/>
      <c r="I140" s="2" t="s">
        <v>2692</v>
      </c>
      <c r="J140" s="2"/>
      <c r="K140" s="2"/>
      <c r="L140" s="2"/>
      <c r="M140" s="3"/>
      <c r="N140" s="3"/>
      <c r="O140" s="24"/>
      <c r="P140" s="3"/>
      <c r="Q140" s="3"/>
      <c r="R140" s="24"/>
      <c r="S140" s="24"/>
      <c r="T140" s="3"/>
      <c r="U140" s="3"/>
      <c r="V140" s="3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3"/>
      <c r="AJ140" s="24"/>
      <c r="AK140" s="284"/>
      <c r="AL140" s="24"/>
      <c r="AM140" s="3"/>
      <c r="AN140" s="3"/>
      <c r="AO140" s="3"/>
      <c r="AP140" s="3"/>
      <c r="AQ140" s="3"/>
      <c r="AR140" s="3"/>
      <c r="AS140" s="24"/>
      <c r="AT140" s="24"/>
      <c r="AU140" s="24"/>
      <c r="AV140" s="24"/>
      <c r="AW140" s="24"/>
      <c r="AX140" s="24"/>
      <c r="AY140" s="3"/>
      <c r="AZ140" s="24"/>
      <c r="BA140" s="24"/>
      <c r="BB140" s="24"/>
      <c r="BC140" s="24"/>
      <c r="BD140" s="24"/>
      <c r="BE140" s="24"/>
      <c r="BF140" s="24"/>
      <c r="BG140" s="24"/>
      <c r="BH140" s="343"/>
      <c r="BI140" s="343"/>
      <c r="BJ140" s="24"/>
      <c r="BK140" s="3"/>
      <c r="BL140" s="3"/>
      <c r="BM140" s="24"/>
      <c r="BN140" s="3"/>
      <c r="BO140" s="3"/>
      <c r="BP140" s="3"/>
      <c r="BQ140" s="3"/>
      <c r="BR140" s="3" t="s">
        <v>342</v>
      </c>
      <c r="BS140" s="3"/>
      <c r="BT140" s="3"/>
      <c r="BU140" s="24">
        <f>+G140</f>
        <v>68952</v>
      </c>
      <c r="BV140" s="24"/>
      <c r="BW140" s="24"/>
      <c r="BX140" s="24"/>
      <c r="BY140" s="24"/>
      <c r="BZ140" s="3"/>
      <c r="CA140" s="3"/>
      <c r="CB140" s="24"/>
      <c r="CC140" s="24"/>
      <c r="CD140" s="24"/>
      <c r="CE140" s="24"/>
      <c r="CF140" s="24"/>
      <c r="CG140" s="24"/>
      <c r="CH140" s="24"/>
      <c r="CI140" s="3"/>
      <c r="CJ140" s="3"/>
      <c r="CK140" s="24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3"/>
      <c r="DR140" s="24">
        <f t="shared" si="15"/>
        <v>68952</v>
      </c>
      <c r="DS140" s="3">
        <f t="shared" si="16"/>
        <v>0</v>
      </c>
      <c r="DU140" s="3">
        <v>68952</v>
      </c>
    </row>
    <row r="141" spans="1:125" x14ac:dyDescent="0.2">
      <c r="C141" s="7" t="s">
        <v>2330</v>
      </c>
      <c r="D141" s="7" t="s">
        <v>2287</v>
      </c>
      <c r="E141" s="222" t="s">
        <v>2215</v>
      </c>
      <c r="F141" s="33" t="s">
        <v>2661</v>
      </c>
      <c r="G141" s="231">
        <f t="shared" si="11"/>
        <v>27093.119999999999</v>
      </c>
      <c r="H141" s="207"/>
      <c r="I141" s="3" t="s">
        <v>2700</v>
      </c>
      <c r="J141" s="2"/>
      <c r="K141" s="3"/>
      <c r="L141" s="3"/>
      <c r="M141" s="24"/>
      <c r="N141" s="3"/>
      <c r="O141" s="24"/>
      <c r="P141" s="3"/>
      <c r="Q141" s="24"/>
      <c r="R141" s="24"/>
      <c r="S141" s="24"/>
      <c r="T141" s="3"/>
      <c r="U141" s="3"/>
      <c r="V141" s="3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3"/>
      <c r="AJ141" s="24"/>
      <c r="AK141" s="284"/>
      <c r="AL141" s="24"/>
      <c r="AM141" s="24"/>
      <c r="AN141" s="24"/>
      <c r="AO141" s="3"/>
      <c r="AP141" s="3"/>
      <c r="AQ141" s="3"/>
      <c r="AR141" s="3"/>
      <c r="AS141" s="24"/>
      <c r="AT141" s="24"/>
      <c r="AU141" s="24"/>
      <c r="AV141" s="24"/>
      <c r="AW141" s="24"/>
      <c r="AX141" s="24"/>
      <c r="AY141" s="3"/>
      <c r="AZ141" s="24"/>
      <c r="BA141" s="24"/>
      <c r="BB141" s="24"/>
      <c r="BC141" s="24"/>
      <c r="BD141" s="24"/>
      <c r="BE141" s="24"/>
      <c r="BF141" s="24"/>
      <c r="BG141" s="24"/>
      <c r="BH141" s="343"/>
      <c r="BI141" s="343"/>
      <c r="BJ141" s="24"/>
      <c r="BK141" s="3"/>
      <c r="BL141" s="3"/>
      <c r="BM141" s="24"/>
      <c r="BN141" s="3"/>
      <c r="BO141" s="3"/>
      <c r="BP141" s="3"/>
      <c r="BQ141" s="3"/>
      <c r="BR141" s="3"/>
      <c r="BS141" s="24"/>
      <c r="BT141" s="24"/>
      <c r="BU141" s="24"/>
      <c r="BV141" s="24"/>
      <c r="BW141" s="24"/>
      <c r="BX141" s="24"/>
      <c r="BY141" s="24"/>
      <c r="BZ141" s="3"/>
      <c r="CA141" s="3"/>
      <c r="CB141" s="24"/>
      <c r="CC141" s="24"/>
      <c r="CD141" s="24"/>
      <c r="CE141" s="24"/>
      <c r="CF141" s="24"/>
      <c r="CG141" s="24"/>
      <c r="CH141" s="24"/>
      <c r="CI141" s="3"/>
      <c r="CJ141" s="3"/>
      <c r="CK141" s="3"/>
      <c r="CL141" s="24"/>
      <c r="CM141" s="24"/>
      <c r="CN141" s="24"/>
      <c r="CO141" s="24"/>
      <c r="CP141" s="24">
        <f>+G141</f>
        <v>27093.119999999999</v>
      </c>
      <c r="CQ141" s="24"/>
      <c r="CR141" s="24"/>
      <c r="CS141" s="3"/>
      <c r="CT141" s="3"/>
      <c r="CU141" s="3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>
        <f t="shared" si="15"/>
        <v>27093.119999999999</v>
      </c>
      <c r="DS141" s="3">
        <f t="shared" si="16"/>
        <v>0</v>
      </c>
      <c r="DU141" s="3">
        <v>26304</v>
      </c>
    </row>
    <row r="142" spans="1:125" x14ac:dyDescent="0.2">
      <c r="C142" s="7" t="s">
        <v>2459</v>
      </c>
      <c r="D142" s="7" t="s">
        <v>2287</v>
      </c>
      <c r="E142" s="165" t="s">
        <v>2412</v>
      </c>
      <c r="F142" s="33" t="s">
        <v>2661</v>
      </c>
      <c r="G142" s="231">
        <f t="shared" si="11"/>
        <v>43067.040000000001</v>
      </c>
      <c r="H142" s="207"/>
      <c r="I142" s="3" t="s">
        <v>2698</v>
      </c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8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24">
        <f>G142</f>
        <v>43067.040000000001</v>
      </c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24">
        <f t="shared" si="15"/>
        <v>43067.040000000001</v>
      </c>
      <c r="DS142" s="3">
        <f t="shared" si="16"/>
        <v>0</v>
      </c>
      <c r="DU142" s="3">
        <v>43067.040000000001</v>
      </c>
    </row>
    <row r="143" spans="1:125" x14ac:dyDescent="0.2">
      <c r="C143" s="7" t="s">
        <v>2460</v>
      </c>
      <c r="D143" s="7" t="s">
        <v>2287</v>
      </c>
      <c r="E143" s="202" t="s">
        <v>2411</v>
      </c>
      <c r="F143" s="33" t="s">
        <v>2661</v>
      </c>
      <c r="G143" s="231">
        <f t="shared" si="11"/>
        <v>54607.37</v>
      </c>
      <c r="H143" s="207"/>
      <c r="I143" s="2" t="s">
        <v>2776</v>
      </c>
      <c r="J143" s="2" t="s">
        <v>2707</v>
      </c>
      <c r="K143" s="2"/>
      <c r="L143" s="2"/>
      <c r="M143" s="3"/>
      <c r="N143" s="3"/>
      <c r="O143" s="3"/>
      <c r="P143" s="3">
        <f>0.9*G143</f>
        <v>49146.63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8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24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24"/>
      <c r="CW143" s="3"/>
      <c r="CX143" s="3"/>
      <c r="CY143" s="24" t="s">
        <v>342</v>
      </c>
      <c r="CZ143" s="3"/>
      <c r="DA143" s="3"/>
      <c r="DB143" s="3"/>
      <c r="DC143" s="3"/>
      <c r="DD143" s="3"/>
      <c r="DE143" s="3"/>
      <c r="DF143" s="3">
        <f>0.1*G143</f>
        <v>5460.74</v>
      </c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24">
        <f t="shared" si="15"/>
        <v>54607.37</v>
      </c>
      <c r="DS143" s="3">
        <f t="shared" si="16"/>
        <v>0</v>
      </c>
      <c r="DU143" s="3">
        <v>54607.37</v>
      </c>
    </row>
    <row r="144" spans="1:125" x14ac:dyDescent="0.2">
      <c r="C144" s="7" t="s">
        <v>2371</v>
      </c>
      <c r="D144" s="7" t="s">
        <v>2287</v>
      </c>
      <c r="E144" s="152" t="s">
        <v>1188</v>
      </c>
      <c r="F144" s="33" t="s">
        <v>2661</v>
      </c>
      <c r="G144" s="231">
        <f t="shared" si="11"/>
        <v>67410</v>
      </c>
      <c r="H144" s="207"/>
      <c r="I144" s="2" t="s">
        <v>2692</v>
      </c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8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>
        <f>G144</f>
        <v>67410</v>
      </c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24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24"/>
      <c r="CW144" s="3"/>
      <c r="CX144" s="3"/>
      <c r="CY144" s="24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24">
        <f t="shared" si="15"/>
        <v>67410</v>
      </c>
      <c r="DS144" s="3">
        <f t="shared" si="16"/>
        <v>0</v>
      </c>
      <c r="DU144" s="3">
        <v>67410</v>
      </c>
    </row>
    <row r="145" spans="1:125" x14ac:dyDescent="0.2">
      <c r="A145" s="251"/>
      <c r="C145" s="7" t="s">
        <v>2992</v>
      </c>
      <c r="D145" s="7" t="s">
        <v>2993</v>
      </c>
      <c r="E145" s="149" t="s">
        <v>2994</v>
      </c>
      <c r="F145" s="255" t="s">
        <v>2658</v>
      </c>
      <c r="G145" s="231">
        <f t="shared" si="11"/>
        <v>38193.96</v>
      </c>
      <c r="H145" s="208"/>
      <c r="I145" s="2" t="s">
        <v>2687</v>
      </c>
      <c r="J145" s="3"/>
      <c r="K145" s="3"/>
      <c r="L145" s="3"/>
      <c r="M145" s="24"/>
      <c r="N145" s="3"/>
      <c r="O145" s="24"/>
      <c r="P145" s="3"/>
      <c r="Q145" s="3"/>
      <c r="R145" s="24"/>
      <c r="S145" s="24"/>
      <c r="T145" s="3"/>
      <c r="U145" s="3"/>
      <c r="V145" s="3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3"/>
      <c r="AJ145" s="24"/>
      <c r="AK145" s="284"/>
      <c r="AL145" s="24"/>
      <c r="AM145" s="24"/>
      <c r="AN145" s="24"/>
      <c r="AO145" s="3"/>
      <c r="AP145" s="3"/>
      <c r="AQ145" s="3"/>
      <c r="AR145" s="3"/>
      <c r="AS145" s="24"/>
      <c r="AT145" s="24"/>
      <c r="AU145" s="24"/>
      <c r="AV145" s="24"/>
      <c r="AW145" s="24"/>
      <c r="AX145" s="24"/>
      <c r="AY145" s="3"/>
      <c r="AZ145" s="24">
        <f>G145</f>
        <v>38193.96</v>
      </c>
      <c r="BA145" s="24"/>
      <c r="BB145" s="24"/>
      <c r="BC145" s="24"/>
      <c r="BD145" s="24"/>
      <c r="BE145" s="24"/>
      <c r="BF145" s="24"/>
      <c r="BG145" s="24"/>
      <c r="BH145" s="343"/>
      <c r="BI145" s="343"/>
      <c r="BJ145" s="24"/>
      <c r="BK145" s="3"/>
      <c r="BL145" s="3"/>
      <c r="BM145" s="24"/>
      <c r="BN145" s="3"/>
      <c r="BO145" s="3"/>
      <c r="BP145" s="3"/>
      <c r="BQ145" s="3"/>
      <c r="BR145" s="3"/>
      <c r="BS145" s="24"/>
      <c r="BT145" s="24"/>
      <c r="BU145" s="24"/>
      <c r="BV145" s="24"/>
      <c r="BW145" s="24"/>
      <c r="BX145" s="24"/>
      <c r="BY145" s="24"/>
      <c r="BZ145" s="3"/>
      <c r="CA145" s="3"/>
      <c r="CB145" s="24"/>
      <c r="CC145" s="24"/>
      <c r="CD145" s="24"/>
      <c r="CE145" s="24"/>
      <c r="CF145" s="24"/>
      <c r="CG145" s="24"/>
      <c r="CH145" s="24"/>
      <c r="CI145" s="3"/>
      <c r="CJ145" s="3"/>
      <c r="CK145" s="24"/>
      <c r="CL145" s="24"/>
      <c r="CM145" s="24"/>
      <c r="CN145" s="24"/>
      <c r="CO145" s="24"/>
      <c r="CP145" s="24"/>
      <c r="CQ145" s="24"/>
      <c r="CR145" s="24"/>
      <c r="CS145" s="3"/>
      <c r="CT145" s="3"/>
      <c r="CU145" s="3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>
        <f t="shared" ref="DR145" si="17">SUM(M145:DQ145)</f>
        <v>38193.96</v>
      </c>
      <c r="DS145" s="3">
        <f t="shared" si="16"/>
        <v>0</v>
      </c>
      <c r="DU145" s="3">
        <v>38193.96</v>
      </c>
    </row>
    <row r="146" spans="1:125" x14ac:dyDescent="0.2">
      <c r="C146" s="7" t="s">
        <v>2461</v>
      </c>
      <c r="D146" s="7" t="s">
        <v>2249</v>
      </c>
      <c r="E146" s="203" t="s">
        <v>1527</v>
      </c>
      <c r="F146" s="33" t="s">
        <v>2661</v>
      </c>
      <c r="G146" s="231">
        <f t="shared" si="11"/>
        <v>32217</v>
      </c>
      <c r="H146" s="207"/>
      <c r="I146" s="2" t="s">
        <v>2697</v>
      </c>
      <c r="J146" s="2"/>
      <c r="K146" s="2"/>
      <c r="L146" s="2"/>
      <c r="M146" s="3"/>
      <c r="N146" s="3"/>
      <c r="O146" s="24"/>
      <c r="P146" s="3"/>
      <c r="Q146" s="3"/>
      <c r="R146" s="24"/>
      <c r="S146" s="24"/>
      <c r="T146" s="3"/>
      <c r="U146" s="3"/>
      <c r="V146" s="3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3"/>
      <c r="AJ146" s="24"/>
      <c r="AK146" s="284"/>
      <c r="AL146" s="24"/>
      <c r="AM146" s="3"/>
      <c r="AN146" s="3"/>
      <c r="AO146" s="3"/>
      <c r="AP146" s="3"/>
      <c r="AQ146" s="3"/>
      <c r="AR146" s="3"/>
      <c r="AS146" s="24"/>
      <c r="AT146" s="24"/>
      <c r="AU146" s="24"/>
      <c r="AV146" s="24"/>
      <c r="AW146" s="24"/>
      <c r="AX146" s="24"/>
      <c r="AY146" s="3"/>
      <c r="AZ146" s="24"/>
      <c r="BA146" s="24"/>
      <c r="BB146" s="24"/>
      <c r="BC146" s="24"/>
      <c r="BD146" s="24"/>
      <c r="BE146" s="24"/>
      <c r="BF146" s="24"/>
      <c r="BG146" s="24"/>
      <c r="BH146" s="343"/>
      <c r="BI146" s="343"/>
      <c r="BJ146" s="24"/>
      <c r="BK146" s="3"/>
      <c r="BL146" s="3"/>
      <c r="BM146" s="24"/>
      <c r="BN146" s="3"/>
      <c r="BO146" s="3"/>
      <c r="BP146" s="3"/>
      <c r="BQ146" s="3"/>
      <c r="BR146" s="3"/>
      <c r="BS146" s="3"/>
      <c r="BT146" s="3"/>
      <c r="BU146" s="24"/>
      <c r="BV146" s="24"/>
      <c r="BW146" s="24"/>
      <c r="BX146" s="24"/>
      <c r="BY146" s="24"/>
      <c r="BZ146" s="3"/>
      <c r="CA146" s="3"/>
      <c r="CB146" s="24"/>
      <c r="CC146" s="24"/>
      <c r="CD146" s="24"/>
      <c r="CE146" s="24"/>
      <c r="CF146" s="24"/>
      <c r="CG146" s="24"/>
      <c r="CH146" s="24">
        <f>G146</f>
        <v>32217</v>
      </c>
      <c r="CI146" s="3"/>
      <c r="CJ146" s="3"/>
      <c r="CK146" s="24"/>
      <c r="CL146" s="3"/>
      <c r="CM146" s="3"/>
      <c r="CN146" s="24"/>
      <c r="CO146" s="24"/>
      <c r="CP146" s="24"/>
      <c r="CQ146" s="24"/>
      <c r="CR146" s="24"/>
      <c r="CS146" s="3"/>
      <c r="CT146" s="3"/>
      <c r="CU146" s="3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3"/>
      <c r="DR146" s="24">
        <f t="shared" si="15"/>
        <v>32217</v>
      </c>
      <c r="DS146" s="3">
        <f t="shared" si="16"/>
        <v>0</v>
      </c>
      <c r="DU146" s="3">
        <v>32217</v>
      </c>
    </row>
    <row r="147" spans="1:125" x14ac:dyDescent="0.2">
      <c r="C147" s="7" t="s">
        <v>2231</v>
      </c>
      <c r="D147" s="7" t="s">
        <v>2462</v>
      </c>
      <c r="E147" s="202" t="s">
        <v>1295</v>
      </c>
      <c r="F147" s="33" t="s">
        <v>2661</v>
      </c>
      <c r="G147" s="231">
        <f t="shared" si="11"/>
        <v>70858.2</v>
      </c>
      <c r="H147" s="207"/>
      <c r="I147" s="2" t="s">
        <v>2964</v>
      </c>
      <c r="J147" s="2"/>
      <c r="K147" s="2"/>
      <c r="L147" s="2"/>
      <c r="M147" s="3"/>
      <c r="N147" s="3"/>
      <c r="O147" s="24"/>
      <c r="P147" s="3"/>
      <c r="Q147" s="3"/>
      <c r="R147" s="24"/>
      <c r="S147" s="24"/>
      <c r="T147" s="3"/>
      <c r="U147" s="3"/>
      <c r="V147" s="3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3"/>
      <c r="AJ147" s="24"/>
      <c r="AK147" s="284"/>
      <c r="AL147" s="24"/>
      <c r="AM147" s="3"/>
      <c r="AN147" s="3"/>
      <c r="AO147" s="3"/>
      <c r="AP147" s="3"/>
      <c r="AQ147" s="3"/>
      <c r="AR147" s="3"/>
      <c r="AS147" s="24"/>
      <c r="AT147" s="24"/>
      <c r="AU147" s="24"/>
      <c r="AV147" s="24"/>
      <c r="AW147" s="24"/>
      <c r="AX147" s="24"/>
      <c r="AY147" s="3"/>
      <c r="AZ147" s="24"/>
      <c r="BA147" s="24"/>
      <c r="BB147" s="24"/>
      <c r="BC147" s="24"/>
      <c r="BD147" s="24"/>
      <c r="BE147" s="24"/>
      <c r="BF147" s="24"/>
      <c r="BG147" s="24"/>
      <c r="BH147" s="343"/>
      <c r="BI147" s="343"/>
      <c r="BJ147" s="24"/>
      <c r="BK147" s="3"/>
      <c r="BL147" s="3"/>
      <c r="BM147" s="24"/>
      <c r="BN147" s="3"/>
      <c r="BO147" s="3"/>
      <c r="BP147" s="3"/>
      <c r="BQ147" s="3"/>
      <c r="BR147" s="3"/>
      <c r="BS147" s="3"/>
      <c r="BT147" s="3"/>
      <c r="BU147" s="24"/>
      <c r="BV147" s="24"/>
      <c r="BW147" s="24"/>
      <c r="BX147" s="24"/>
      <c r="BY147" s="24"/>
      <c r="BZ147" s="3">
        <f>G147</f>
        <v>70858.2</v>
      </c>
      <c r="CA147" s="3"/>
      <c r="CB147" s="24"/>
      <c r="CC147" s="24"/>
      <c r="CD147" s="24"/>
      <c r="CE147" s="24"/>
      <c r="CF147" s="24"/>
      <c r="CG147" s="24"/>
      <c r="CH147" s="24"/>
      <c r="CI147" s="3"/>
      <c r="CJ147" s="3"/>
      <c r="CK147" s="24"/>
      <c r="CL147" s="3"/>
      <c r="CM147" s="24"/>
      <c r="CN147" s="24"/>
      <c r="CO147" s="24"/>
      <c r="CP147" s="24"/>
      <c r="CQ147" s="24"/>
      <c r="CR147" s="24"/>
      <c r="CS147" s="3"/>
      <c r="CT147" s="3"/>
      <c r="CU147" s="3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3"/>
      <c r="DR147" s="24">
        <f t="shared" si="15"/>
        <v>70858.2</v>
      </c>
      <c r="DS147" s="3">
        <f t="shared" si="16"/>
        <v>0</v>
      </c>
      <c r="DU147" s="3">
        <v>70858.2</v>
      </c>
    </row>
    <row r="148" spans="1:125" x14ac:dyDescent="0.2">
      <c r="C148" s="7" t="s">
        <v>2463</v>
      </c>
      <c r="D148" s="7" t="s">
        <v>2464</v>
      </c>
      <c r="E148" s="152" t="s">
        <v>1126</v>
      </c>
      <c r="F148" s="33" t="s">
        <v>2661</v>
      </c>
      <c r="G148" s="231">
        <f t="shared" si="11"/>
        <v>42590.04</v>
      </c>
      <c r="H148" s="207"/>
      <c r="I148" s="2" t="s">
        <v>2692</v>
      </c>
      <c r="J148" s="2"/>
      <c r="K148" s="2"/>
      <c r="L148" s="2"/>
      <c r="M148" s="3"/>
      <c r="N148" s="3"/>
      <c r="O148" s="24"/>
      <c r="P148" s="3"/>
      <c r="Q148" s="3"/>
      <c r="R148" s="24"/>
      <c r="S148" s="24"/>
      <c r="T148" s="3"/>
      <c r="U148" s="3"/>
      <c r="V148" s="3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3"/>
      <c r="AJ148" s="24"/>
      <c r="AK148" s="284"/>
      <c r="AL148" s="24"/>
      <c r="AM148" s="3"/>
      <c r="AN148" s="3"/>
      <c r="AO148" s="3"/>
      <c r="AP148" s="3"/>
      <c r="AQ148" s="3"/>
      <c r="AR148" s="3"/>
      <c r="AS148" s="24"/>
      <c r="AT148" s="24"/>
      <c r="AU148" s="24"/>
      <c r="AV148" s="24"/>
      <c r="AW148" s="24"/>
      <c r="AX148" s="24"/>
      <c r="AY148" s="3"/>
      <c r="AZ148" s="24"/>
      <c r="BA148" s="24"/>
      <c r="BB148" s="24"/>
      <c r="BC148" s="24"/>
      <c r="BD148" s="24"/>
      <c r="BE148" s="24"/>
      <c r="BF148" s="24"/>
      <c r="BG148" s="24"/>
      <c r="BH148" s="343"/>
      <c r="BI148" s="343"/>
      <c r="BJ148" s="24"/>
      <c r="BK148" s="3"/>
      <c r="BL148" s="3"/>
      <c r="BM148" s="24"/>
      <c r="BN148" s="3"/>
      <c r="BO148" s="3"/>
      <c r="BP148" s="3"/>
      <c r="BQ148" s="3"/>
      <c r="BR148" s="3"/>
      <c r="BS148" s="3"/>
      <c r="BT148" s="3"/>
      <c r="BU148" s="24">
        <f>G148</f>
        <v>42590.04</v>
      </c>
      <c r="BV148" s="24"/>
      <c r="BW148" s="24"/>
      <c r="BX148" s="24"/>
      <c r="BY148" s="24"/>
      <c r="BZ148" s="3"/>
      <c r="CA148" s="3"/>
      <c r="CB148" s="24"/>
      <c r="CC148" s="24"/>
      <c r="CD148" s="24"/>
      <c r="CE148" s="24"/>
      <c r="CF148" s="24"/>
      <c r="CG148" s="24"/>
      <c r="CH148" s="24"/>
      <c r="CI148" s="3"/>
      <c r="CJ148" s="3"/>
      <c r="CK148" s="24"/>
      <c r="CL148" s="3"/>
      <c r="CM148" s="3"/>
      <c r="CN148" s="24"/>
      <c r="CO148" s="24"/>
      <c r="CP148" s="24"/>
      <c r="CQ148" s="24"/>
      <c r="CR148" s="24"/>
      <c r="CS148" s="3"/>
      <c r="CT148" s="3"/>
      <c r="CU148" s="3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3"/>
      <c r="DR148" s="24">
        <f t="shared" si="15"/>
        <v>42590.04</v>
      </c>
      <c r="DS148" s="3">
        <f t="shared" si="16"/>
        <v>0</v>
      </c>
      <c r="DU148" s="3">
        <v>42590.04</v>
      </c>
    </row>
    <row r="149" spans="1:125" x14ac:dyDescent="0.2">
      <c r="C149" s="7" t="s">
        <v>2465</v>
      </c>
      <c r="D149" s="7" t="s">
        <v>2466</v>
      </c>
      <c r="E149" s="147" t="s">
        <v>786</v>
      </c>
      <c r="F149" s="33" t="s">
        <v>2658</v>
      </c>
      <c r="G149" s="231">
        <f t="shared" si="11"/>
        <v>42582</v>
      </c>
      <c r="H149" s="207"/>
      <c r="I149" s="2" t="s">
        <v>2687</v>
      </c>
      <c r="J149" s="2"/>
      <c r="K149" s="2"/>
      <c r="L149" s="2"/>
      <c r="M149" s="3"/>
      <c r="N149" s="3"/>
      <c r="O149" s="24"/>
      <c r="P149" s="3"/>
      <c r="Q149" s="3"/>
      <c r="R149" s="24"/>
      <c r="S149" s="24"/>
      <c r="T149" s="3"/>
      <c r="U149" s="3"/>
      <c r="V149" s="3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3"/>
      <c r="AJ149" s="24"/>
      <c r="AK149" s="284"/>
      <c r="AL149" s="24"/>
      <c r="AM149" s="3"/>
      <c r="AN149" s="3"/>
      <c r="AO149" s="3"/>
      <c r="AP149" s="3"/>
      <c r="AQ149" s="3"/>
      <c r="AR149" s="3"/>
      <c r="AS149" s="24"/>
      <c r="AT149" s="24"/>
      <c r="AU149" s="24"/>
      <c r="AV149" s="24"/>
      <c r="AW149" s="24"/>
      <c r="AX149" s="24"/>
      <c r="AY149" s="3"/>
      <c r="AZ149" s="24">
        <f>G149</f>
        <v>42582</v>
      </c>
      <c r="BA149" s="24"/>
      <c r="BB149" s="24"/>
      <c r="BC149" s="24"/>
      <c r="BD149" s="24"/>
      <c r="BE149" s="24"/>
      <c r="BF149" s="24"/>
      <c r="BG149" s="24"/>
      <c r="BH149" s="343"/>
      <c r="BI149" s="343"/>
      <c r="BJ149" s="24"/>
      <c r="BK149" s="3"/>
      <c r="BL149" s="3"/>
      <c r="BM149" s="24"/>
      <c r="BN149" s="3"/>
      <c r="BO149" s="3"/>
      <c r="BP149" s="3"/>
      <c r="BQ149" s="3"/>
      <c r="BR149" s="3"/>
      <c r="BS149" s="3"/>
      <c r="BT149" s="3"/>
      <c r="BU149" s="24"/>
      <c r="BV149" s="24"/>
      <c r="BW149" s="24"/>
      <c r="BX149" s="24"/>
      <c r="BY149" s="24"/>
      <c r="BZ149" s="3"/>
      <c r="CA149" s="3"/>
      <c r="CB149" s="24"/>
      <c r="CC149" s="24"/>
      <c r="CD149" s="24"/>
      <c r="CE149" s="24"/>
      <c r="CF149" s="24"/>
      <c r="CG149" s="24"/>
      <c r="CH149" s="24"/>
      <c r="CI149" s="3"/>
      <c r="CJ149" s="3"/>
      <c r="CK149" s="24"/>
      <c r="CL149" s="3"/>
      <c r="CM149" s="3"/>
      <c r="CN149" s="24"/>
      <c r="CO149" s="24"/>
      <c r="CP149" s="24"/>
      <c r="CQ149" s="24"/>
      <c r="CR149" s="24"/>
      <c r="CS149" s="3"/>
      <c r="CT149" s="3"/>
      <c r="CU149" s="3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3"/>
      <c r="DR149" s="24">
        <f t="shared" si="15"/>
        <v>42582</v>
      </c>
      <c r="DS149" s="3">
        <f t="shared" si="16"/>
        <v>0</v>
      </c>
      <c r="DU149" s="3">
        <v>42582</v>
      </c>
    </row>
    <row r="150" spans="1:125" x14ac:dyDescent="0.2">
      <c r="A150" s="251"/>
      <c r="C150" s="7" t="s">
        <v>2823</v>
      </c>
      <c r="D150" s="7" t="s">
        <v>2253</v>
      </c>
      <c r="E150" s="202" t="s">
        <v>2824</v>
      </c>
      <c r="F150" s="255" t="s">
        <v>2661</v>
      </c>
      <c r="G150" s="231">
        <f t="shared" si="11"/>
        <v>62744.04</v>
      </c>
      <c r="H150" s="207"/>
      <c r="I150" s="2" t="s">
        <v>2678</v>
      </c>
      <c r="J150" s="2"/>
      <c r="K150" s="2"/>
      <c r="L150" s="2"/>
      <c r="M150" s="3"/>
      <c r="N150" s="3"/>
      <c r="O150" s="24"/>
      <c r="P150" s="3"/>
      <c r="Q150" s="3"/>
      <c r="R150" s="24"/>
      <c r="S150" s="24"/>
      <c r="T150" s="3"/>
      <c r="U150" s="3"/>
      <c r="V150" s="3"/>
      <c r="W150" s="24"/>
      <c r="X150" s="24">
        <f>+G150</f>
        <v>62744.04</v>
      </c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3"/>
      <c r="AJ150" s="24"/>
      <c r="AK150" s="284"/>
      <c r="AL150" s="24"/>
      <c r="AM150" s="3"/>
      <c r="AN150" s="3"/>
      <c r="AO150" s="3"/>
      <c r="AP150" s="3"/>
      <c r="AQ150" s="3"/>
      <c r="AR150" s="3"/>
      <c r="AS150" s="24"/>
      <c r="AT150" s="24"/>
      <c r="AU150" s="24"/>
      <c r="AV150" s="24"/>
      <c r="AW150" s="24"/>
      <c r="AX150" s="24"/>
      <c r="AY150" s="3"/>
      <c r="AZ150" s="24"/>
      <c r="BA150" s="24"/>
      <c r="BB150" s="24"/>
      <c r="BC150" s="24"/>
      <c r="BD150" s="24"/>
      <c r="BE150" s="24"/>
      <c r="BF150" s="24"/>
      <c r="BG150" s="24"/>
      <c r="BH150" s="343"/>
      <c r="BI150" s="343"/>
      <c r="BJ150" s="24"/>
      <c r="BK150" s="3"/>
      <c r="BL150" s="3"/>
      <c r="BM150" s="24"/>
      <c r="BN150" s="3"/>
      <c r="BO150" s="3"/>
      <c r="BP150" s="3"/>
      <c r="BQ150" s="3"/>
      <c r="BR150" s="3"/>
      <c r="BS150" s="3"/>
      <c r="BT150" s="3"/>
      <c r="BU150" s="24"/>
      <c r="BV150" s="24"/>
      <c r="BW150" s="24"/>
      <c r="BX150" s="24"/>
      <c r="BY150" s="24"/>
      <c r="BZ150" s="3"/>
      <c r="CA150" s="3"/>
      <c r="CB150" s="24"/>
      <c r="CC150" s="24"/>
      <c r="CD150" s="24"/>
      <c r="CE150" s="24"/>
      <c r="CF150" s="24"/>
      <c r="CG150" s="24"/>
      <c r="CH150" s="24"/>
      <c r="CI150" s="3"/>
      <c r="CJ150" s="3"/>
      <c r="CK150" s="24"/>
      <c r="CL150" s="3"/>
      <c r="CM150" s="3"/>
      <c r="CN150" s="24"/>
      <c r="CO150" s="24"/>
      <c r="CP150" s="24"/>
      <c r="CQ150" s="24"/>
      <c r="CR150" s="24"/>
      <c r="CS150" s="3"/>
      <c r="CT150" s="3"/>
      <c r="CU150" s="3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3"/>
      <c r="DR150" s="24">
        <f t="shared" si="15"/>
        <v>62744.04</v>
      </c>
      <c r="DS150" s="3">
        <f t="shared" si="16"/>
        <v>0</v>
      </c>
      <c r="DU150" s="3">
        <v>62744.04</v>
      </c>
    </row>
    <row r="151" spans="1:125" x14ac:dyDescent="0.2">
      <c r="C151" s="7" t="s">
        <v>2467</v>
      </c>
      <c r="D151" s="7" t="s">
        <v>2468</v>
      </c>
      <c r="E151" s="152" t="s">
        <v>2021</v>
      </c>
      <c r="F151" s="33" t="s">
        <v>2661</v>
      </c>
      <c r="G151" s="231">
        <f t="shared" si="11"/>
        <v>43544.04</v>
      </c>
      <c r="H151" s="207"/>
      <c r="I151" s="2" t="s">
        <v>2692</v>
      </c>
      <c r="J151" s="2"/>
      <c r="K151" s="2"/>
      <c r="L151" s="2"/>
      <c r="M151" s="3"/>
      <c r="N151" s="3"/>
      <c r="O151" s="24"/>
      <c r="P151" s="3"/>
      <c r="Q151" s="3"/>
      <c r="R151" s="24"/>
      <c r="S151" s="24"/>
      <c r="T151" s="3"/>
      <c r="U151" s="3"/>
      <c r="V151" s="3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3"/>
      <c r="AJ151" s="24"/>
      <c r="AK151" s="284"/>
      <c r="AL151" s="24"/>
      <c r="AM151" s="3"/>
      <c r="AN151" s="3"/>
      <c r="AO151" s="3"/>
      <c r="AP151" s="3"/>
      <c r="AQ151" s="3"/>
      <c r="AR151" s="3"/>
      <c r="AS151" s="24"/>
      <c r="AT151" s="24"/>
      <c r="AU151" s="24"/>
      <c r="AV151" s="24"/>
      <c r="AW151" s="24"/>
      <c r="AX151" s="24"/>
      <c r="AY151" s="3"/>
      <c r="AZ151" s="24"/>
      <c r="BA151" s="24"/>
      <c r="BB151" s="24"/>
      <c r="BC151" s="24"/>
      <c r="BD151" s="24"/>
      <c r="BE151" s="24"/>
      <c r="BF151" s="24"/>
      <c r="BG151" s="24"/>
      <c r="BH151" s="343"/>
      <c r="BI151" s="343"/>
      <c r="BJ151" s="24"/>
      <c r="BK151" s="3"/>
      <c r="BL151" s="3"/>
      <c r="BM151" s="24"/>
      <c r="BN151" s="3"/>
      <c r="BO151" s="3"/>
      <c r="BP151" s="3"/>
      <c r="BQ151" s="3"/>
      <c r="BR151" s="3"/>
      <c r="BS151" s="3"/>
      <c r="BT151" s="3"/>
      <c r="BU151" s="24">
        <f>G151</f>
        <v>43544.04</v>
      </c>
      <c r="BV151" s="24"/>
      <c r="BW151" s="24"/>
      <c r="BX151" s="24"/>
      <c r="BY151" s="24"/>
      <c r="BZ151" s="3"/>
      <c r="CA151" s="3"/>
      <c r="CB151" s="24"/>
      <c r="CC151" s="24"/>
      <c r="CD151" s="24"/>
      <c r="CE151" s="24"/>
      <c r="CF151" s="24"/>
      <c r="CG151" s="24"/>
      <c r="CH151" s="24"/>
      <c r="CI151" s="3"/>
      <c r="CJ151" s="3"/>
      <c r="CK151" s="24"/>
      <c r="CL151" s="3"/>
      <c r="CM151" s="3"/>
      <c r="CN151" s="24"/>
      <c r="CO151" s="24"/>
      <c r="CP151" s="24"/>
      <c r="CQ151" s="24"/>
      <c r="CR151" s="24"/>
      <c r="CS151" s="3"/>
      <c r="CT151" s="3"/>
      <c r="CU151" s="3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3"/>
      <c r="DR151" s="24">
        <f t="shared" si="15"/>
        <v>43544.04</v>
      </c>
      <c r="DS151" s="3">
        <f t="shared" si="16"/>
        <v>0</v>
      </c>
      <c r="DU151" s="3">
        <v>43544.04</v>
      </c>
    </row>
    <row r="152" spans="1:125" x14ac:dyDescent="0.2">
      <c r="A152" s="251"/>
      <c r="C152" s="7" t="s">
        <v>2368</v>
      </c>
      <c r="D152" s="7" t="s">
        <v>2470</v>
      </c>
      <c r="E152" s="202" t="s">
        <v>1296</v>
      </c>
      <c r="F152" s="33" t="s">
        <v>2661</v>
      </c>
      <c r="G152" s="231">
        <f t="shared" si="11"/>
        <v>50600.14</v>
      </c>
      <c r="H152" s="207"/>
      <c r="I152" s="2" t="s">
        <v>2677</v>
      </c>
      <c r="J152" s="2"/>
      <c r="K152" s="2"/>
      <c r="L152" s="2"/>
      <c r="M152" s="3"/>
      <c r="N152" s="3"/>
      <c r="O152" s="3"/>
      <c r="P152" s="24"/>
      <c r="Q152" s="3"/>
      <c r="R152" s="3"/>
      <c r="S152" s="3"/>
      <c r="T152" s="3"/>
      <c r="U152" s="3"/>
      <c r="V152" s="3"/>
      <c r="W152" s="3">
        <f>G152</f>
        <v>50600.14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8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24">
        <f t="shared" si="15"/>
        <v>50600.14</v>
      </c>
      <c r="DS152" s="3">
        <f>DR152-G152</f>
        <v>0</v>
      </c>
      <c r="DU152" s="3">
        <v>50600.14</v>
      </c>
    </row>
    <row r="153" spans="1:125" x14ac:dyDescent="0.2">
      <c r="C153" s="7" t="s">
        <v>2471</v>
      </c>
      <c r="D153" s="7" t="s">
        <v>2472</v>
      </c>
      <c r="E153" s="203" t="s">
        <v>353</v>
      </c>
      <c r="F153" s="33" t="s">
        <v>2661</v>
      </c>
      <c r="G153" s="231">
        <f t="shared" si="11"/>
        <v>31287</v>
      </c>
      <c r="H153" s="207"/>
      <c r="I153" s="2" t="s">
        <v>2686</v>
      </c>
      <c r="J153" s="342"/>
      <c r="K153" s="2"/>
      <c r="L153" s="2"/>
      <c r="M153" s="3"/>
      <c r="N153" s="3"/>
      <c r="O153" s="24"/>
      <c r="P153" s="3"/>
      <c r="Q153" s="3"/>
      <c r="R153" s="24"/>
      <c r="S153" s="24"/>
      <c r="T153" s="3"/>
      <c r="U153" s="3"/>
      <c r="V153" s="3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3"/>
      <c r="AJ153" s="24"/>
      <c r="AK153" s="284"/>
      <c r="AL153" s="24"/>
      <c r="AM153" s="3"/>
      <c r="AN153" s="3"/>
      <c r="AO153" s="3"/>
      <c r="AP153" s="3"/>
      <c r="AQ153" s="3"/>
      <c r="AR153" s="3"/>
      <c r="AS153" s="24"/>
      <c r="AT153" s="24"/>
      <c r="AU153" s="24">
        <f>+G153</f>
        <v>31287</v>
      </c>
      <c r="AV153" s="24"/>
      <c r="AW153" s="24"/>
      <c r="AX153" s="24"/>
      <c r="AY153" s="3"/>
      <c r="AZ153" s="24"/>
      <c r="BA153" s="24"/>
      <c r="BB153" s="24"/>
      <c r="BC153" s="24"/>
      <c r="BD153" s="24"/>
      <c r="BE153" s="24"/>
      <c r="BF153" s="24"/>
      <c r="BG153" s="24"/>
      <c r="BH153" s="343"/>
      <c r="BI153" s="343"/>
      <c r="BJ153" s="24"/>
      <c r="BK153" s="3"/>
      <c r="BL153" s="3"/>
      <c r="BM153" s="24"/>
      <c r="BN153" s="3"/>
      <c r="BO153" s="3"/>
      <c r="BP153" s="3"/>
      <c r="BQ153" s="3"/>
      <c r="BR153" s="3"/>
      <c r="BS153" s="3"/>
      <c r="BT153" s="3"/>
      <c r="BU153" s="24"/>
      <c r="BV153" s="24"/>
      <c r="BW153" s="24"/>
      <c r="BX153" s="24"/>
      <c r="BY153" s="24"/>
      <c r="BZ153" s="3"/>
      <c r="CA153" s="3"/>
      <c r="CB153" s="24"/>
      <c r="CC153" s="24"/>
      <c r="CD153" s="24"/>
      <c r="CE153" s="24"/>
      <c r="CF153" s="24"/>
      <c r="CG153" s="24"/>
      <c r="CH153" s="24"/>
      <c r="CI153" s="3"/>
      <c r="CJ153" s="3"/>
      <c r="CK153" s="24"/>
      <c r="CL153" s="3"/>
      <c r="CM153" s="3"/>
      <c r="CN153" s="24"/>
      <c r="CO153" s="24"/>
      <c r="CP153" s="24"/>
      <c r="CQ153" s="24"/>
      <c r="CR153" s="24"/>
      <c r="CS153" s="3"/>
      <c r="CT153" s="3"/>
      <c r="CU153" s="3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3"/>
      <c r="DR153" s="24">
        <f t="shared" si="15"/>
        <v>31287</v>
      </c>
      <c r="DS153" s="3">
        <f t="shared" si="16"/>
        <v>0</v>
      </c>
      <c r="DU153" s="3">
        <v>31287</v>
      </c>
    </row>
    <row r="154" spans="1:125" x14ac:dyDescent="0.2">
      <c r="A154" s="251"/>
      <c r="C154" s="7" t="s">
        <v>2473</v>
      </c>
      <c r="D154" s="7" t="s">
        <v>2474</v>
      </c>
      <c r="E154" s="203" t="s">
        <v>1532</v>
      </c>
      <c r="F154" s="255" t="s">
        <v>2661</v>
      </c>
      <c r="G154" s="231">
        <f t="shared" si="11"/>
        <v>36710.400000000001</v>
      </c>
      <c r="H154" s="207"/>
      <c r="I154" s="2" t="s">
        <v>2696</v>
      </c>
      <c r="J154" s="2"/>
      <c r="K154" s="2"/>
      <c r="L154" s="2"/>
      <c r="M154" s="3"/>
      <c r="N154" s="3"/>
      <c r="O154" s="24"/>
      <c r="P154" s="3"/>
      <c r="Q154" s="3"/>
      <c r="R154" s="24"/>
      <c r="S154" s="24"/>
      <c r="T154" s="3"/>
      <c r="U154" s="3"/>
      <c r="V154" s="3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3"/>
      <c r="AJ154" s="24"/>
      <c r="AK154" s="284"/>
      <c r="AL154" s="24"/>
      <c r="AM154" s="3"/>
      <c r="AN154" s="3"/>
      <c r="AO154" s="3"/>
      <c r="AP154" s="3"/>
      <c r="AQ154" s="3"/>
      <c r="AR154" s="3"/>
      <c r="AS154" s="24"/>
      <c r="AT154" s="24"/>
      <c r="AU154" s="24"/>
      <c r="AV154" s="24"/>
      <c r="AW154" s="24"/>
      <c r="AX154" s="24"/>
      <c r="AY154" s="3"/>
      <c r="AZ154" s="24"/>
      <c r="BA154" s="24"/>
      <c r="BB154" s="24"/>
      <c r="BC154" s="24"/>
      <c r="BD154" s="24"/>
      <c r="BE154" s="24"/>
      <c r="BF154" s="24"/>
      <c r="BG154" s="24"/>
      <c r="BH154" s="343"/>
      <c r="BI154" s="343"/>
      <c r="BJ154" s="24"/>
      <c r="BK154" s="3"/>
      <c r="BL154" s="3"/>
      <c r="BM154" s="24"/>
      <c r="BN154" s="3"/>
      <c r="BO154" s="3"/>
      <c r="BP154" s="3"/>
      <c r="BQ154" s="3"/>
      <c r="BR154" s="3"/>
      <c r="BS154" s="3"/>
      <c r="BT154" s="3"/>
      <c r="BU154" s="24"/>
      <c r="BV154" s="24"/>
      <c r="BW154" s="24"/>
      <c r="BX154" s="24"/>
      <c r="BY154" s="24"/>
      <c r="BZ154" s="3"/>
      <c r="CA154" s="3"/>
      <c r="CB154" s="24"/>
      <c r="CC154" s="24"/>
      <c r="CD154" s="24"/>
      <c r="CE154" s="24"/>
      <c r="CF154" s="24"/>
      <c r="CG154" s="24">
        <f>G154</f>
        <v>36710.400000000001</v>
      </c>
      <c r="CH154" s="3" t="s">
        <v>342</v>
      </c>
      <c r="CI154" s="3"/>
      <c r="CJ154" s="3"/>
      <c r="CK154" s="24"/>
      <c r="CL154" s="3"/>
      <c r="CM154" s="3"/>
      <c r="CN154" s="24"/>
      <c r="CO154" s="24"/>
      <c r="CP154" s="24"/>
      <c r="CQ154" s="24"/>
      <c r="CR154" s="24"/>
      <c r="CS154" s="3"/>
      <c r="CT154" s="3"/>
      <c r="CU154" s="3"/>
      <c r="CV154" s="24"/>
      <c r="CW154" s="24"/>
      <c r="CX154" s="24"/>
      <c r="CY154" s="24"/>
      <c r="CZ154" s="24"/>
      <c r="DA154" s="24"/>
      <c r="DB154" s="24"/>
      <c r="DC154" s="24"/>
      <c r="DD154" s="3" t="s">
        <v>342</v>
      </c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3"/>
      <c r="DR154" s="24">
        <f t="shared" si="15"/>
        <v>36710.400000000001</v>
      </c>
      <c r="DS154" s="3">
        <f t="shared" si="16"/>
        <v>0</v>
      </c>
      <c r="DU154" s="3">
        <v>36710.400000000001</v>
      </c>
    </row>
    <row r="155" spans="1:125" x14ac:dyDescent="0.2">
      <c r="C155" s="7" t="s">
        <v>2475</v>
      </c>
      <c r="D155" s="7" t="s">
        <v>2476</v>
      </c>
      <c r="E155" s="147" t="s">
        <v>427</v>
      </c>
      <c r="F155" s="33" t="s">
        <v>2658</v>
      </c>
      <c r="G155" s="231">
        <f t="shared" si="11"/>
        <v>51814</v>
      </c>
      <c r="H155" s="207"/>
      <c r="I155" s="2" t="s">
        <v>2687</v>
      </c>
      <c r="J155" s="2"/>
      <c r="K155" s="2"/>
      <c r="L155" s="2"/>
      <c r="M155" s="3"/>
      <c r="N155" s="3"/>
      <c r="O155" s="24"/>
      <c r="P155" s="3"/>
      <c r="Q155" s="3"/>
      <c r="R155" s="24"/>
      <c r="S155" s="24"/>
      <c r="T155" s="3"/>
      <c r="U155" s="3"/>
      <c r="V155" s="3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3"/>
      <c r="AJ155" s="24"/>
      <c r="AK155" s="284"/>
      <c r="AL155" s="24"/>
      <c r="AM155" s="3"/>
      <c r="AN155" s="3"/>
      <c r="AO155" s="3"/>
      <c r="AP155" s="3"/>
      <c r="AQ155" s="3"/>
      <c r="AR155" s="3"/>
      <c r="AS155" s="24"/>
      <c r="AT155" s="24"/>
      <c r="AU155" s="24"/>
      <c r="AV155" s="24"/>
      <c r="AW155" s="24"/>
      <c r="AX155" s="24"/>
      <c r="AY155" s="3"/>
      <c r="AZ155" s="24">
        <f>G155</f>
        <v>51814</v>
      </c>
      <c r="BA155" s="24"/>
      <c r="BB155" s="24"/>
      <c r="BC155" s="24"/>
      <c r="BD155" s="24"/>
      <c r="BE155" s="24"/>
      <c r="BF155" s="24"/>
      <c r="BG155" s="24"/>
      <c r="BH155" s="343"/>
      <c r="BI155" s="343"/>
      <c r="BJ155" s="24"/>
      <c r="BK155" s="3"/>
      <c r="BL155" s="3"/>
      <c r="BM155" s="24"/>
      <c r="BN155" s="3"/>
      <c r="BO155" s="3"/>
      <c r="BP155" s="3"/>
      <c r="BQ155" s="3"/>
      <c r="BR155" s="3"/>
      <c r="BS155" s="3"/>
      <c r="BT155" s="3"/>
      <c r="BU155" s="24"/>
      <c r="BV155" s="24"/>
      <c r="BW155" s="24"/>
      <c r="BX155" s="24"/>
      <c r="BY155" s="24"/>
      <c r="BZ155" s="3"/>
      <c r="CA155" s="3"/>
      <c r="CB155" s="24"/>
      <c r="CC155" s="24"/>
      <c r="CD155" s="24"/>
      <c r="CE155" s="24"/>
      <c r="CF155" s="24"/>
      <c r="CG155" s="24"/>
      <c r="CH155" s="3"/>
      <c r="CI155" s="3"/>
      <c r="CJ155" s="3"/>
      <c r="CK155" s="24"/>
      <c r="CL155" s="3"/>
      <c r="CM155" s="3"/>
      <c r="CN155" s="24"/>
      <c r="CO155" s="24"/>
      <c r="CP155" s="24"/>
      <c r="CQ155" s="24"/>
      <c r="CR155" s="24"/>
      <c r="CS155" s="3"/>
      <c r="CT155" s="3"/>
      <c r="CU155" s="3"/>
      <c r="CV155" s="24"/>
      <c r="CW155" s="24"/>
      <c r="CX155" s="24"/>
      <c r="CY155" s="24"/>
      <c r="CZ155" s="24"/>
      <c r="DA155" s="24"/>
      <c r="DB155" s="24"/>
      <c r="DC155" s="24"/>
      <c r="DD155" s="3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3"/>
      <c r="DR155" s="24">
        <f t="shared" si="15"/>
        <v>51814</v>
      </c>
      <c r="DS155" s="3">
        <f t="shared" si="16"/>
        <v>0</v>
      </c>
      <c r="DU155" s="3">
        <v>51814</v>
      </c>
    </row>
    <row r="156" spans="1:125" x14ac:dyDescent="0.2">
      <c r="C156" s="7" t="s">
        <v>2514</v>
      </c>
      <c r="D156" s="7" t="s">
        <v>2358</v>
      </c>
      <c r="E156" s="202" t="s">
        <v>2784</v>
      </c>
      <c r="F156" s="33" t="s">
        <v>2661</v>
      </c>
      <c r="G156" s="231">
        <f t="shared" si="11"/>
        <v>40271.879999999997</v>
      </c>
      <c r="H156" s="207"/>
      <c r="I156" s="2" t="s">
        <v>2797</v>
      </c>
      <c r="J156" s="2"/>
      <c r="K156" s="2"/>
      <c r="L156" s="2"/>
      <c r="M156" s="3"/>
      <c r="N156" s="3"/>
      <c r="O156" s="24"/>
      <c r="P156" s="3"/>
      <c r="Q156" s="3"/>
      <c r="R156" s="24"/>
      <c r="S156" s="24"/>
      <c r="T156" s="3"/>
      <c r="U156" s="3"/>
      <c r="V156" s="3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3"/>
      <c r="AJ156" s="24"/>
      <c r="AK156" s="284"/>
      <c r="AL156" s="24"/>
      <c r="AM156" s="3"/>
      <c r="AN156" s="3"/>
      <c r="AO156" s="3"/>
      <c r="AP156" s="3"/>
      <c r="AQ156" s="3"/>
      <c r="AR156" s="3"/>
      <c r="AS156" s="24"/>
      <c r="AT156" s="24"/>
      <c r="AU156" s="24"/>
      <c r="AV156" s="24"/>
      <c r="AW156" s="24"/>
      <c r="AX156" s="24"/>
      <c r="AY156" s="3"/>
      <c r="AZ156" s="24"/>
      <c r="BA156" s="24"/>
      <c r="BB156" s="24"/>
      <c r="BC156" s="24"/>
      <c r="BD156" s="24"/>
      <c r="BE156" s="24"/>
      <c r="BF156" s="24"/>
      <c r="BG156" s="24"/>
      <c r="BH156" s="343"/>
      <c r="BI156" s="343"/>
      <c r="BJ156" s="24"/>
      <c r="BK156" s="3">
        <f>+G156</f>
        <v>40271.879999999997</v>
      </c>
      <c r="BL156" s="3"/>
      <c r="BM156" s="24"/>
      <c r="BN156" s="3"/>
      <c r="BO156" s="3"/>
      <c r="BP156" s="3"/>
      <c r="BQ156" s="3"/>
      <c r="BR156" s="3"/>
      <c r="BS156" s="3"/>
      <c r="BT156" s="3"/>
      <c r="BU156" s="24"/>
      <c r="BV156" s="24"/>
      <c r="BW156" s="24"/>
      <c r="BX156" s="24"/>
      <c r="BY156" s="24"/>
      <c r="BZ156" s="3"/>
      <c r="CA156" s="24"/>
      <c r="CB156" s="24"/>
      <c r="CC156" s="24"/>
      <c r="CD156" s="24"/>
      <c r="CE156" s="24"/>
      <c r="CF156" s="24"/>
      <c r="CG156" s="24"/>
      <c r="CH156" s="24"/>
      <c r="CI156" s="3"/>
      <c r="CJ156" s="3"/>
      <c r="CK156" s="24"/>
      <c r="CL156" s="3"/>
      <c r="CM156" s="3"/>
      <c r="CN156" s="24"/>
      <c r="CO156" s="24"/>
      <c r="CP156" s="24"/>
      <c r="CQ156" s="24">
        <v>0</v>
      </c>
      <c r="CR156" s="24"/>
      <c r="CS156" s="3"/>
      <c r="CT156" s="3"/>
      <c r="CU156" s="3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3"/>
      <c r="DR156" s="24">
        <f t="shared" si="15"/>
        <v>40271.879999999997</v>
      </c>
      <c r="DS156" s="3">
        <f t="shared" si="16"/>
        <v>0</v>
      </c>
      <c r="DU156" s="3">
        <v>40271.879999999997</v>
      </c>
    </row>
    <row r="157" spans="1:125" x14ac:dyDescent="0.2">
      <c r="C157" s="7" t="s">
        <v>2478</v>
      </c>
      <c r="D157" s="7" t="s">
        <v>2479</v>
      </c>
      <c r="E157" s="202" t="s">
        <v>354</v>
      </c>
      <c r="F157" s="33" t="s">
        <v>2661</v>
      </c>
      <c r="G157" s="231">
        <f t="shared" si="11"/>
        <v>58985.4</v>
      </c>
      <c r="H157" s="207"/>
      <c r="I157" s="2" t="s">
        <v>3695</v>
      </c>
      <c r="J157" s="2"/>
      <c r="K157" s="2"/>
      <c r="L157" s="2"/>
      <c r="M157" s="24"/>
      <c r="N157" s="3"/>
      <c r="O157" s="24"/>
      <c r="P157" s="3"/>
      <c r="Q157" s="3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3"/>
      <c r="AJ157" s="24"/>
      <c r="AK157" s="284"/>
      <c r="AL157" s="24"/>
      <c r="AM157" s="24"/>
      <c r="AN157" s="24"/>
      <c r="AO157" s="3">
        <f>G157</f>
        <v>58985.4</v>
      </c>
      <c r="AP157" s="3"/>
      <c r="AQ157" s="3"/>
      <c r="AR157" s="3"/>
      <c r="AS157" s="24"/>
      <c r="AT157" s="24"/>
      <c r="AU157" s="24"/>
      <c r="AV157" s="24"/>
      <c r="AW157" s="24"/>
      <c r="AX157" s="24"/>
      <c r="AY157" s="3"/>
      <c r="AZ157" s="24"/>
      <c r="BA157" s="24"/>
      <c r="BB157" s="24"/>
      <c r="BC157" s="24"/>
      <c r="BD157" s="24"/>
      <c r="BE157" s="24"/>
      <c r="BF157" s="24"/>
      <c r="BG157" s="24"/>
      <c r="BH157" s="343"/>
      <c r="BI157" s="343"/>
      <c r="BJ157" s="24"/>
      <c r="BK157" s="3"/>
      <c r="BL157" s="3"/>
      <c r="BM157" s="24"/>
      <c r="BN157" s="3"/>
      <c r="BO157" s="3"/>
      <c r="BP157" s="3"/>
      <c r="BQ157" s="3"/>
      <c r="BR157" s="3"/>
      <c r="BS157" s="24"/>
      <c r="BT157" s="24"/>
      <c r="BU157" s="24"/>
      <c r="BV157" s="24"/>
      <c r="BW157" s="24"/>
      <c r="BX157" s="24"/>
      <c r="BY157" s="24"/>
      <c r="BZ157" s="3"/>
      <c r="CA157" s="3"/>
      <c r="CB157" s="24"/>
      <c r="CC157" s="24"/>
      <c r="CD157" s="24"/>
      <c r="CE157" s="24"/>
      <c r="CF157" s="24"/>
      <c r="CG157" s="24"/>
      <c r="CH157" s="24"/>
      <c r="CI157" s="3"/>
      <c r="CJ157" s="3"/>
      <c r="CK157" s="24"/>
      <c r="CL157" s="24"/>
      <c r="CM157" s="24"/>
      <c r="CN157" s="24"/>
      <c r="CO157" s="24"/>
      <c r="CP157" s="24"/>
      <c r="CQ157" s="24"/>
      <c r="CR157" s="24"/>
      <c r="CS157" s="3"/>
      <c r="CT157" s="3"/>
      <c r="CU157" s="3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>
        <f t="shared" si="15"/>
        <v>58985.4</v>
      </c>
      <c r="DS157" s="3">
        <f t="shared" si="16"/>
        <v>0</v>
      </c>
      <c r="DU157" s="3">
        <v>58985.4</v>
      </c>
    </row>
    <row r="158" spans="1:125" x14ac:dyDescent="0.2">
      <c r="A158" s="251"/>
      <c r="C158" s="7" t="s">
        <v>3039</v>
      </c>
      <c r="D158" s="7" t="s">
        <v>3040</v>
      </c>
      <c r="E158" s="227" t="s">
        <v>3041</v>
      </c>
      <c r="F158" s="255" t="s">
        <v>2661</v>
      </c>
      <c r="G158" s="231">
        <f t="shared" si="11"/>
        <v>36000</v>
      </c>
      <c r="H158" s="207"/>
      <c r="I158" s="3" t="s">
        <v>2701</v>
      </c>
      <c r="J158" s="2"/>
      <c r="K158" s="2"/>
      <c r="L158" s="2"/>
      <c r="M158" s="24"/>
      <c r="N158" s="3"/>
      <c r="O158" s="24"/>
      <c r="P158" s="3"/>
      <c r="Q158" s="3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3"/>
      <c r="AJ158" s="24"/>
      <c r="AK158" s="284"/>
      <c r="AL158" s="24"/>
      <c r="AM158" s="24"/>
      <c r="AN158" s="24"/>
      <c r="AO158" s="3"/>
      <c r="AP158" s="3"/>
      <c r="AQ158" s="3"/>
      <c r="AR158" s="3"/>
      <c r="AS158" s="24"/>
      <c r="AT158" s="24"/>
      <c r="AU158" s="24"/>
      <c r="AV158" s="24"/>
      <c r="AW158" s="24"/>
      <c r="AX158" s="24"/>
      <c r="AY158" s="3"/>
      <c r="AZ158" s="24"/>
      <c r="BA158" s="24"/>
      <c r="BB158" s="24"/>
      <c r="BC158" s="24"/>
      <c r="BD158" s="24"/>
      <c r="BE158" s="24"/>
      <c r="BF158" s="24"/>
      <c r="BG158" s="24"/>
      <c r="BH158" s="343"/>
      <c r="BI158" s="343"/>
      <c r="BJ158" s="24"/>
      <c r="BK158" s="3"/>
      <c r="BL158" s="3"/>
      <c r="BM158" s="24"/>
      <c r="BN158" s="3"/>
      <c r="BO158" s="3"/>
      <c r="BP158" s="3"/>
      <c r="BQ158" s="3"/>
      <c r="BR158" s="3"/>
      <c r="BS158" s="24"/>
      <c r="BT158" s="24"/>
      <c r="BU158" s="24"/>
      <c r="BV158" s="24"/>
      <c r="BW158" s="24"/>
      <c r="BX158" s="24"/>
      <c r="BY158" s="24"/>
      <c r="BZ158" s="3"/>
      <c r="CA158" s="3"/>
      <c r="CB158" s="24"/>
      <c r="CC158" s="24"/>
      <c r="CD158" s="24"/>
      <c r="CE158" s="24"/>
      <c r="CF158" s="24"/>
      <c r="CG158" s="24"/>
      <c r="CH158" s="24"/>
      <c r="CI158" s="3"/>
      <c r="CJ158" s="3"/>
      <c r="CK158" s="24"/>
      <c r="CL158" s="24"/>
      <c r="CM158" s="24"/>
      <c r="CN158" s="24"/>
      <c r="CO158" s="24"/>
      <c r="CP158" s="24"/>
      <c r="CQ158" s="24"/>
      <c r="CR158" s="24"/>
      <c r="CS158" s="24">
        <f>+G158</f>
        <v>36000</v>
      </c>
      <c r="CT158" s="3"/>
      <c r="CU158" s="3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>
        <f t="shared" ref="DR158:DR168" si="18">SUM(M158:DQ158)</f>
        <v>36000</v>
      </c>
      <c r="DS158" s="3">
        <f t="shared" ref="DS158:DS168" si="19">DR158-G158</f>
        <v>0</v>
      </c>
      <c r="DU158" s="3">
        <v>36000</v>
      </c>
    </row>
    <row r="159" spans="1:125" x14ac:dyDescent="0.2">
      <c r="C159" s="7" t="s">
        <v>2839</v>
      </c>
      <c r="D159" s="7" t="s">
        <v>2840</v>
      </c>
      <c r="E159" s="202" t="s">
        <v>2841</v>
      </c>
      <c r="F159" s="33" t="s">
        <v>2661</v>
      </c>
      <c r="G159" s="231">
        <f t="shared" si="11"/>
        <v>50600</v>
      </c>
      <c r="H159" s="207"/>
      <c r="I159" s="3" t="s">
        <v>2701</v>
      </c>
      <c r="K159" s="3"/>
      <c r="L159" s="3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8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343"/>
      <c r="BI159" s="343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>
        <f>+G159</f>
        <v>50600</v>
      </c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>
        <f t="shared" si="18"/>
        <v>50600</v>
      </c>
      <c r="DS159" s="3">
        <f t="shared" si="19"/>
        <v>0</v>
      </c>
      <c r="DU159" s="3">
        <v>50600</v>
      </c>
    </row>
    <row r="160" spans="1:125" x14ac:dyDescent="0.2">
      <c r="C160" s="7" t="s">
        <v>2485</v>
      </c>
      <c r="D160" s="7" t="s">
        <v>2486</v>
      </c>
      <c r="E160" s="152" t="s">
        <v>1268</v>
      </c>
      <c r="F160" s="33" t="s">
        <v>2661</v>
      </c>
      <c r="G160" s="231">
        <f t="shared" si="11"/>
        <v>54372.959999999999</v>
      </c>
      <c r="H160" s="207"/>
      <c r="I160" s="2" t="s">
        <v>2692</v>
      </c>
      <c r="J160" s="2"/>
      <c r="K160" s="2"/>
      <c r="L160" s="2"/>
      <c r="M160" s="3"/>
      <c r="N160" s="3"/>
      <c r="O160" s="24"/>
      <c r="P160" s="3"/>
      <c r="Q160" s="3"/>
      <c r="R160" s="24"/>
      <c r="S160" s="24"/>
      <c r="T160" s="3"/>
      <c r="U160" s="3"/>
      <c r="V160" s="3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3"/>
      <c r="AJ160" s="24"/>
      <c r="AK160" s="284"/>
      <c r="AL160" s="24"/>
      <c r="AM160" s="3"/>
      <c r="AN160" s="3"/>
      <c r="AO160" s="3"/>
      <c r="AP160" s="3"/>
      <c r="AQ160" s="3"/>
      <c r="AR160" s="3"/>
      <c r="AS160" s="24"/>
      <c r="AT160" s="24"/>
      <c r="AU160" s="24"/>
      <c r="AV160" s="24"/>
      <c r="AW160" s="24"/>
      <c r="AX160" s="24"/>
      <c r="AY160" s="3"/>
      <c r="AZ160" s="24"/>
      <c r="BA160" s="24"/>
      <c r="BB160" s="24"/>
      <c r="BC160" s="24"/>
      <c r="BD160" s="24"/>
      <c r="BE160" s="24"/>
      <c r="BF160" s="24"/>
      <c r="BG160" s="24"/>
      <c r="BH160" s="343"/>
      <c r="BI160" s="343"/>
      <c r="BJ160" s="24"/>
      <c r="BK160" s="3"/>
      <c r="BL160" s="3"/>
      <c r="BM160" s="24"/>
      <c r="BN160" s="3"/>
      <c r="BO160" s="3"/>
      <c r="BP160" s="3"/>
      <c r="BQ160" s="3"/>
      <c r="BR160" s="3"/>
      <c r="BS160" s="3"/>
      <c r="BT160" s="3"/>
      <c r="BU160" s="24">
        <f>G160</f>
        <v>54372.959999999999</v>
      </c>
      <c r="BV160" s="24"/>
      <c r="BW160" s="24"/>
      <c r="BX160" s="24"/>
      <c r="BY160" s="24"/>
      <c r="BZ160" s="3"/>
      <c r="CA160" s="3"/>
      <c r="CB160" s="24"/>
      <c r="CC160" s="24"/>
      <c r="CD160" s="24"/>
      <c r="CE160" s="24"/>
      <c r="CF160" s="24"/>
      <c r="CG160" s="24"/>
      <c r="CH160" s="24"/>
      <c r="CI160" s="3"/>
      <c r="CJ160" s="3"/>
      <c r="CK160" s="24"/>
      <c r="CL160" s="3"/>
      <c r="CM160" s="3"/>
      <c r="CN160" s="24"/>
      <c r="CO160" s="24"/>
      <c r="CP160" s="24"/>
      <c r="CQ160" s="24"/>
      <c r="CR160" s="24"/>
      <c r="CS160" s="3"/>
      <c r="CT160" s="3"/>
      <c r="CU160" s="3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3"/>
      <c r="DR160" s="24">
        <f t="shared" si="18"/>
        <v>54372.959999999999</v>
      </c>
      <c r="DS160" s="3">
        <f t="shared" si="19"/>
        <v>0</v>
      </c>
      <c r="DU160" s="3">
        <v>54372.959999999999</v>
      </c>
    </row>
    <row r="161" spans="1:125" x14ac:dyDescent="0.2">
      <c r="A161" s="251"/>
      <c r="C161" s="7" t="s">
        <v>3042</v>
      </c>
      <c r="D161" s="7" t="s">
        <v>3043</v>
      </c>
      <c r="E161" s="149" t="s">
        <v>3044</v>
      </c>
      <c r="F161" s="255" t="s">
        <v>2658</v>
      </c>
      <c r="G161" s="231">
        <f t="shared" ref="G161:G223" si="20">IF(DU161&lt;30000,DU161*1.03,+DU161)</f>
        <v>37389.599999999999</v>
      </c>
      <c r="H161" s="207"/>
      <c r="I161" s="2" t="s">
        <v>2687</v>
      </c>
      <c r="J161" s="2"/>
      <c r="K161" s="2"/>
      <c r="L161" s="2"/>
      <c r="M161" s="3"/>
      <c r="N161" s="3"/>
      <c r="O161" s="24"/>
      <c r="P161" s="3"/>
      <c r="Q161" s="3"/>
      <c r="R161" s="24"/>
      <c r="S161" s="24"/>
      <c r="T161" s="3"/>
      <c r="U161" s="3"/>
      <c r="V161" s="3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3"/>
      <c r="AJ161" s="24"/>
      <c r="AK161" s="284"/>
      <c r="AL161" s="24"/>
      <c r="AM161" s="3"/>
      <c r="AN161" s="3"/>
      <c r="AO161" s="3"/>
      <c r="AP161" s="3"/>
      <c r="AQ161" s="3"/>
      <c r="AR161" s="3"/>
      <c r="AS161" s="24"/>
      <c r="AT161" s="24"/>
      <c r="AU161" s="24"/>
      <c r="AV161" s="24"/>
      <c r="AW161" s="24"/>
      <c r="AX161" s="24"/>
      <c r="AY161" s="3"/>
      <c r="AZ161" s="24">
        <f>+G161</f>
        <v>37389.599999999999</v>
      </c>
      <c r="BA161" s="24"/>
      <c r="BB161" s="24"/>
      <c r="BC161" s="24"/>
      <c r="BD161" s="24"/>
      <c r="BE161" s="24"/>
      <c r="BF161" s="24"/>
      <c r="BG161" s="24"/>
      <c r="BH161" s="343"/>
      <c r="BI161" s="343"/>
      <c r="BJ161" s="24"/>
      <c r="BK161" s="3"/>
      <c r="BL161" s="3"/>
      <c r="BM161" s="24"/>
      <c r="BN161" s="3"/>
      <c r="BO161" s="3"/>
      <c r="BP161" s="3"/>
      <c r="BQ161" s="3"/>
      <c r="BR161" s="3"/>
      <c r="BS161" s="3"/>
      <c r="BT161" s="3"/>
      <c r="BU161" s="24"/>
      <c r="BV161" s="24"/>
      <c r="BW161" s="24"/>
      <c r="BX161" s="24"/>
      <c r="BY161" s="24"/>
      <c r="BZ161" s="3"/>
      <c r="CA161" s="3"/>
      <c r="CB161" s="24"/>
      <c r="CC161" s="24"/>
      <c r="CD161" s="24"/>
      <c r="CE161" s="24"/>
      <c r="CF161" s="24"/>
      <c r="CG161" s="24"/>
      <c r="CH161" s="24"/>
      <c r="CI161" s="3"/>
      <c r="CJ161" s="3"/>
      <c r="CK161" s="24"/>
      <c r="CL161" s="3"/>
      <c r="CM161" s="3"/>
      <c r="CN161" s="24"/>
      <c r="CO161" s="24"/>
      <c r="CP161" s="24"/>
      <c r="CQ161" s="24"/>
      <c r="CR161" s="24"/>
      <c r="CS161" s="3"/>
      <c r="CT161" s="3"/>
      <c r="CU161" s="3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3"/>
      <c r="DR161" s="24">
        <f t="shared" si="18"/>
        <v>37389.599999999999</v>
      </c>
      <c r="DS161" s="3">
        <f t="shared" si="19"/>
        <v>0</v>
      </c>
      <c r="DU161" s="3">
        <v>37389.599999999999</v>
      </c>
    </row>
    <row r="162" spans="1:125" x14ac:dyDescent="0.2">
      <c r="C162" s="7" t="s">
        <v>2487</v>
      </c>
      <c r="D162" s="7" t="s">
        <v>2488</v>
      </c>
      <c r="E162" s="203" t="s">
        <v>1535</v>
      </c>
      <c r="F162" s="33" t="s">
        <v>2661</v>
      </c>
      <c r="G162" s="231">
        <f t="shared" si="20"/>
        <v>37362.959999999999</v>
      </c>
      <c r="H162" s="207"/>
      <c r="I162" s="2" t="s">
        <v>2683</v>
      </c>
      <c r="J162" s="2"/>
      <c r="K162" s="2"/>
      <c r="L162" s="2"/>
      <c r="M162" s="3"/>
      <c r="N162" s="3"/>
      <c r="O162" s="24"/>
      <c r="P162" s="3"/>
      <c r="Q162" s="3"/>
      <c r="R162" s="24"/>
      <c r="S162" s="24"/>
      <c r="T162" s="3"/>
      <c r="U162" s="3"/>
      <c r="V162" s="3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3"/>
      <c r="AJ162" s="24">
        <f>+G162</f>
        <v>37362.959999999999</v>
      </c>
      <c r="AL162" s="24"/>
      <c r="AM162" s="3"/>
      <c r="AN162" s="3"/>
      <c r="AO162" s="3"/>
      <c r="AP162" s="3"/>
      <c r="AQ162" s="3"/>
      <c r="AR162" s="3"/>
      <c r="AS162" s="24"/>
      <c r="AT162" s="24"/>
      <c r="AU162" s="24"/>
      <c r="AV162" s="24"/>
      <c r="AW162" s="24"/>
      <c r="AX162" s="24"/>
      <c r="AY162" s="3"/>
      <c r="AZ162" s="24"/>
      <c r="BA162" s="24"/>
      <c r="BB162" s="24"/>
      <c r="BC162" s="24"/>
      <c r="BD162" s="24"/>
      <c r="BE162" s="24"/>
      <c r="BF162" s="24"/>
      <c r="BG162" s="24"/>
      <c r="BH162" s="343"/>
      <c r="BI162" s="343"/>
      <c r="BJ162" s="24"/>
      <c r="BK162" s="3"/>
      <c r="BL162" s="3"/>
      <c r="BM162" s="24"/>
      <c r="BN162" s="3"/>
      <c r="BO162" s="3"/>
      <c r="BP162" s="3"/>
      <c r="BQ162" s="3"/>
      <c r="BR162" s="3"/>
      <c r="BS162" s="3"/>
      <c r="BT162" s="3"/>
      <c r="BU162" s="24"/>
      <c r="BV162" s="24"/>
      <c r="BW162" s="24"/>
      <c r="BX162" s="24"/>
      <c r="BY162" s="24"/>
      <c r="BZ162" s="3"/>
      <c r="CA162" s="3"/>
      <c r="CB162" s="24"/>
      <c r="CC162" s="24"/>
      <c r="CD162" s="24"/>
      <c r="CE162" s="24"/>
      <c r="CF162" s="24"/>
      <c r="CG162" s="24"/>
      <c r="CH162" s="24"/>
      <c r="CI162" s="3"/>
      <c r="CJ162" s="3"/>
      <c r="CK162" s="24"/>
      <c r="CL162" s="3"/>
      <c r="CM162" s="3"/>
      <c r="CN162" s="24"/>
      <c r="CO162" s="24"/>
      <c r="CP162" s="24"/>
      <c r="CQ162" s="24"/>
      <c r="CR162" s="24"/>
      <c r="CS162" s="3"/>
      <c r="CT162" s="3"/>
      <c r="CU162" s="3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3"/>
      <c r="DR162" s="24">
        <f t="shared" si="18"/>
        <v>37362.959999999999</v>
      </c>
      <c r="DS162" s="3">
        <f t="shared" si="19"/>
        <v>0</v>
      </c>
      <c r="DU162" s="3">
        <v>37362.959999999999</v>
      </c>
    </row>
    <row r="163" spans="1:125" x14ac:dyDescent="0.2">
      <c r="C163" s="7" t="s">
        <v>2482</v>
      </c>
      <c r="D163" s="7" t="s">
        <v>2257</v>
      </c>
      <c r="E163" s="202" t="s">
        <v>2214</v>
      </c>
      <c r="F163" s="33" t="s">
        <v>2661</v>
      </c>
      <c r="G163" s="231">
        <f t="shared" si="20"/>
        <v>53413.32</v>
      </c>
      <c r="H163" s="207"/>
      <c r="I163" s="2" t="s">
        <v>2687</v>
      </c>
      <c r="J163" s="2"/>
      <c r="K163" s="2"/>
      <c r="L163" s="2"/>
      <c r="M163" s="24"/>
      <c r="N163" s="3"/>
      <c r="O163" s="24"/>
      <c r="P163" s="3"/>
      <c r="Q163" s="3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3"/>
      <c r="AJ163" s="24"/>
      <c r="AK163" s="284"/>
      <c r="AL163" s="24"/>
      <c r="AM163" s="24"/>
      <c r="AN163" s="24"/>
      <c r="AO163" s="3"/>
      <c r="AP163" s="3"/>
      <c r="AQ163" s="3"/>
      <c r="AR163" s="3"/>
      <c r="AS163" s="24"/>
      <c r="AT163" s="24"/>
      <c r="AU163" s="24"/>
      <c r="AV163" s="24"/>
      <c r="AW163" s="24"/>
      <c r="AX163" s="24"/>
      <c r="AY163" s="3"/>
      <c r="AZ163" s="24">
        <f>G163</f>
        <v>53413.32</v>
      </c>
      <c r="BA163" s="24"/>
      <c r="BB163" s="24"/>
      <c r="BC163" s="24"/>
      <c r="BD163" s="24"/>
      <c r="BE163" s="24"/>
      <c r="BF163" s="24"/>
      <c r="BG163" s="24"/>
      <c r="BH163" s="343"/>
      <c r="BI163" s="343"/>
      <c r="BJ163" s="24"/>
      <c r="BK163" s="3"/>
      <c r="BL163" s="3"/>
      <c r="BM163" s="24"/>
      <c r="BN163" s="3"/>
      <c r="BO163" s="3"/>
      <c r="BP163" s="3"/>
      <c r="BQ163" s="3"/>
      <c r="BR163" s="3"/>
      <c r="BS163" s="24"/>
      <c r="BT163" s="24"/>
      <c r="BU163" s="24"/>
      <c r="BV163" s="24"/>
      <c r="BW163" s="24"/>
      <c r="BX163" s="24"/>
      <c r="BY163" s="24"/>
      <c r="BZ163" s="3"/>
      <c r="CA163" s="3"/>
      <c r="CB163" s="24"/>
      <c r="CC163" s="24"/>
      <c r="CD163" s="24"/>
      <c r="CE163" s="24"/>
      <c r="CF163" s="24"/>
      <c r="CG163" s="24"/>
      <c r="CH163" s="24"/>
      <c r="CI163" s="3"/>
      <c r="CJ163" s="3"/>
      <c r="CK163" s="24"/>
      <c r="CL163" s="24"/>
      <c r="CM163" s="24"/>
      <c r="CN163" s="24"/>
      <c r="CO163" s="24"/>
      <c r="CP163" s="24"/>
      <c r="CQ163" s="24"/>
      <c r="CR163" s="24"/>
      <c r="CS163" s="3"/>
      <c r="CT163" s="3"/>
      <c r="CU163" s="3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>
        <f t="shared" si="18"/>
        <v>53413.32</v>
      </c>
      <c r="DS163" s="3">
        <f t="shared" si="19"/>
        <v>0</v>
      </c>
      <c r="DU163" s="3">
        <v>53413.32</v>
      </c>
    </row>
    <row r="164" spans="1:125" x14ac:dyDescent="0.2">
      <c r="C164" s="7" t="s">
        <v>2489</v>
      </c>
      <c r="D164" s="7" t="s">
        <v>2257</v>
      </c>
      <c r="E164" s="152" t="s">
        <v>428</v>
      </c>
      <c r="F164" s="33" t="s">
        <v>2661</v>
      </c>
      <c r="G164" s="231">
        <f t="shared" si="20"/>
        <v>37619.040000000001</v>
      </c>
      <c r="H164" s="207"/>
      <c r="I164" s="2" t="s">
        <v>2692</v>
      </c>
      <c r="J164" s="2"/>
      <c r="K164" s="2"/>
      <c r="L164" s="2"/>
      <c r="M164" s="3"/>
      <c r="N164" s="3"/>
      <c r="O164" s="24"/>
      <c r="P164" s="3"/>
      <c r="Q164" s="3"/>
      <c r="R164" s="24"/>
      <c r="S164" s="24"/>
      <c r="T164" s="3"/>
      <c r="U164" s="3"/>
      <c r="V164" s="3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3"/>
      <c r="AJ164" s="24"/>
      <c r="AL164" s="24"/>
      <c r="AM164" s="3"/>
      <c r="AN164" s="3"/>
      <c r="AO164" s="3"/>
      <c r="AP164" s="3"/>
      <c r="AQ164" s="3"/>
      <c r="AR164" s="3"/>
      <c r="AS164" s="24"/>
      <c r="AT164" s="24"/>
      <c r="AU164" s="24"/>
      <c r="AV164" s="24"/>
      <c r="AW164" s="24"/>
      <c r="AX164" s="24"/>
      <c r="AY164" s="3"/>
      <c r="AZ164" s="24"/>
      <c r="BA164" s="24"/>
      <c r="BB164" s="24"/>
      <c r="BC164" s="24"/>
      <c r="BD164" s="24"/>
      <c r="BE164" s="24"/>
      <c r="BF164" s="24"/>
      <c r="BG164" s="24"/>
      <c r="BH164" s="343"/>
      <c r="BI164" s="343"/>
      <c r="BJ164" s="24"/>
      <c r="BK164" s="3"/>
      <c r="BL164" s="3"/>
      <c r="BM164" s="24"/>
      <c r="BN164" s="3"/>
      <c r="BO164" s="3"/>
      <c r="BP164" s="3"/>
      <c r="BQ164" s="3"/>
      <c r="BR164" s="3"/>
      <c r="BS164" s="3"/>
      <c r="BT164" s="3"/>
      <c r="BU164" s="24">
        <f>G164</f>
        <v>37619.040000000001</v>
      </c>
      <c r="BV164" s="24"/>
      <c r="BW164" s="24"/>
      <c r="BX164" s="24"/>
      <c r="BY164" s="24"/>
      <c r="BZ164" s="3"/>
      <c r="CA164" s="3"/>
      <c r="CB164" s="24"/>
      <c r="CC164" s="24"/>
      <c r="CD164" s="24"/>
      <c r="CE164" s="24"/>
      <c r="CF164" s="24"/>
      <c r="CG164" s="24"/>
      <c r="CH164" s="24"/>
      <c r="CI164" s="3"/>
      <c r="CJ164" s="3"/>
      <c r="CK164" s="24"/>
      <c r="CL164" s="3"/>
      <c r="CM164" s="3"/>
      <c r="CN164" s="24"/>
      <c r="CO164" s="24"/>
      <c r="CP164" s="24"/>
      <c r="CQ164" s="24"/>
      <c r="CR164" s="24"/>
      <c r="CS164" s="3"/>
      <c r="CT164" s="3"/>
      <c r="CU164" s="3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3"/>
      <c r="DR164" s="24">
        <f t="shared" si="18"/>
        <v>37619.040000000001</v>
      </c>
      <c r="DS164" s="3">
        <f t="shared" si="19"/>
        <v>0</v>
      </c>
      <c r="DU164" s="3">
        <v>37619.040000000001</v>
      </c>
    </row>
    <row r="165" spans="1:125" x14ac:dyDescent="0.2">
      <c r="C165" s="7" t="s">
        <v>2490</v>
      </c>
      <c r="D165" s="7" t="s">
        <v>2257</v>
      </c>
      <c r="E165" s="202" t="s">
        <v>1536</v>
      </c>
      <c r="F165" s="33" t="s">
        <v>2661</v>
      </c>
      <c r="G165" s="231">
        <f t="shared" si="20"/>
        <v>60861.120000000003</v>
      </c>
      <c r="H165" s="207"/>
      <c r="I165" s="2" t="s">
        <v>2677</v>
      </c>
      <c r="J165" s="2"/>
      <c r="K165" s="2"/>
      <c r="L165" s="2"/>
      <c r="M165" s="3"/>
      <c r="N165" s="3"/>
      <c r="O165" s="24"/>
      <c r="P165" s="3"/>
      <c r="Q165" s="3"/>
      <c r="R165" s="24"/>
      <c r="S165" s="24"/>
      <c r="T165" s="3"/>
      <c r="U165" s="3">
        <f>+G165</f>
        <v>60861.120000000003</v>
      </c>
      <c r="V165" s="3"/>
      <c r="W165" s="24" t="s">
        <v>342</v>
      </c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3"/>
      <c r="AJ165" s="24"/>
      <c r="AK165" s="284"/>
      <c r="AL165" s="24"/>
      <c r="AM165" s="3"/>
      <c r="AN165" s="3"/>
      <c r="AO165" s="3"/>
      <c r="AP165" s="3"/>
      <c r="AQ165" s="3"/>
      <c r="AR165" s="3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343"/>
      <c r="BI165" s="343"/>
      <c r="BJ165" s="24"/>
      <c r="BK165" s="3"/>
      <c r="BL165" s="3"/>
      <c r="BM165" s="24"/>
      <c r="BN165" s="3"/>
      <c r="BO165" s="3"/>
      <c r="BP165" s="3"/>
      <c r="BQ165" s="3"/>
      <c r="BR165" s="3"/>
      <c r="BS165" s="3"/>
      <c r="BT165" s="3"/>
      <c r="BU165" s="24"/>
      <c r="BV165" s="24"/>
      <c r="BW165" s="24" t="s">
        <v>342</v>
      </c>
      <c r="BX165" s="24"/>
      <c r="BY165" s="24"/>
      <c r="BZ165" s="3"/>
      <c r="CA165" s="3"/>
      <c r="CB165" s="24"/>
      <c r="CC165" s="24"/>
      <c r="CD165" s="24"/>
      <c r="CE165" s="24"/>
      <c r="CF165" s="24"/>
      <c r="CG165" s="24"/>
      <c r="CH165" s="24"/>
      <c r="CI165" s="3"/>
      <c r="CJ165" s="3"/>
      <c r="CK165" s="24"/>
      <c r="CL165" s="3"/>
      <c r="CM165" s="3"/>
      <c r="CN165" s="24"/>
      <c r="CO165" s="24"/>
      <c r="CP165" s="24"/>
      <c r="CQ165" s="24"/>
      <c r="CR165" s="24"/>
      <c r="CS165" s="3"/>
      <c r="CT165" s="3"/>
      <c r="CU165" s="3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3"/>
      <c r="DR165" s="24">
        <f t="shared" si="18"/>
        <v>60861.120000000003</v>
      </c>
      <c r="DS165" s="3">
        <f t="shared" si="19"/>
        <v>0</v>
      </c>
      <c r="DU165" s="3">
        <v>60861.120000000003</v>
      </c>
    </row>
    <row r="166" spans="1:125" x14ac:dyDescent="0.2">
      <c r="C166" s="7" t="s">
        <v>2791</v>
      </c>
      <c r="D166" s="7" t="s">
        <v>2257</v>
      </c>
      <c r="E166" s="202" t="s">
        <v>2763</v>
      </c>
      <c r="F166" s="255" t="s">
        <v>2661</v>
      </c>
      <c r="G166" s="231">
        <f t="shared" si="20"/>
        <v>39690.239999999998</v>
      </c>
      <c r="H166" s="207"/>
      <c r="I166" s="2" t="s">
        <v>3688</v>
      </c>
      <c r="J166" s="2"/>
      <c r="K166" s="2"/>
      <c r="L166" s="2"/>
      <c r="M166" s="3"/>
      <c r="N166" s="3"/>
      <c r="O166" s="24"/>
      <c r="P166" s="3"/>
      <c r="Q166" s="3"/>
      <c r="R166" s="24"/>
      <c r="S166" s="24"/>
      <c r="T166" s="3"/>
      <c r="U166" s="3"/>
      <c r="V166" s="3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3"/>
      <c r="AJ166" s="24"/>
      <c r="AK166" s="284"/>
      <c r="AL166" s="24"/>
      <c r="AM166" s="3"/>
      <c r="AN166" s="3"/>
      <c r="AO166" s="3"/>
      <c r="AP166" s="3"/>
      <c r="AQ166" s="3"/>
      <c r="AR166" s="3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343"/>
      <c r="BI166" s="343">
        <f>+G166</f>
        <v>39690.239999999998</v>
      </c>
      <c r="BJ166" s="24"/>
      <c r="BK166" s="3"/>
      <c r="BL166" s="3"/>
      <c r="BM166" s="24"/>
      <c r="BN166" s="3"/>
      <c r="BO166" s="3"/>
      <c r="BP166" s="3"/>
      <c r="BQ166" s="3"/>
      <c r="BR166" s="3"/>
      <c r="BS166" s="3"/>
      <c r="BT166" s="3"/>
      <c r="BU166" s="24"/>
      <c r="BV166" s="24"/>
      <c r="BW166" s="24"/>
      <c r="BX166" s="24"/>
      <c r="BY166" s="24"/>
      <c r="BZ166" s="3"/>
      <c r="CA166" s="3"/>
      <c r="CB166" s="24"/>
      <c r="CC166" s="24"/>
      <c r="CD166" s="24"/>
      <c r="CE166" s="24"/>
      <c r="CF166" s="24"/>
      <c r="CG166" s="24"/>
      <c r="CH166" s="24"/>
      <c r="CI166" s="3"/>
      <c r="CJ166" s="3"/>
      <c r="CK166" s="24"/>
      <c r="CL166" s="3"/>
      <c r="CM166" s="3"/>
      <c r="CN166" s="24"/>
      <c r="CO166" s="24"/>
      <c r="CP166" s="24"/>
      <c r="CQ166" s="24"/>
      <c r="CR166" s="24"/>
      <c r="CS166" s="3"/>
      <c r="CT166" s="3"/>
      <c r="CU166" s="3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3"/>
      <c r="DR166" s="24">
        <f t="shared" si="18"/>
        <v>39690.239999999998</v>
      </c>
      <c r="DS166" s="3">
        <f t="shared" si="19"/>
        <v>0</v>
      </c>
      <c r="DU166" s="3">
        <v>39690.239999999998</v>
      </c>
    </row>
    <row r="167" spans="1:125" x14ac:dyDescent="0.2">
      <c r="A167" s="251"/>
      <c r="C167" s="7" t="s">
        <v>3027</v>
      </c>
      <c r="D167" s="7" t="s">
        <v>3028</v>
      </c>
      <c r="E167" s="338" t="s">
        <v>3026</v>
      </c>
      <c r="F167" s="255" t="s">
        <v>2661</v>
      </c>
      <c r="G167" s="231">
        <f t="shared" si="20"/>
        <v>21549.66</v>
      </c>
      <c r="H167" s="207"/>
      <c r="I167" s="342" t="s">
        <v>2952</v>
      </c>
      <c r="J167" s="2"/>
      <c r="K167" s="2"/>
      <c r="L167" s="2"/>
      <c r="M167" s="3"/>
      <c r="N167" s="3"/>
      <c r="O167" s="24"/>
      <c r="P167" s="3"/>
      <c r="Q167" s="3"/>
      <c r="R167" s="24"/>
      <c r="S167" s="24"/>
      <c r="T167" s="3"/>
      <c r="U167" s="3"/>
      <c r="V167" s="3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3"/>
      <c r="AJ167" s="24"/>
      <c r="AK167" s="284"/>
      <c r="AL167" s="24"/>
      <c r="AM167" s="3"/>
      <c r="AN167" s="3"/>
      <c r="AO167" s="3"/>
      <c r="AP167" s="3"/>
      <c r="AQ167" s="3"/>
      <c r="AR167" s="3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343"/>
      <c r="BI167" s="343"/>
      <c r="BJ167" s="24"/>
      <c r="BK167" s="3"/>
      <c r="BL167" s="24">
        <f>G167</f>
        <v>21549.66</v>
      </c>
      <c r="BM167" s="24"/>
      <c r="BN167" s="3"/>
      <c r="BO167" s="3"/>
      <c r="BP167" s="3"/>
      <c r="BQ167" s="3"/>
      <c r="BR167" s="3"/>
      <c r="BS167" s="3"/>
      <c r="BT167" s="3"/>
      <c r="BU167" s="24"/>
      <c r="BV167" s="24"/>
      <c r="BW167" s="24"/>
      <c r="BX167" s="24"/>
      <c r="BY167" s="24"/>
      <c r="BZ167" s="3"/>
      <c r="CA167" s="3"/>
      <c r="CB167" s="24"/>
      <c r="CC167" s="24"/>
      <c r="CD167" s="24"/>
      <c r="CE167" s="24"/>
      <c r="CF167" s="24"/>
      <c r="CG167" s="24"/>
      <c r="CH167" s="24"/>
      <c r="CI167" s="3"/>
      <c r="CJ167" s="3"/>
      <c r="CK167" s="24"/>
      <c r="CL167" s="3"/>
      <c r="CM167" s="3"/>
      <c r="CN167" s="24"/>
      <c r="CO167" s="24"/>
      <c r="CP167" s="24"/>
      <c r="CQ167" s="24"/>
      <c r="CR167" s="24"/>
      <c r="CS167" s="3"/>
      <c r="CT167" s="3"/>
      <c r="CU167" s="3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3"/>
      <c r="DR167" s="24">
        <f t="shared" si="18"/>
        <v>21549.66</v>
      </c>
      <c r="DS167" s="3">
        <f t="shared" si="19"/>
        <v>0</v>
      </c>
      <c r="DU167" s="3">
        <v>20922</v>
      </c>
    </row>
    <row r="168" spans="1:125" x14ac:dyDescent="0.2">
      <c r="A168" s="251"/>
      <c r="C168" s="7" t="s">
        <v>3045</v>
      </c>
      <c r="D168" s="7" t="s">
        <v>3046</v>
      </c>
      <c r="E168" s="148" t="s">
        <v>3047</v>
      </c>
      <c r="F168" s="255" t="s">
        <v>2658</v>
      </c>
      <c r="G168" s="230">
        <f t="shared" si="20"/>
        <v>51958</v>
      </c>
      <c r="H168" s="207"/>
      <c r="I168" s="3" t="s">
        <v>3037</v>
      </c>
      <c r="J168" s="2"/>
      <c r="K168" s="2"/>
      <c r="L168" s="2"/>
      <c r="M168" s="3"/>
      <c r="N168" s="3"/>
      <c r="O168" s="24"/>
      <c r="P168" s="3"/>
      <c r="Q168" s="3"/>
      <c r="R168" s="24"/>
      <c r="S168" s="24"/>
      <c r="T168" s="3"/>
      <c r="U168" s="3"/>
      <c r="V168" s="3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3"/>
      <c r="AJ168" s="24"/>
      <c r="AK168" s="284"/>
      <c r="AL168" s="24"/>
      <c r="AM168" s="3"/>
      <c r="AN168" s="3"/>
      <c r="AO168" s="3"/>
      <c r="AP168" s="3"/>
      <c r="AQ168" s="3"/>
      <c r="AR168" s="3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343"/>
      <c r="BI168" s="343"/>
      <c r="BJ168" s="24"/>
      <c r="BK168" s="3"/>
      <c r="BL168" s="24"/>
      <c r="BM168" s="24"/>
      <c r="BN168" s="3"/>
      <c r="BO168" s="3"/>
      <c r="BP168" s="3"/>
      <c r="BQ168" s="3"/>
      <c r="BR168" s="3"/>
      <c r="BS168" s="3"/>
      <c r="BT168" s="3"/>
      <c r="BU168" s="24">
        <f>+G168</f>
        <v>51958</v>
      </c>
      <c r="BV168" s="24"/>
      <c r="BW168" s="24"/>
      <c r="BX168" s="24"/>
      <c r="BY168" s="24"/>
      <c r="BZ168" s="3"/>
      <c r="CA168" s="3"/>
      <c r="CB168" s="24"/>
      <c r="CC168" s="24"/>
      <c r="CD168" s="24"/>
      <c r="CE168" s="24"/>
      <c r="CF168" s="24"/>
      <c r="CG168" s="24"/>
      <c r="CH168" s="24"/>
      <c r="CI168" s="3"/>
      <c r="CJ168" s="3"/>
      <c r="CK168" s="24"/>
      <c r="CL168" s="3"/>
      <c r="CM168" s="3"/>
      <c r="CN168" s="24"/>
      <c r="CO168" s="24"/>
      <c r="CP168" s="24"/>
      <c r="CQ168" s="24"/>
      <c r="CR168" s="24"/>
      <c r="CS168" s="3"/>
      <c r="CT168" s="3"/>
      <c r="CU168" s="3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3"/>
      <c r="DR168" s="24">
        <f t="shared" si="18"/>
        <v>51958</v>
      </c>
      <c r="DS168" s="3">
        <f t="shared" si="19"/>
        <v>0</v>
      </c>
      <c r="DU168" s="3">
        <v>51958</v>
      </c>
    </row>
    <row r="169" spans="1:125" x14ac:dyDescent="0.2">
      <c r="C169" s="7" t="s">
        <v>2226</v>
      </c>
      <c r="D169" s="7" t="s">
        <v>2491</v>
      </c>
      <c r="E169" s="147" t="s">
        <v>1189</v>
      </c>
      <c r="F169" s="33" t="s">
        <v>2658</v>
      </c>
      <c r="G169" s="231">
        <f t="shared" si="20"/>
        <v>42582</v>
      </c>
      <c r="H169" s="207"/>
      <c r="I169" s="2" t="s">
        <v>2687</v>
      </c>
      <c r="J169" s="2"/>
      <c r="K169" s="2"/>
      <c r="L169" s="2"/>
      <c r="M169" s="3"/>
      <c r="N169" s="3"/>
      <c r="O169" s="24"/>
      <c r="P169" s="3"/>
      <c r="Q169" s="3"/>
      <c r="R169" s="24"/>
      <c r="S169" s="24"/>
      <c r="T169" s="3"/>
      <c r="U169" s="3"/>
      <c r="V169" s="3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3"/>
      <c r="AJ169" s="24"/>
      <c r="AK169" s="284"/>
      <c r="AL169" s="24"/>
      <c r="AM169" s="3"/>
      <c r="AN169" s="3"/>
      <c r="AO169" s="3"/>
      <c r="AP169" s="3"/>
      <c r="AQ169" s="3"/>
      <c r="AR169" s="3"/>
      <c r="AS169" s="24"/>
      <c r="AT169" s="24"/>
      <c r="AU169" s="24"/>
      <c r="AV169" s="24"/>
      <c r="AW169" s="24"/>
      <c r="AX169" s="24"/>
      <c r="AY169" s="3"/>
      <c r="AZ169" s="24">
        <f>G169</f>
        <v>42582</v>
      </c>
      <c r="BA169" s="24"/>
      <c r="BB169" s="24"/>
      <c r="BC169" s="24"/>
      <c r="BD169" s="24"/>
      <c r="BE169" s="24"/>
      <c r="BF169" s="24"/>
      <c r="BG169" s="24"/>
      <c r="BH169" s="343"/>
      <c r="BI169" s="343"/>
      <c r="BJ169" s="24"/>
      <c r="BK169" s="3"/>
      <c r="BL169" s="3"/>
      <c r="BM169" s="24"/>
      <c r="BN169" s="3"/>
      <c r="BO169" s="3"/>
      <c r="BP169" s="3"/>
      <c r="BQ169" s="3"/>
      <c r="BR169" s="3"/>
      <c r="BS169" s="3"/>
      <c r="BT169" s="3"/>
      <c r="BU169" s="24"/>
      <c r="BV169" s="24"/>
      <c r="BW169" s="24"/>
      <c r="BX169" s="24"/>
      <c r="BY169" s="24"/>
      <c r="BZ169" s="3"/>
      <c r="CA169" s="3"/>
      <c r="CB169" s="24"/>
      <c r="CC169" s="24"/>
      <c r="CD169" s="24"/>
      <c r="CE169" s="24"/>
      <c r="CF169" s="24"/>
      <c r="CG169" s="24"/>
      <c r="CH169" s="24"/>
      <c r="CI169" s="3"/>
      <c r="CJ169" s="3"/>
      <c r="CK169" s="24"/>
      <c r="CL169" s="3"/>
      <c r="CM169" s="3"/>
      <c r="CN169" s="24"/>
      <c r="CO169" s="24"/>
      <c r="CP169" s="24"/>
      <c r="CQ169" s="24"/>
      <c r="CR169" s="24"/>
      <c r="CS169" s="3"/>
      <c r="CT169" s="3"/>
      <c r="CU169" s="3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3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3"/>
      <c r="DR169" s="24">
        <f t="shared" ref="DR169:DR190" si="21">SUM(M169:DQ169)</f>
        <v>42582</v>
      </c>
      <c r="DS169" s="3">
        <f t="shared" ref="DS169:DS190" si="22">DR169-G169</f>
        <v>0</v>
      </c>
      <c r="DU169" s="3">
        <v>42582</v>
      </c>
    </row>
    <row r="170" spans="1:125" x14ac:dyDescent="0.2">
      <c r="C170" s="7" t="s">
        <v>2492</v>
      </c>
      <c r="D170" s="7" t="s">
        <v>2263</v>
      </c>
      <c r="E170" s="205" t="s">
        <v>744</v>
      </c>
      <c r="F170" s="33" t="s">
        <v>2661</v>
      </c>
      <c r="G170" s="231">
        <f t="shared" si="20"/>
        <v>42788.04</v>
      </c>
      <c r="H170" s="207"/>
      <c r="I170" s="2" t="s">
        <v>2678</v>
      </c>
      <c r="J170" s="2"/>
      <c r="K170" s="2"/>
      <c r="L170" s="2"/>
      <c r="M170" s="3"/>
      <c r="N170" s="3"/>
      <c r="O170" s="24"/>
      <c r="P170" s="3"/>
      <c r="Q170" s="3"/>
      <c r="R170" s="24"/>
      <c r="S170" s="24"/>
      <c r="T170" s="3"/>
      <c r="U170" s="3"/>
      <c r="V170" s="3"/>
      <c r="W170" s="24"/>
      <c r="X170" s="24">
        <f>G170</f>
        <v>42788.04</v>
      </c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3"/>
      <c r="AJ170" s="24"/>
      <c r="AK170" s="284"/>
      <c r="AL170" s="24"/>
      <c r="AM170" s="3"/>
      <c r="AN170" s="3"/>
      <c r="AO170" s="3"/>
      <c r="AP170" s="3"/>
      <c r="AQ170" s="3"/>
      <c r="AR170" s="3"/>
      <c r="AS170" s="24"/>
      <c r="AT170" s="24"/>
      <c r="AU170" s="24"/>
      <c r="AV170" s="24"/>
      <c r="AW170" s="24"/>
      <c r="AX170" s="24"/>
      <c r="AY170" s="3"/>
      <c r="AZ170" s="24"/>
      <c r="BA170" s="24"/>
      <c r="BB170" s="24"/>
      <c r="BC170" s="24"/>
      <c r="BD170" s="24"/>
      <c r="BE170" s="24"/>
      <c r="BF170" s="24"/>
      <c r="BG170" s="24"/>
      <c r="BH170" s="343"/>
      <c r="BI170" s="343"/>
      <c r="BJ170" s="24"/>
      <c r="BK170" s="3"/>
      <c r="BL170" s="3"/>
      <c r="BM170" s="24"/>
      <c r="BN170" s="3"/>
      <c r="BO170" s="3"/>
      <c r="BP170" s="3"/>
      <c r="BQ170" s="3"/>
      <c r="BR170" s="3"/>
      <c r="BS170" s="3"/>
      <c r="BT170" s="3"/>
      <c r="BU170" s="24"/>
      <c r="BV170" s="24"/>
      <c r="BW170" s="24"/>
      <c r="BX170" s="24"/>
      <c r="BY170" s="24"/>
      <c r="BZ170" s="3"/>
      <c r="CA170" s="3"/>
      <c r="CB170" s="24"/>
      <c r="CC170" s="24"/>
      <c r="CD170" s="24"/>
      <c r="CE170" s="24"/>
      <c r="CF170" s="24"/>
      <c r="CG170" s="24"/>
      <c r="CH170" s="24"/>
      <c r="CI170" s="3"/>
      <c r="CJ170" s="3"/>
      <c r="CK170" s="24"/>
      <c r="CL170" s="3"/>
      <c r="CM170" s="3"/>
      <c r="CN170" s="24"/>
      <c r="CO170" s="24"/>
      <c r="CP170" s="24"/>
      <c r="CQ170" s="24"/>
      <c r="CR170" s="24"/>
      <c r="CS170" s="3"/>
      <c r="CT170" s="3"/>
      <c r="CU170" s="3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3"/>
      <c r="DR170" s="24">
        <f t="shared" si="21"/>
        <v>42788.04</v>
      </c>
      <c r="DS170" s="3">
        <f t="shared" si="22"/>
        <v>0</v>
      </c>
      <c r="DU170" s="3">
        <v>42788.04</v>
      </c>
    </row>
    <row r="171" spans="1:125" x14ac:dyDescent="0.2">
      <c r="A171" s="337"/>
      <c r="C171" s="7" t="s">
        <v>2493</v>
      </c>
      <c r="D171" s="7" t="s">
        <v>2263</v>
      </c>
      <c r="E171" s="152" t="s">
        <v>1269</v>
      </c>
      <c r="F171" s="33" t="s">
        <v>2661</v>
      </c>
      <c r="G171" s="231">
        <f t="shared" si="20"/>
        <v>51819</v>
      </c>
      <c r="H171" s="207"/>
      <c r="I171" s="2" t="s">
        <v>2692</v>
      </c>
      <c r="J171" s="2"/>
      <c r="K171" s="2"/>
      <c r="L171" s="2"/>
      <c r="M171" s="3"/>
      <c r="N171" s="3"/>
      <c r="O171" s="24"/>
      <c r="P171" s="3"/>
      <c r="Q171" s="3"/>
      <c r="R171" s="24"/>
      <c r="S171" s="24"/>
      <c r="T171" s="3"/>
      <c r="U171" s="3"/>
      <c r="V171" s="3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3"/>
      <c r="AJ171" s="24"/>
      <c r="AK171" s="284"/>
      <c r="AL171" s="24"/>
      <c r="AM171" s="3"/>
      <c r="AN171" s="3"/>
      <c r="AO171" s="3"/>
      <c r="AP171" s="3"/>
      <c r="AQ171" s="3"/>
      <c r="AR171" s="3"/>
      <c r="AS171" s="24"/>
      <c r="AT171" s="24"/>
      <c r="AU171" s="24"/>
      <c r="AV171" s="24"/>
      <c r="AW171" s="24"/>
      <c r="AX171" s="24"/>
      <c r="AY171" s="3"/>
      <c r="AZ171" s="24"/>
      <c r="BA171" s="24"/>
      <c r="BB171" s="24"/>
      <c r="BC171" s="24"/>
      <c r="BD171" s="24"/>
      <c r="BE171" s="24"/>
      <c r="BF171" s="24"/>
      <c r="BG171" s="24"/>
      <c r="BH171" s="343"/>
      <c r="BI171" s="343"/>
      <c r="BJ171" s="24"/>
      <c r="BK171" s="3"/>
      <c r="BL171" s="3"/>
      <c r="BM171" s="24"/>
      <c r="BN171" s="3"/>
      <c r="BO171" s="3"/>
      <c r="BP171" s="3"/>
      <c r="BQ171" s="3"/>
      <c r="BR171" s="3"/>
      <c r="BS171" s="3"/>
      <c r="BT171" s="3"/>
      <c r="BU171" s="24">
        <f>G171</f>
        <v>51819</v>
      </c>
      <c r="BV171" s="24"/>
      <c r="BW171" s="24"/>
      <c r="BX171" s="24"/>
      <c r="BY171" s="24"/>
      <c r="BZ171" s="3"/>
      <c r="CA171" s="3"/>
      <c r="CB171" s="24"/>
      <c r="CC171" s="24"/>
      <c r="CD171" s="24"/>
      <c r="CE171" s="24"/>
      <c r="CF171" s="24"/>
      <c r="CG171" s="24"/>
      <c r="CH171" s="24"/>
      <c r="CI171" s="3"/>
      <c r="CJ171" s="3"/>
      <c r="CK171" s="24"/>
      <c r="CL171" s="3"/>
      <c r="CM171" s="3"/>
      <c r="CN171" s="24"/>
      <c r="CO171" s="24"/>
      <c r="CP171" s="24"/>
      <c r="CQ171" s="24"/>
      <c r="CR171" s="24"/>
      <c r="CS171" s="3"/>
      <c r="CT171" s="3"/>
      <c r="CU171" s="3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3"/>
      <c r="DR171" s="24">
        <f t="shared" si="21"/>
        <v>51819</v>
      </c>
      <c r="DS171" s="3">
        <f t="shared" si="22"/>
        <v>0</v>
      </c>
      <c r="DU171" s="3">
        <v>51819</v>
      </c>
    </row>
    <row r="172" spans="1:125" x14ac:dyDescent="0.2">
      <c r="C172" s="7" t="s">
        <v>2489</v>
      </c>
      <c r="D172" s="7" t="s">
        <v>2263</v>
      </c>
      <c r="E172" s="202" t="s">
        <v>1542</v>
      </c>
      <c r="F172" s="33" t="s">
        <v>2661</v>
      </c>
      <c r="G172" s="231">
        <f t="shared" si="20"/>
        <v>57744.72</v>
      </c>
      <c r="H172" s="207"/>
      <c r="I172" s="3" t="s">
        <v>2792</v>
      </c>
      <c r="J172" s="3"/>
      <c r="K172" s="3"/>
      <c r="L172" s="3"/>
      <c r="M172" s="24"/>
      <c r="N172" s="3"/>
      <c r="O172" s="24"/>
      <c r="P172" s="3"/>
      <c r="Q172" s="24"/>
      <c r="R172" s="24"/>
      <c r="S172" s="24"/>
      <c r="T172" s="3"/>
      <c r="U172" s="3"/>
      <c r="V172" s="3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3"/>
      <c r="AJ172" s="24"/>
      <c r="AK172" s="284"/>
      <c r="AL172" s="24"/>
      <c r="AM172" s="24"/>
      <c r="AN172" s="24"/>
      <c r="AO172" s="3"/>
      <c r="AP172" s="3"/>
      <c r="AQ172" s="3"/>
      <c r="AR172" s="3"/>
      <c r="AS172" s="24"/>
      <c r="AT172" s="24"/>
      <c r="AU172" s="24"/>
      <c r="AV172" s="24"/>
      <c r="AW172" s="24"/>
      <c r="AX172" s="24"/>
      <c r="AY172" s="3"/>
      <c r="AZ172" s="24"/>
      <c r="BA172" s="24"/>
      <c r="BB172" s="24"/>
      <c r="BC172" s="24"/>
      <c r="BD172" s="24"/>
      <c r="BE172" s="24"/>
      <c r="BF172" s="24"/>
      <c r="BG172" s="24"/>
      <c r="BH172" s="343"/>
      <c r="BI172" s="343"/>
      <c r="BJ172" s="24"/>
      <c r="BK172" s="3"/>
      <c r="BL172" s="3"/>
      <c r="BM172" s="24"/>
      <c r="BN172" s="3"/>
      <c r="BO172" s="3"/>
      <c r="BP172" s="3"/>
      <c r="BQ172" s="3"/>
      <c r="BR172" s="3"/>
      <c r="BS172" s="24"/>
      <c r="BT172" s="24"/>
      <c r="BU172" s="24"/>
      <c r="BV172" s="24"/>
      <c r="BW172" s="24"/>
      <c r="BX172" s="24"/>
      <c r="BY172" s="24"/>
      <c r="BZ172" s="3"/>
      <c r="CA172" s="3"/>
      <c r="CB172" s="24"/>
      <c r="CC172" s="24"/>
      <c r="CD172" s="24"/>
      <c r="CE172" s="24"/>
      <c r="CF172" s="24"/>
      <c r="CG172" s="24"/>
      <c r="CH172" s="24"/>
      <c r="CI172" s="3"/>
      <c r="CJ172" s="3"/>
      <c r="CK172" s="3" t="s">
        <v>342</v>
      </c>
      <c r="CL172" s="24"/>
      <c r="CM172" s="24"/>
      <c r="CN172" s="24"/>
      <c r="CO172" s="24"/>
      <c r="CP172" s="24"/>
      <c r="CQ172" s="24"/>
      <c r="CR172" s="24"/>
      <c r="CS172" s="3"/>
      <c r="CT172" s="3"/>
      <c r="CU172" s="3"/>
      <c r="CV172" s="24">
        <f>+G172</f>
        <v>57744.72</v>
      </c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>
        <f t="shared" si="21"/>
        <v>57744.72</v>
      </c>
      <c r="DS172" s="3">
        <f t="shared" si="22"/>
        <v>0</v>
      </c>
      <c r="DU172" s="3">
        <v>57744.72</v>
      </c>
    </row>
    <row r="173" spans="1:125" x14ac:dyDescent="0.2">
      <c r="A173" s="337"/>
      <c r="C173" s="7" t="s">
        <v>2494</v>
      </c>
      <c r="D173" s="7" t="s">
        <v>2495</v>
      </c>
      <c r="E173" s="202" t="s">
        <v>1544</v>
      </c>
      <c r="F173" s="33" t="s">
        <v>2661</v>
      </c>
      <c r="G173" s="231">
        <f t="shared" si="20"/>
        <v>53733.599999999999</v>
      </c>
      <c r="H173" s="207"/>
      <c r="I173" s="7" t="s">
        <v>2971</v>
      </c>
      <c r="J173" s="2"/>
      <c r="K173" s="2"/>
      <c r="L173" s="2"/>
      <c r="M173" s="3"/>
      <c r="N173" s="3"/>
      <c r="O173" s="3"/>
      <c r="P173" s="3"/>
      <c r="Q173" s="24"/>
      <c r="R173" s="24"/>
      <c r="S173" s="24"/>
      <c r="T173" s="3"/>
      <c r="U173" s="3"/>
      <c r="V173" s="3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3"/>
      <c r="AJ173" s="24"/>
      <c r="AK173" s="284"/>
      <c r="AL173" s="24"/>
      <c r="AM173" s="3"/>
      <c r="AN173" s="3"/>
      <c r="AO173" s="3"/>
      <c r="AP173" s="3"/>
      <c r="AQ173" s="3"/>
      <c r="AR173" s="3"/>
      <c r="AS173" s="24"/>
      <c r="AT173" s="24"/>
      <c r="AU173" s="24"/>
      <c r="AV173" s="24"/>
      <c r="AW173" s="24"/>
      <c r="AX173" s="24"/>
      <c r="AY173" s="3"/>
      <c r="AZ173" s="24"/>
      <c r="BA173" s="24"/>
      <c r="BB173" s="24"/>
      <c r="BC173" s="24"/>
      <c r="BD173" s="24"/>
      <c r="BE173" s="24"/>
      <c r="BF173" s="24"/>
      <c r="BG173" s="24">
        <f>G173</f>
        <v>53733.599999999999</v>
      </c>
      <c r="BH173" s="343"/>
      <c r="BI173" s="343"/>
      <c r="BJ173" s="24"/>
      <c r="BK173" s="3"/>
      <c r="BL173" s="3"/>
      <c r="BM173" s="24"/>
      <c r="BN173" s="3"/>
      <c r="BO173" s="3"/>
      <c r="BP173" s="3"/>
      <c r="BQ173" s="3"/>
      <c r="BR173" s="3"/>
      <c r="BS173" s="3"/>
      <c r="BT173" s="3"/>
      <c r="BU173" s="24"/>
      <c r="BV173" s="24"/>
      <c r="BW173" s="24"/>
      <c r="BX173" s="24"/>
      <c r="BY173" s="24"/>
      <c r="BZ173" s="3"/>
      <c r="CA173" s="3"/>
      <c r="CB173" s="24"/>
      <c r="CC173" s="24"/>
      <c r="CD173" s="24"/>
      <c r="CE173" s="24"/>
      <c r="CF173" s="24"/>
      <c r="CG173" s="24"/>
      <c r="CH173" s="24"/>
      <c r="CI173" s="3"/>
      <c r="CJ173" s="3"/>
      <c r="CK173" s="24"/>
      <c r="CL173" s="3"/>
      <c r="CM173" s="3"/>
      <c r="CN173" s="24"/>
      <c r="CO173" s="24"/>
      <c r="CP173" s="24"/>
      <c r="CQ173" s="24"/>
      <c r="CR173" s="24"/>
      <c r="CS173" s="3"/>
      <c r="CT173" s="3"/>
      <c r="CU173" s="3"/>
      <c r="CV173" s="3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3"/>
      <c r="DR173" s="24">
        <f t="shared" si="21"/>
        <v>53733.599999999999</v>
      </c>
      <c r="DS173" s="3">
        <f t="shared" si="22"/>
        <v>0</v>
      </c>
      <c r="DU173" s="3">
        <v>53733.599999999999</v>
      </c>
    </row>
    <row r="174" spans="1:125" x14ac:dyDescent="0.2">
      <c r="C174" s="7" t="s">
        <v>2496</v>
      </c>
      <c r="D174" s="7" t="s">
        <v>2495</v>
      </c>
      <c r="E174" s="202" t="s">
        <v>1325</v>
      </c>
      <c r="F174" s="33" t="s">
        <v>2661</v>
      </c>
      <c r="G174" s="231">
        <f t="shared" si="20"/>
        <v>54043.8</v>
      </c>
      <c r="H174" s="207"/>
      <c r="I174" s="7" t="s">
        <v>2971</v>
      </c>
      <c r="J174" s="2"/>
      <c r="K174" s="2"/>
      <c r="L174" s="2"/>
      <c r="M174" s="3"/>
      <c r="N174" s="3"/>
      <c r="O174" s="3"/>
      <c r="P174" s="3"/>
      <c r="Q174" s="24"/>
      <c r="R174" s="24"/>
      <c r="S174" s="24"/>
      <c r="T174" s="3"/>
      <c r="U174" s="3"/>
      <c r="V174" s="3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3"/>
      <c r="AJ174" s="24"/>
      <c r="AK174" s="284"/>
      <c r="AL174" s="24"/>
      <c r="AM174" s="3"/>
      <c r="AN174" s="3"/>
      <c r="AO174" s="3"/>
      <c r="AP174" s="3"/>
      <c r="AQ174" s="3"/>
      <c r="AR174" s="3"/>
      <c r="AS174" s="24"/>
      <c r="AT174" s="24"/>
      <c r="AU174" s="24"/>
      <c r="AV174" s="24"/>
      <c r="AW174" s="24"/>
      <c r="AX174" s="24"/>
      <c r="AY174" s="3"/>
      <c r="AZ174" s="24"/>
      <c r="BA174" s="24"/>
      <c r="BB174" s="24"/>
      <c r="BC174" s="24"/>
      <c r="BD174" s="24">
        <f>G174</f>
        <v>54043.8</v>
      </c>
      <c r="BE174" s="24"/>
      <c r="BF174" s="24"/>
      <c r="BG174" s="24"/>
      <c r="BH174" s="343"/>
      <c r="BI174" s="343"/>
      <c r="BJ174" s="24"/>
      <c r="BK174" s="3"/>
      <c r="BL174" s="3"/>
      <c r="BM174" s="24"/>
      <c r="BN174" s="3"/>
      <c r="BO174" s="3"/>
      <c r="BP174" s="3"/>
      <c r="BQ174" s="3"/>
      <c r="BR174" s="3"/>
      <c r="BS174" s="3"/>
      <c r="BT174" s="3"/>
      <c r="BU174" s="24"/>
      <c r="BV174" s="24"/>
      <c r="BW174" s="24"/>
      <c r="BX174" s="24"/>
      <c r="BY174" s="24"/>
      <c r="BZ174" s="3"/>
      <c r="CA174" s="3"/>
      <c r="CB174" s="24"/>
      <c r="CC174" s="24"/>
      <c r="CD174" s="24"/>
      <c r="CE174" s="24"/>
      <c r="CF174" s="24"/>
      <c r="CG174" s="24"/>
      <c r="CH174" s="24"/>
      <c r="CI174" s="3"/>
      <c r="CJ174" s="3"/>
      <c r="CK174" s="24"/>
      <c r="CL174" s="3"/>
      <c r="CM174" s="3"/>
      <c r="CN174" s="24"/>
      <c r="CO174" s="24"/>
      <c r="CP174" s="24"/>
      <c r="CQ174" s="24"/>
      <c r="CR174" s="24"/>
      <c r="CS174" s="3"/>
      <c r="CT174" s="3"/>
      <c r="CU174" s="3"/>
      <c r="CV174" s="3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3"/>
      <c r="DR174" s="24">
        <f t="shared" si="21"/>
        <v>54043.8</v>
      </c>
      <c r="DS174" s="3">
        <f t="shared" si="22"/>
        <v>0</v>
      </c>
      <c r="DU174" s="3">
        <v>54043.8</v>
      </c>
    </row>
    <row r="175" spans="1:125" x14ac:dyDescent="0.2">
      <c r="C175" s="7" t="s">
        <v>2434</v>
      </c>
      <c r="D175" s="7" t="s">
        <v>2497</v>
      </c>
      <c r="E175" s="203" t="s">
        <v>2042</v>
      </c>
      <c r="F175" s="255" t="s">
        <v>2661</v>
      </c>
      <c r="G175" s="231">
        <f t="shared" si="20"/>
        <v>41741.040000000001</v>
      </c>
      <c r="H175" s="207"/>
      <c r="I175" s="2" t="s">
        <v>2683</v>
      </c>
      <c r="J175" s="2"/>
      <c r="K175" s="2"/>
      <c r="L175" s="2"/>
      <c r="M175" s="3"/>
      <c r="N175" s="3"/>
      <c r="O175" s="3"/>
      <c r="P175" s="3"/>
      <c r="Q175" s="24"/>
      <c r="R175" s="24"/>
      <c r="S175" s="24"/>
      <c r="T175" s="3"/>
      <c r="U175" s="3"/>
      <c r="V175" s="3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3"/>
      <c r="AJ175" s="24">
        <f>+G175</f>
        <v>41741.040000000001</v>
      </c>
      <c r="AK175" s="284"/>
      <c r="AL175" s="24"/>
      <c r="AM175" s="3"/>
      <c r="AN175" s="3"/>
      <c r="AO175" s="3"/>
      <c r="AP175" s="3"/>
      <c r="AQ175" s="3"/>
      <c r="AR175" s="3"/>
      <c r="AS175" s="24"/>
      <c r="AT175" s="24"/>
      <c r="AU175" s="24"/>
      <c r="AV175" s="24"/>
      <c r="AW175" s="24"/>
      <c r="AX175" s="24"/>
      <c r="AY175" s="3"/>
      <c r="AZ175" s="24"/>
      <c r="BA175" s="24"/>
      <c r="BB175" s="24"/>
      <c r="BC175" s="24"/>
      <c r="BD175" s="24"/>
      <c r="BE175" s="24"/>
      <c r="BF175" s="24"/>
      <c r="BG175" s="24"/>
      <c r="BH175" s="343"/>
      <c r="BI175" s="343"/>
      <c r="BJ175" s="24"/>
      <c r="BK175" s="3"/>
      <c r="BL175" s="3"/>
      <c r="BM175" s="24"/>
      <c r="BN175" s="3"/>
      <c r="BO175" s="3"/>
      <c r="BP175" s="3"/>
      <c r="BQ175" s="3"/>
      <c r="BR175" s="3"/>
      <c r="BS175" s="3"/>
      <c r="BT175" s="3"/>
      <c r="BU175" s="24"/>
      <c r="BV175" s="24"/>
      <c r="BW175" s="24"/>
      <c r="BX175" s="24"/>
      <c r="BY175" s="24"/>
      <c r="BZ175" s="3"/>
      <c r="CA175" s="3"/>
      <c r="CB175" s="24"/>
      <c r="CC175" s="24"/>
      <c r="CD175" s="24"/>
      <c r="CE175" s="24"/>
      <c r="CF175" s="24"/>
      <c r="CG175" s="24"/>
      <c r="CH175" s="24"/>
      <c r="CI175" s="3"/>
      <c r="CJ175" s="3"/>
      <c r="CK175" s="24"/>
      <c r="CL175" s="3"/>
      <c r="CM175" s="3"/>
      <c r="CN175" s="24"/>
      <c r="CO175" s="24"/>
      <c r="CP175" s="24"/>
      <c r="CQ175" s="24"/>
      <c r="CR175" s="24"/>
      <c r="CS175" s="3"/>
      <c r="CT175" s="3"/>
      <c r="CU175" s="3"/>
      <c r="CV175" s="3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3"/>
      <c r="DR175" s="24">
        <f t="shared" si="21"/>
        <v>41741.040000000001</v>
      </c>
      <c r="DS175" s="3">
        <f t="shared" si="22"/>
        <v>0</v>
      </c>
      <c r="DU175" s="3">
        <v>41741.040000000001</v>
      </c>
    </row>
    <row r="176" spans="1:125" x14ac:dyDescent="0.2">
      <c r="C176" s="7" t="s">
        <v>2811</v>
      </c>
      <c r="D176" s="7" t="s">
        <v>2812</v>
      </c>
      <c r="E176" s="202" t="s">
        <v>1539</v>
      </c>
      <c r="F176" s="33" t="s">
        <v>2661</v>
      </c>
      <c r="G176" s="231">
        <f t="shared" si="20"/>
        <v>53981.88</v>
      </c>
      <c r="H176" s="207"/>
      <c r="I176" s="2" t="s">
        <v>2685</v>
      </c>
      <c r="J176" s="2"/>
      <c r="K176" s="2"/>
      <c r="L176" s="2"/>
      <c r="M176" s="3"/>
      <c r="N176" s="3"/>
      <c r="O176" s="24"/>
      <c r="P176" s="3"/>
      <c r="Q176" s="3"/>
      <c r="R176" s="24"/>
      <c r="S176" s="24"/>
      <c r="T176" s="3"/>
      <c r="U176" s="3"/>
      <c r="V176" s="3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3"/>
      <c r="AJ176" s="24"/>
      <c r="AK176" s="284"/>
      <c r="AL176" s="24"/>
      <c r="AM176" s="3"/>
      <c r="AN176" s="3"/>
      <c r="AO176" s="3" t="s">
        <v>342</v>
      </c>
      <c r="AP176" s="3"/>
      <c r="AQ176" s="3"/>
      <c r="AR176" s="24">
        <f>+G176</f>
        <v>53981.88</v>
      </c>
      <c r="AS176" s="24"/>
      <c r="AT176" s="24"/>
      <c r="AU176" s="24"/>
      <c r="AV176" s="24"/>
      <c r="AW176" s="24"/>
      <c r="AX176" s="24"/>
      <c r="AY176" s="3"/>
      <c r="AZ176" s="24"/>
      <c r="BA176" s="24"/>
      <c r="BB176" s="24"/>
      <c r="BC176" s="24"/>
      <c r="BD176" s="24"/>
      <c r="BE176" s="24"/>
      <c r="BF176" s="24"/>
      <c r="BG176" s="24"/>
      <c r="BH176" s="343"/>
      <c r="BI176" s="343"/>
      <c r="BJ176" s="24"/>
      <c r="BK176" s="3"/>
      <c r="BL176" s="3"/>
      <c r="BM176" s="24"/>
      <c r="BN176" s="3"/>
      <c r="BO176" s="3"/>
      <c r="BP176" s="3"/>
      <c r="BQ176" s="3"/>
      <c r="BR176" s="3"/>
      <c r="BS176" s="3"/>
      <c r="BT176" s="3"/>
      <c r="BU176" s="24"/>
      <c r="BV176" s="24"/>
      <c r="BW176" s="24"/>
      <c r="BX176" s="24"/>
      <c r="BY176" s="24"/>
      <c r="BZ176" s="3"/>
      <c r="CA176" s="3"/>
      <c r="CB176" s="24"/>
      <c r="CC176" s="24"/>
      <c r="CD176" s="24"/>
      <c r="CE176" s="24"/>
      <c r="CF176" s="24"/>
      <c r="CG176" s="24"/>
      <c r="CH176" s="24"/>
      <c r="CI176" s="3"/>
      <c r="CJ176" s="3"/>
      <c r="CK176" s="24"/>
      <c r="CL176" s="3"/>
      <c r="CM176" s="24" t="s">
        <v>342</v>
      </c>
      <c r="CN176" s="3" t="s">
        <v>342</v>
      </c>
      <c r="CO176" s="3"/>
      <c r="CP176" s="3"/>
      <c r="CQ176" s="3">
        <v>0</v>
      </c>
      <c r="CR176" s="24"/>
      <c r="CS176" s="3"/>
      <c r="CT176" s="3"/>
      <c r="CU176" s="3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3"/>
      <c r="DR176" s="24">
        <f t="shared" si="21"/>
        <v>53981.88</v>
      </c>
      <c r="DS176" s="3">
        <f t="shared" si="22"/>
        <v>0</v>
      </c>
      <c r="DU176" s="3">
        <v>53981.88</v>
      </c>
    </row>
    <row r="177" spans="1:125" x14ac:dyDescent="0.2">
      <c r="C177" s="7" t="s">
        <v>2500</v>
      </c>
      <c r="D177" s="7" t="s">
        <v>2501</v>
      </c>
      <c r="E177" s="167" t="s">
        <v>2017</v>
      </c>
      <c r="F177" s="255" t="s">
        <v>2661</v>
      </c>
      <c r="G177" s="231">
        <f t="shared" si="20"/>
        <v>25075.35</v>
      </c>
      <c r="H177" s="207"/>
      <c r="I177" s="3" t="s">
        <v>2698</v>
      </c>
      <c r="J177" s="2"/>
      <c r="K177" s="2"/>
      <c r="L177" s="2"/>
      <c r="M177" s="3"/>
      <c r="N177" s="3"/>
      <c r="O177" s="3"/>
      <c r="P177" s="3"/>
      <c r="Q177" s="3"/>
      <c r="R177" s="24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8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24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24"/>
      <c r="CB177" s="3"/>
      <c r="CC177" s="3"/>
      <c r="CD177" s="3"/>
      <c r="CE177" s="3"/>
      <c r="CF177" s="3"/>
      <c r="CG177" s="3"/>
      <c r="CH177" s="3"/>
      <c r="CI177" s="3"/>
      <c r="CJ177" s="3"/>
      <c r="CK177" s="3">
        <f>G177</f>
        <v>25075.35</v>
      </c>
      <c r="CL177" s="3"/>
      <c r="CM177" s="3"/>
      <c r="CN177" s="3"/>
      <c r="CO177" s="3"/>
      <c r="CP177" s="3"/>
      <c r="CQ177" s="3"/>
      <c r="CR177" s="24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24"/>
      <c r="DJ177" s="24"/>
      <c r="DK177" s="24"/>
      <c r="DL177" s="3"/>
      <c r="DM177" s="3"/>
      <c r="DN177" s="3"/>
      <c r="DO177" s="3"/>
      <c r="DP177" s="3"/>
      <c r="DQ177" s="3"/>
      <c r="DR177" s="24">
        <f t="shared" si="21"/>
        <v>25075.35</v>
      </c>
      <c r="DS177" s="3">
        <f t="shared" si="22"/>
        <v>0</v>
      </c>
      <c r="DU177" s="3">
        <v>24345</v>
      </c>
    </row>
    <row r="178" spans="1:125" x14ac:dyDescent="0.2">
      <c r="C178" s="7" t="s">
        <v>2502</v>
      </c>
      <c r="D178" s="7" t="s">
        <v>2503</v>
      </c>
      <c r="E178" s="202" t="s">
        <v>1546</v>
      </c>
      <c r="F178" s="33" t="s">
        <v>2661</v>
      </c>
      <c r="G178" s="231">
        <f t="shared" si="20"/>
        <v>59081.16</v>
      </c>
      <c r="H178" s="207"/>
      <c r="I178" s="3" t="s">
        <v>2699</v>
      </c>
      <c r="J178" s="3"/>
      <c r="K178" s="2"/>
      <c r="L178" s="2"/>
      <c r="M178" s="3"/>
      <c r="N178" s="3"/>
      <c r="O178" s="24"/>
      <c r="P178" s="3"/>
      <c r="Q178" s="3"/>
      <c r="R178" s="24"/>
      <c r="S178" s="24"/>
      <c r="T178" s="3"/>
      <c r="U178" s="3"/>
      <c r="V178" s="3"/>
      <c r="W178" s="24"/>
      <c r="X178" s="24"/>
      <c r="Y178" s="24"/>
      <c r="Z178" s="24"/>
      <c r="AA178" s="24"/>
      <c r="AB178" s="24"/>
      <c r="AC178" s="24"/>
      <c r="AD178" s="24"/>
      <c r="AE178" s="24"/>
      <c r="AF178" s="3" t="s">
        <v>342</v>
      </c>
      <c r="AG178" s="3"/>
      <c r="AH178" s="24"/>
      <c r="AI178" s="3"/>
      <c r="AJ178" s="24"/>
      <c r="AK178" s="284"/>
      <c r="AL178" s="24"/>
      <c r="AM178" s="3"/>
      <c r="AN178" s="3"/>
      <c r="AO178" s="3"/>
      <c r="AP178" s="3"/>
      <c r="AQ178" s="3"/>
      <c r="AR178" s="3"/>
      <c r="AS178" s="24"/>
      <c r="AT178" s="24"/>
      <c r="AU178" s="24"/>
      <c r="AV178" s="24"/>
      <c r="AW178" s="24"/>
      <c r="AX178" s="24"/>
      <c r="AY178" s="3"/>
      <c r="AZ178" s="24"/>
      <c r="BA178" s="24"/>
      <c r="BB178" s="24"/>
      <c r="BC178" s="24"/>
      <c r="BD178" s="24"/>
      <c r="BE178" s="24"/>
      <c r="BF178" s="24"/>
      <c r="BG178" s="24"/>
      <c r="BH178" s="343"/>
      <c r="BI178" s="343"/>
      <c r="BJ178" s="24"/>
      <c r="BK178" s="3"/>
      <c r="BL178" s="3"/>
      <c r="BM178" s="24"/>
      <c r="BN178" s="3"/>
      <c r="BO178" s="3"/>
      <c r="BP178" s="3"/>
      <c r="BQ178" s="3"/>
      <c r="BR178" s="3"/>
      <c r="BS178" s="3"/>
      <c r="BT178" s="3"/>
      <c r="BU178" s="24"/>
      <c r="BV178" s="24"/>
      <c r="BW178" s="24" t="s">
        <v>342</v>
      </c>
      <c r="BX178" s="24"/>
      <c r="BY178" s="24"/>
      <c r="BZ178" s="3"/>
      <c r="CA178" s="3"/>
      <c r="CB178" s="24"/>
      <c r="CC178" s="24"/>
      <c r="CD178" s="24"/>
      <c r="CE178" s="24"/>
      <c r="CF178" s="24"/>
      <c r="CG178" s="24"/>
      <c r="CH178" s="24"/>
      <c r="CI178" s="3"/>
      <c r="CJ178" s="3"/>
      <c r="CK178" s="24" t="s">
        <v>342</v>
      </c>
      <c r="CL178" s="3"/>
      <c r="CM178" s="3"/>
      <c r="CN178" s="24">
        <f>G178</f>
        <v>59081.16</v>
      </c>
      <c r="CO178" s="24"/>
      <c r="CP178" s="24"/>
      <c r="CQ178" s="24"/>
      <c r="CR178" s="24"/>
      <c r="CS178" s="3"/>
      <c r="CT178" s="3"/>
      <c r="CU178" s="3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3"/>
      <c r="DR178" s="24">
        <f t="shared" si="21"/>
        <v>59081.16</v>
      </c>
      <c r="DS178" s="3">
        <f t="shared" si="22"/>
        <v>0</v>
      </c>
      <c r="DU178" s="3">
        <v>59081.16</v>
      </c>
    </row>
    <row r="179" spans="1:125" x14ac:dyDescent="0.2">
      <c r="C179" s="7" t="s">
        <v>2505</v>
      </c>
      <c r="D179" s="7" t="s">
        <v>2506</v>
      </c>
      <c r="E179" s="202" t="s">
        <v>745</v>
      </c>
      <c r="F179" s="33" t="s">
        <v>2661</v>
      </c>
      <c r="G179" s="231">
        <f t="shared" si="20"/>
        <v>47471.28</v>
      </c>
      <c r="H179" s="207"/>
      <c r="I179" s="2" t="s">
        <v>2679</v>
      </c>
      <c r="J179" s="2"/>
      <c r="K179" s="2"/>
      <c r="L179" s="2"/>
      <c r="M179" s="3"/>
      <c r="N179" s="3"/>
      <c r="O179" s="24"/>
      <c r="P179" s="3"/>
      <c r="Q179" s="3"/>
      <c r="R179" s="24"/>
      <c r="S179" s="24"/>
      <c r="T179" s="3"/>
      <c r="U179" s="3"/>
      <c r="V179" s="3"/>
      <c r="W179" s="24"/>
      <c r="X179" s="24"/>
      <c r="Y179" s="24"/>
      <c r="Z179" s="24"/>
      <c r="AA179" s="24"/>
      <c r="AB179" s="24">
        <f>G179</f>
        <v>47471.28</v>
      </c>
      <c r="AC179" s="24"/>
      <c r="AD179" s="24"/>
      <c r="AE179" s="24"/>
      <c r="AF179" s="3"/>
      <c r="AG179" s="3"/>
      <c r="AH179" s="24"/>
      <c r="AI179" s="3"/>
      <c r="AJ179" s="24"/>
      <c r="AK179" s="284"/>
      <c r="AL179" s="24"/>
      <c r="AM179" s="3"/>
      <c r="AN179" s="3"/>
      <c r="AO179" s="3"/>
      <c r="AP179" s="3"/>
      <c r="AQ179" s="3"/>
      <c r="AR179" s="3"/>
      <c r="AS179" s="24"/>
      <c r="AT179" s="24"/>
      <c r="AU179" s="24"/>
      <c r="AV179" s="24"/>
      <c r="AW179" s="24"/>
      <c r="AX179" s="24"/>
      <c r="AY179" s="3"/>
      <c r="AZ179" s="24"/>
      <c r="BA179" s="24"/>
      <c r="BB179" s="24"/>
      <c r="BC179" s="24"/>
      <c r="BD179" s="24"/>
      <c r="BE179" s="24"/>
      <c r="BF179" s="24"/>
      <c r="BG179" s="24"/>
      <c r="BH179" s="343"/>
      <c r="BI179" s="343"/>
      <c r="BJ179" s="24"/>
      <c r="BK179" s="3"/>
      <c r="BL179" s="3"/>
      <c r="BM179" s="24"/>
      <c r="BN179" s="3"/>
      <c r="BO179" s="3"/>
      <c r="BP179" s="3"/>
      <c r="BQ179" s="3"/>
      <c r="BR179" s="3"/>
      <c r="BS179" s="3"/>
      <c r="BT179" s="3"/>
      <c r="BU179" s="24"/>
      <c r="BV179" s="24"/>
      <c r="BW179" s="24"/>
      <c r="BX179" s="24"/>
      <c r="BY179" s="24"/>
      <c r="BZ179" s="3"/>
      <c r="CA179" s="3"/>
      <c r="CB179" s="24"/>
      <c r="CC179" s="24"/>
      <c r="CD179" s="24"/>
      <c r="CE179" s="24"/>
      <c r="CF179" s="24"/>
      <c r="CG179" s="24"/>
      <c r="CH179" s="24"/>
      <c r="CI179" s="3"/>
      <c r="CJ179" s="3"/>
      <c r="CK179" s="24"/>
      <c r="CL179" s="3"/>
      <c r="CM179" s="3"/>
      <c r="CN179" s="24"/>
      <c r="CO179" s="24"/>
      <c r="CP179" s="24"/>
      <c r="CQ179" s="24"/>
      <c r="CR179" s="24"/>
      <c r="CS179" s="3"/>
      <c r="CT179" s="3"/>
      <c r="CU179" s="3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3"/>
      <c r="DR179" s="24">
        <f t="shared" si="21"/>
        <v>47471.28</v>
      </c>
      <c r="DS179" s="3">
        <f t="shared" si="22"/>
        <v>0</v>
      </c>
      <c r="DU179" s="3">
        <v>47471.28</v>
      </c>
    </row>
    <row r="180" spans="1:125" x14ac:dyDescent="0.2">
      <c r="C180" s="7" t="s">
        <v>2507</v>
      </c>
      <c r="D180" s="7" t="s">
        <v>2508</v>
      </c>
      <c r="E180" s="203" t="s">
        <v>1547</v>
      </c>
      <c r="F180" s="33" t="s">
        <v>2661</v>
      </c>
      <c r="G180" s="231">
        <f t="shared" si="20"/>
        <v>52947</v>
      </c>
      <c r="H180" s="207"/>
      <c r="I180" s="2" t="s">
        <v>2683</v>
      </c>
      <c r="J180" s="2"/>
      <c r="K180" s="2"/>
      <c r="L180" s="2"/>
      <c r="M180" s="3"/>
      <c r="N180" s="3"/>
      <c r="O180" s="24"/>
      <c r="P180" s="3"/>
      <c r="Q180" s="3"/>
      <c r="R180" s="3" t="s">
        <v>342</v>
      </c>
      <c r="S180" s="24"/>
      <c r="T180" s="3"/>
      <c r="U180" s="3"/>
      <c r="V180" s="3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3"/>
      <c r="AJ180" s="24">
        <f>+G180</f>
        <v>52947</v>
      </c>
      <c r="AK180" s="284"/>
      <c r="AL180" s="24"/>
      <c r="AM180" s="3"/>
      <c r="AN180" s="3"/>
      <c r="AO180" s="3"/>
      <c r="AP180" s="3"/>
      <c r="AQ180" s="3"/>
      <c r="AR180" s="3"/>
      <c r="AS180" s="24"/>
      <c r="AT180" s="24"/>
      <c r="AU180" s="24"/>
      <c r="AV180" s="24"/>
      <c r="AW180" s="24"/>
      <c r="AX180" s="24"/>
      <c r="AY180" s="3"/>
      <c r="AZ180" s="24"/>
      <c r="BA180" s="24"/>
      <c r="BB180" s="24"/>
      <c r="BC180" s="24"/>
      <c r="BD180" s="24"/>
      <c r="BE180" s="24"/>
      <c r="BF180" s="24"/>
      <c r="BG180" s="24"/>
      <c r="BH180" s="343"/>
      <c r="BI180" s="343"/>
      <c r="BJ180" s="24"/>
      <c r="BK180" s="3"/>
      <c r="BL180" s="3"/>
      <c r="BM180" s="24"/>
      <c r="BN180" s="3"/>
      <c r="BO180" s="3"/>
      <c r="BP180" s="3"/>
      <c r="BQ180" s="3"/>
      <c r="BR180" s="3"/>
      <c r="BS180" s="3"/>
      <c r="BT180" s="3"/>
      <c r="BU180" s="24"/>
      <c r="BV180" s="24"/>
      <c r="BW180" s="24"/>
      <c r="BX180" s="24"/>
      <c r="BY180" s="24"/>
      <c r="BZ180" s="3"/>
      <c r="CA180" s="3"/>
      <c r="CB180" s="24"/>
      <c r="CC180" s="24"/>
      <c r="CD180" s="24"/>
      <c r="CE180" s="24"/>
      <c r="CF180" s="24"/>
      <c r="CG180" s="24"/>
      <c r="CH180" s="24"/>
      <c r="CI180" s="3"/>
      <c r="CJ180" s="3"/>
      <c r="CK180" s="24"/>
      <c r="CL180" s="3"/>
      <c r="CM180" s="3"/>
      <c r="CN180" s="24"/>
      <c r="CO180" s="24"/>
      <c r="CP180" s="24"/>
      <c r="CQ180" s="24"/>
      <c r="CR180" s="24"/>
      <c r="CS180" s="3"/>
      <c r="CT180" s="3"/>
      <c r="CU180" s="3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3"/>
      <c r="DR180" s="24">
        <f t="shared" si="21"/>
        <v>52947</v>
      </c>
      <c r="DS180" s="3">
        <f t="shared" si="22"/>
        <v>0</v>
      </c>
      <c r="DU180" s="3">
        <v>52947</v>
      </c>
    </row>
    <row r="181" spans="1:125" x14ac:dyDescent="0.2">
      <c r="C181" s="7" t="s">
        <v>2509</v>
      </c>
      <c r="D181" s="7" t="s">
        <v>2510</v>
      </c>
      <c r="E181" s="147" t="s">
        <v>2022</v>
      </c>
      <c r="F181" s="33" t="s">
        <v>2658</v>
      </c>
      <c r="G181" s="231">
        <f t="shared" si="20"/>
        <v>53460.959999999999</v>
      </c>
      <c r="H181" s="207"/>
      <c r="I181" s="2" t="s">
        <v>2687</v>
      </c>
      <c r="J181" s="2"/>
      <c r="K181" s="2"/>
      <c r="L181" s="2"/>
      <c r="M181" s="3"/>
      <c r="N181" s="3"/>
      <c r="O181" s="24"/>
      <c r="P181" s="3"/>
      <c r="Q181" s="3"/>
      <c r="R181" s="3"/>
      <c r="S181" s="24"/>
      <c r="T181" s="3"/>
      <c r="U181" s="3"/>
      <c r="V181" s="3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3"/>
      <c r="AJ181" s="24"/>
      <c r="AK181" s="284"/>
      <c r="AL181" s="24"/>
      <c r="AM181" s="3"/>
      <c r="AN181" s="3"/>
      <c r="AO181" s="3"/>
      <c r="AP181" s="3"/>
      <c r="AQ181" s="3"/>
      <c r="AR181" s="3"/>
      <c r="AS181" s="24"/>
      <c r="AT181" s="24"/>
      <c r="AU181" s="24"/>
      <c r="AV181" s="24"/>
      <c r="AW181" s="24"/>
      <c r="AX181" s="24"/>
      <c r="AY181" s="3"/>
      <c r="AZ181" s="24">
        <f>G181</f>
        <v>53460.959999999999</v>
      </c>
      <c r="BA181" s="24"/>
      <c r="BB181" s="24"/>
      <c r="BC181" s="24"/>
      <c r="BD181" s="24"/>
      <c r="BE181" s="24"/>
      <c r="BF181" s="24"/>
      <c r="BG181" s="24"/>
      <c r="BH181" s="343"/>
      <c r="BI181" s="343"/>
      <c r="BJ181" s="24"/>
      <c r="BK181" s="3"/>
      <c r="BL181" s="3"/>
      <c r="BM181" s="24"/>
      <c r="BN181" s="3"/>
      <c r="BO181" s="3"/>
      <c r="BP181" s="3"/>
      <c r="BQ181" s="3"/>
      <c r="BR181" s="3"/>
      <c r="BS181" s="3"/>
      <c r="BT181" s="3"/>
      <c r="BU181" s="24"/>
      <c r="BV181" s="24"/>
      <c r="BW181" s="24"/>
      <c r="BX181" s="24"/>
      <c r="BY181" s="24"/>
      <c r="BZ181" s="3"/>
      <c r="CA181" s="3"/>
      <c r="CB181" s="24"/>
      <c r="CC181" s="24"/>
      <c r="CD181" s="24"/>
      <c r="CE181" s="24"/>
      <c r="CF181" s="24"/>
      <c r="CG181" s="24"/>
      <c r="CH181" s="24"/>
      <c r="CI181" s="3"/>
      <c r="CJ181" s="3"/>
      <c r="CK181" s="24"/>
      <c r="CL181" s="3"/>
      <c r="CM181" s="3"/>
      <c r="CN181" s="24"/>
      <c r="CO181" s="24"/>
      <c r="CP181" s="24"/>
      <c r="CQ181" s="24"/>
      <c r="CR181" s="24"/>
      <c r="CS181" s="3"/>
      <c r="CT181" s="3"/>
      <c r="CU181" s="3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3"/>
      <c r="DR181" s="24">
        <f t="shared" si="21"/>
        <v>53460.959999999999</v>
      </c>
      <c r="DS181" s="3">
        <f t="shared" si="22"/>
        <v>0</v>
      </c>
      <c r="DU181" s="3">
        <v>53460.959999999999</v>
      </c>
    </row>
    <row r="182" spans="1:125" x14ac:dyDescent="0.2">
      <c r="C182" s="7" t="s">
        <v>2383</v>
      </c>
      <c r="D182" s="7" t="s">
        <v>2988</v>
      </c>
      <c r="E182" s="165" t="s">
        <v>2987</v>
      </c>
      <c r="F182" s="33" t="s">
        <v>2661</v>
      </c>
      <c r="G182" s="231">
        <f t="shared" si="20"/>
        <v>40401.72</v>
      </c>
      <c r="H182" s="207"/>
      <c r="I182" s="3" t="s">
        <v>2698</v>
      </c>
      <c r="J182" s="2"/>
      <c r="K182" s="2"/>
      <c r="L182" s="2"/>
      <c r="M182" s="3"/>
      <c r="N182" s="3"/>
      <c r="O182" s="24"/>
      <c r="P182" s="3"/>
      <c r="Q182" s="3"/>
      <c r="R182" s="24"/>
      <c r="S182" s="24"/>
      <c r="T182" s="3"/>
      <c r="U182" s="3"/>
      <c r="V182" s="3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3"/>
      <c r="AJ182" s="24"/>
      <c r="AK182" s="284"/>
      <c r="AL182" s="24"/>
      <c r="AM182" s="3"/>
      <c r="AN182" s="3"/>
      <c r="AO182" s="3"/>
      <c r="AP182" s="3"/>
      <c r="AQ182" s="3"/>
      <c r="AR182" s="3"/>
      <c r="AS182" s="24"/>
      <c r="AT182" s="24"/>
      <c r="AU182" s="24"/>
      <c r="AV182" s="24"/>
      <c r="AW182" s="24"/>
      <c r="AX182" s="24"/>
      <c r="AY182" s="3"/>
      <c r="AZ182" s="24"/>
      <c r="BA182" s="24"/>
      <c r="BB182" s="24"/>
      <c r="BC182" s="24"/>
      <c r="BD182" s="24"/>
      <c r="BE182" s="24"/>
      <c r="BF182" s="24"/>
      <c r="BG182" s="24"/>
      <c r="BH182" s="343"/>
      <c r="BI182" s="343"/>
      <c r="BJ182" s="24"/>
      <c r="BK182" s="3"/>
      <c r="BL182" s="3"/>
      <c r="BM182" s="24"/>
      <c r="BN182" s="3"/>
      <c r="BO182" s="3"/>
      <c r="BP182" s="3"/>
      <c r="BQ182" s="3"/>
      <c r="BR182" s="3"/>
      <c r="BS182" s="3"/>
      <c r="BT182" s="3"/>
      <c r="BU182" s="24"/>
      <c r="BV182" s="24"/>
      <c r="BW182" s="24"/>
      <c r="BX182" s="24"/>
      <c r="BY182" s="24"/>
      <c r="BZ182" s="3"/>
      <c r="CA182" s="3"/>
      <c r="CB182" s="24"/>
      <c r="CC182" s="24"/>
      <c r="CD182" s="24"/>
      <c r="CE182" s="24"/>
      <c r="CF182" s="24"/>
      <c r="CG182" s="24"/>
      <c r="CH182" s="24"/>
      <c r="CI182" s="3"/>
      <c r="CJ182" s="3"/>
      <c r="CK182" s="24">
        <f>G182</f>
        <v>40401.72</v>
      </c>
      <c r="CL182" s="3"/>
      <c r="CM182" s="3"/>
      <c r="CN182" s="24"/>
      <c r="CO182" s="24"/>
      <c r="CP182" s="24"/>
      <c r="CQ182" s="24"/>
      <c r="CR182" s="24"/>
      <c r="CS182" s="3"/>
      <c r="CT182" s="3"/>
      <c r="CU182" s="3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3"/>
      <c r="DR182" s="24">
        <f t="shared" si="21"/>
        <v>40401.72</v>
      </c>
      <c r="DS182" s="3">
        <f t="shared" si="22"/>
        <v>0</v>
      </c>
      <c r="DU182" s="3">
        <v>40401.72</v>
      </c>
    </row>
    <row r="183" spans="1:125" x14ac:dyDescent="0.2">
      <c r="A183" s="251"/>
      <c r="C183" s="7" t="s">
        <v>2389</v>
      </c>
      <c r="D183" s="7" t="s">
        <v>2380</v>
      </c>
      <c r="E183" s="220" t="s">
        <v>1130</v>
      </c>
      <c r="F183" s="33" t="s">
        <v>2661</v>
      </c>
      <c r="G183" s="231">
        <f t="shared" si="20"/>
        <v>23275.86</v>
      </c>
      <c r="H183" s="207"/>
      <c r="I183" s="3" t="s">
        <v>2698</v>
      </c>
      <c r="J183" s="2"/>
      <c r="K183" s="2"/>
      <c r="L183" s="2"/>
      <c r="M183" s="3"/>
      <c r="N183" s="3"/>
      <c r="O183" s="24"/>
      <c r="P183" s="3"/>
      <c r="Q183" s="3"/>
      <c r="R183" s="24"/>
      <c r="S183" s="24"/>
      <c r="T183" s="3"/>
      <c r="U183" s="3"/>
      <c r="V183" s="3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3"/>
      <c r="AJ183" s="24"/>
      <c r="AK183" s="284"/>
      <c r="AL183" s="24"/>
      <c r="AM183" s="3"/>
      <c r="AN183" s="3"/>
      <c r="AO183" s="3"/>
      <c r="AP183" s="3"/>
      <c r="AQ183" s="3"/>
      <c r="AR183" s="3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343"/>
      <c r="BI183" s="343"/>
      <c r="BJ183" s="24"/>
      <c r="BK183" s="3"/>
      <c r="BL183" s="3"/>
      <c r="BM183" s="24"/>
      <c r="BN183" s="3"/>
      <c r="BO183" s="3"/>
      <c r="BP183" s="3"/>
      <c r="BQ183" s="3"/>
      <c r="BR183" s="3"/>
      <c r="BS183" s="3"/>
      <c r="BT183" s="3"/>
      <c r="BU183" s="24"/>
      <c r="BV183" s="24"/>
      <c r="BW183" s="24"/>
      <c r="BX183" s="24"/>
      <c r="BY183" s="24"/>
      <c r="BZ183" s="3"/>
      <c r="CA183" s="3"/>
      <c r="CB183" s="24"/>
      <c r="CC183" s="24"/>
      <c r="CD183" s="24"/>
      <c r="CE183" s="24"/>
      <c r="CF183" s="24"/>
      <c r="CG183" s="24"/>
      <c r="CH183" s="24"/>
      <c r="CI183" s="3"/>
      <c r="CJ183" s="3"/>
      <c r="CK183" s="24">
        <f>G183</f>
        <v>23275.86</v>
      </c>
      <c r="CL183" s="3"/>
      <c r="CM183" s="3"/>
      <c r="CN183" s="24"/>
      <c r="CO183" s="24"/>
      <c r="CP183" s="24"/>
      <c r="CQ183" s="24"/>
      <c r="CR183" s="24"/>
      <c r="CS183" s="3"/>
      <c r="CT183" s="3"/>
      <c r="CU183" s="3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3"/>
      <c r="DR183" s="24">
        <f t="shared" si="21"/>
        <v>23275.86</v>
      </c>
      <c r="DS183" s="3">
        <f t="shared" si="22"/>
        <v>0</v>
      </c>
      <c r="DU183" s="3">
        <v>22597.919999999998</v>
      </c>
    </row>
    <row r="184" spans="1:125" x14ac:dyDescent="0.2">
      <c r="C184" s="7" t="s">
        <v>2456</v>
      </c>
      <c r="D184" s="7" t="s">
        <v>2380</v>
      </c>
      <c r="E184" s="220" t="s">
        <v>1548</v>
      </c>
      <c r="F184" s="33" t="s">
        <v>2661</v>
      </c>
      <c r="G184" s="231">
        <f t="shared" si="20"/>
        <v>40420.080000000002</v>
      </c>
      <c r="H184" s="207"/>
      <c r="I184" s="3" t="s">
        <v>2698</v>
      </c>
      <c r="J184" s="2"/>
      <c r="K184" s="2"/>
      <c r="L184" s="2"/>
      <c r="M184" s="3"/>
      <c r="N184" s="3"/>
      <c r="O184" s="24"/>
      <c r="P184" s="3"/>
      <c r="Q184" s="3"/>
      <c r="R184" s="24"/>
      <c r="S184" s="24"/>
      <c r="T184" s="3"/>
      <c r="U184" s="3"/>
      <c r="V184" s="3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3"/>
      <c r="AJ184" s="24"/>
      <c r="AK184" s="284"/>
      <c r="AL184" s="24"/>
      <c r="AM184" s="3"/>
      <c r="AN184" s="3"/>
      <c r="AO184" s="3"/>
      <c r="AP184" s="3"/>
      <c r="AQ184" s="3"/>
      <c r="AR184" s="3"/>
      <c r="AS184" s="24"/>
      <c r="AT184" s="24"/>
      <c r="AU184" s="24"/>
      <c r="AV184" s="24"/>
      <c r="AW184" s="24"/>
      <c r="AX184" s="24"/>
      <c r="AY184" s="3"/>
      <c r="AZ184" s="24"/>
      <c r="BA184" s="24"/>
      <c r="BB184" s="24"/>
      <c r="BC184" s="24"/>
      <c r="BD184" s="24"/>
      <c r="BE184" s="24"/>
      <c r="BF184" s="24"/>
      <c r="BG184" s="24"/>
      <c r="BH184" s="343"/>
      <c r="BI184" s="343"/>
      <c r="BJ184" s="24"/>
      <c r="BK184" s="3"/>
      <c r="BL184" s="3"/>
      <c r="BM184" s="24"/>
      <c r="BN184" s="3"/>
      <c r="BO184" s="3"/>
      <c r="BP184" s="3"/>
      <c r="BQ184" s="3"/>
      <c r="BR184" s="3"/>
      <c r="BS184" s="3"/>
      <c r="BT184" s="3"/>
      <c r="BU184" s="24"/>
      <c r="BV184" s="24"/>
      <c r="BW184" s="24"/>
      <c r="BX184" s="24"/>
      <c r="BY184" s="24"/>
      <c r="BZ184" s="3"/>
      <c r="CA184" s="3"/>
      <c r="CB184" s="24"/>
      <c r="CC184" s="24"/>
      <c r="CD184" s="24"/>
      <c r="CE184" s="24"/>
      <c r="CF184" s="24"/>
      <c r="CG184" s="24"/>
      <c r="CH184" s="24"/>
      <c r="CI184" s="3"/>
      <c r="CJ184" s="3"/>
      <c r="CK184" s="24">
        <f>G184</f>
        <v>40420.080000000002</v>
      </c>
      <c r="CL184" s="3"/>
      <c r="CM184" s="3"/>
      <c r="CN184" s="24"/>
      <c r="CO184" s="24"/>
      <c r="CP184" s="24"/>
      <c r="CQ184" s="24"/>
      <c r="CR184" s="24"/>
      <c r="CS184" s="3"/>
      <c r="CT184" s="3"/>
      <c r="CU184" s="3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3"/>
      <c r="DR184" s="24">
        <f t="shared" si="21"/>
        <v>40420.080000000002</v>
      </c>
      <c r="DS184" s="3">
        <f t="shared" si="22"/>
        <v>0</v>
      </c>
      <c r="DU184" s="3">
        <v>40420.080000000002</v>
      </c>
    </row>
    <row r="185" spans="1:125" x14ac:dyDescent="0.2">
      <c r="C185" s="7" t="s">
        <v>2231</v>
      </c>
      <c r="D185" s="7" t="s">
        <v>2380</v>
      </c>
      <c r="E185" s="227" t="s">
        <v>2217</v>
      </c>
      <c r="F185" s="33" t="s">
        <v>2661</v>
      </c>
      <c r="G185" s="231">
        <f t="shared" si="20"/>
        <v>30216.240000000002</v>
      </c>
      <c r="H185" s="207"/>
      <c r="I185" s="3" t="s">
        <v>2709</v>
      </c>
      <c r="J185" s="3"/>
      <c r="K185" s="3"/>
      <c r="L185" s="3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8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343"/>
      <c r="BI185" s="343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>
        <f>G185</f>
        <v>30216.240000000002</v>
      </c>
      <c r="DJ185" s="24"/>
      <c r="DK185" s="24"/>
      <c r="DL185" s="24"/>
      <c r="DM185" s="24"/>
      <c r="DN185" s="24"/>
      <c r="DO185" s="24"/>
      <c r="DP185" s="24"/>
      <c r="DQ185" s="24"/>
      <c r="DR185" s="24">
        <f t="shared" si="21"/>
        <v>30216.240000000002</v>
      </c>
      <c r="DS185" s="3">
        <f t="shared" si="22"/>
        <v>0</v>
      </c>
      <c r="DU185" s="3">
        <v>29336.16</v>
      </c>
    </row>
    <row r="186" spans="1:125" x14ac:dyDescent="0.2">
      <c r="C186" s="7" t="s">
        <v>2436</v>
      </c>
      <c r="D186" s="7" t="s">
        <v>2380</v>
      </c>
      <c r="E186" s="147" t="s">
        <v>2778</v>
      </c>
      <c r="F186" s="33" t="s">
        <v>2658</v>
      </c>
      <c r="G186" s="231">
        <f t="shared" si="20"/>
        <v>42893.04</v>
      </c>
      <c r="H186" s="207"/>
      <c r="I186" s="2" t="s">
        <v>2687</v>
      </c>
      <c r="J186" s="2"/>
      <c r="K186" s="2"/>
      <c r="L186" s="2"/>
      <c r="M186" s="3"/>
      <c r="N186" s="3"/>
      <c r="O186" s="24"/>
      <c r="P186" s="3"/>
      <c r="Q186" s="3"/>
      <c r="R186" s="24"/>
      <c r="S186" s="24"/>
      <c r="T186" s="3"/>
      <c r="U186" s="3"/>
      <c r="V186" s="3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3"/>
      <c r="AJ186" s="24"/>
      <c r="AK186" s="284"/>
      <c r="AL186" s="24"/>
      <c r="AM186" s="3"/>
      <c r="AN186" s="3"/>
      <c r="AO186" s="3"/>
      <c r="AP186" s="3"/>
      <c r="AQ186" s="3"/>
      <c r="AR186" s="3"/>
      <c r="AS186" s="24"/>
      <c r="AT186" s="24"/>
      <c r="AU186" s="24"/>
      <c r="AV186" s="24"/>
      <c r="AW186" s="24"/>
      <c r="AX186" s="24"/>
      <c r="AY186" s="24"/>
      <c r="AZ186" s="24">
        <f>G186</f>
        <v>42893.04</v>
      </c>
      <c r="BA186" s="24"/>
      <c r="BB186" s="24"/>
      <c r="BC186" s="24"/>
      <c r="BD186" s="24"/>
      <c r="BE186" s="24"/>
      <c r="BF186" s="24"/>
      <c r="BG186" s="24"/>
      <c r="BH186" s="343"/>
      <c r="BI186" s="343"/>
      <c r="BJ186" s="24"/>
      <c r="BK186" s="3"/>
      <c r="BL186" s="3"/>
      <c r="BM186" s="24"/>
      <c r="BN186" s="3"/>
      <c r="BO186" s="3"/>
      <c r="BP186" s="3"/>
      <c r="BQ186" s="3"/>
      <c r="BR186" s="3"/>
      <c r="BS186" s="3"/>
      <c r="BT186" s="3"/>
      <c r="BU186" s="24"/>
      <c r="BV186" s="24"/>
      <c r="BW186" s="24"/>
      <c r="BX186" s="24"/>
      <c r="BY186" s="24"/>
      <c r="BZ186" s="3"/>
      <c r="CA186" s="3"/>
      <c r="CB186" s="24"/>
      <c r="CC186" s="24"/>
      <c r="CD186" s="24"/>
      <c r="CE186" s="24"/>
      <c r="CF186" s="24"/>
      <c r="CG186" s="24"/>
      <c r="CH186" s="24"/>
      <c r="CI186" s="3"/>
      <c r="CJ186" s="3"/>
      <c r="CK186" s="24"/>
      <c r="CL186" s="3"/>
      <c r="CM186" s="3"/>
      <c r="CN186" s="24"/>
      <c r="CO186" s="24"/>
      <c r="CP186" s="24"/>
      <c r="CQ186" s="24"/>
      <c r="CR186" s="24"/>
      <c r="CS186" s="3"/>
      <c r="CT186" s="3"/>
      <c r="CU186" s="3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3"/>
      <c r="DR186" s="24">
        <f t="shared" si="21"/>
        <v>42893.04</v>
      </c>
      <c r="DS186" s="3">
        <f t="shared" si="22"/>
        <v>0</v>
      </c>
      <c r="DU186" s="3">
        <v>42893.04</v>
      </c>
    </row>
    <row r="187" spans="1:125" x14ac:dyDescent="0.2">
      <c r="A187" s="337"/>
      <c r="C187" s="7" t="s">
        <v>2511</v>
      </c>
      <c r="D187" s="7" t="s">
        <v>2512</v>
      </c>
      <c r="E187" s="202" t="s">
        <v>1392</v>
      </c>
      <c r="F187" s="33" t="s">
        <v>2661</v>
      </c>
      <c r="G187" s="231">
        <f t="shared" si="20"/>
        <v>43954.2</v>
      </c>
      <c r="H187" s="207"/>
      <c r="I187" s="2" t="s">
        <v>2697</v>
      </c>
      <c r="J187" s="2"/>
      <c r="K187" s="2"/>
      <c r="L187" s="2"/>
      <c r="M187" s="3"/>
      <c r="N187" s="3"/>
      <c r="O187" s="24"/>
      <c r="P187" s="3"/>
      <c r="Q187" s="3"/>
      <c r="R187" s="24"/>
      <c r="S187" s="24"/>
      <c r="T187" s="3"/>
      <c r="U187" s="3"/>
      <c r="V187" s="3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3"/>
      <c r="AJ187" s="24"/>
      <c r="AK187" s="284"/>
      <c r="AL187" s="24"/>
      <c r="AM187" s="3"/>
      <c r="AN187" s="3"/>
      <c r="AO187" s="3"/>
      <c r="AP187" s="3"/>
      <c r="AQ187" s="3"/>
      <c r="AR187" s="3"/>
      <c r="AS187" s="24"/>
      <c r="AT187" s="24"/>
      <c r="AU187" s="24"/>
      <c r="AV187" s="24"/>
      <c r="AW187" s="24"/>
      <c r="AX187" s="24"/>
      <c r="AY187" s="3"/>
      <c r="AZ187" s="24"/>
      <c r="BA187" s="24"/>
      <c r="BB187" s="24"/>
      <c r="BC187" s="24"/>
      <c r="BD187" s="24"/>
      <c r="BE187" s="24"/>
      <c r="BF187" s="24"/>
      <c r="BG187" s="24"/>
      <c r="BH187" s="343"/>
      <c r="BI187" s="343"/>
      <c r="BJ187" s="24">
        <f>0.08*G187</f>
        <v>3516.34</v>
      </c>
      <c r="BK187" s="3"/>
      <c r="BL187" s="3"/>
      <c r="BM187" s="24"/>
      <c r="BN187" s="3"/>
      <c r="BO187" s="3"/>
      <c r="BP187" s="3"/>
      <c r="BQ187" s="3"/>
      <c r="BR187" s="3"/>
      <c r="BS187" s="3"/>
      <c r="BT187" s="3"/>
      <c r="BU187" s="24"/>
      <c r="BV187" s="24"/>
      <c r="BW187" s="24"/>
      <c r="BX187" s="24"/>
      <c r="BY187" s="24"/>
      <c r="BZ187" s="3"/>
      <c r="CA187" s="3"/>
      <c r="CB187" s="24"/>
      <c r="CC187" s="24"/>
      <c r="CD187" s="24"/>
      <c r="CE187" s="24"/>
      <c r="CF187" s="24"/>
      <c r="CG187" s="24"/>
      <c r="CH187" s="24">
        <f>0.92*G187</f>
        <v>40437.86</v>
      </c>
      <c r="CI187" s="3"/>
      <c r="CJ187" s="3"/>
      <c r="CK187" s="24"/>
      <c r="CL187" s="3"/>
      <c r="CM187" s="3"/>
      <c r="CN187" s="24"/>
      <c r="CO187" s="24"/>
      <c r="CP187" s="24"/>
      <c r="CQ187" s="24"/>
      <c r="CR187" s="24"/>
      <c r="CS187" s="3"/>
      <c r="CT187" s="3"/>
      <c r="CU187" s="3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3"/>
      <c r="DR187" s="24">
        <f t="shared" si="21"/>
        <v>43954.2</v>
      </c>
      <c r="DS187" s="3">
        <f t="shared" si="22"/>
        <v>0</v>
      </c>
      <c r="DU187" s="3">
        <v>43954.2</v>
      </c>
    </row>
    <row r="188" spans="1:125" x14ac:dyDescent="0.2">
      <c r="C188" s="7" t="s">
        <v>2513</v>
      </c>
      <c r="D188" s="7" t="s">
        <v>2336</v>
      </c>
      <c r="E188" s="220" t="s">
        <v>1394</v>
      </c>
      <c r="F188" s="255" t="s">
        <v>2661</v>
      </c>
      <c r="G188" s="231">
        <f t="shared" si="20"/>
        <v>23275.86</v>
      </c>
      <c r="H188" s="207"/>
      <c r="I188" s="3" t="s">
        <v>2698</v>
      </c>
      <c r="J188" s="2"/>
      <c r="K188" s="2"/>
      <c r="L188" s="2"/>
      <c r="M188" s="3"/>
      <c r="N188" s="3"/>
      <c r="O188" s="24"/>
      <c r="P188" s="3"/>
      <c r="Q188" s="3"/>
      <c r="R188" s="24"/>
      <c r="S188" s="24"/>
      <c r="T188" s="3"/>
      <c r="U188" s="3"/>
      <c r="V188" s="3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3"/>
      <c r="AJ188" s="24"/>
      <c r="AK188" s="284"/>
      <c r="AL188" s="24"/>
      <c r="AM188" s="3"/>
      <c r="AN188" s="3"/>
      <c r="AO188" s="3"/>
      <c r="AP188" s="3"/>
      <c r="AQ188" s="3"/>
      <c r="AR188" s="3"/>
      <c r="AS188" s="24"/>
      <c r="AT188" s="24"/>
      <c r="AU188" s="24"/>
      <c r="AV188" s="24"/>
      <c r="AW188" s="24"/>
      <c r="AX188" s="24"/>
      <c r="AY188" s="3"/>
      <c r="AZ188" s="24"/>
      <c r="BA188" s="24"/>
      <c r="BB188" s="24"/>
      <c r="BC188" s="24"/>
      <c r="BD188" s="24"/>
      <c r="BE188" s="24"/>
      <c r="BF188" s="24"/>
      <c r="BG188" s="24"/>
      <c r="BH188" s="343"/>
      <c r="BI188" s="343"/>
      <c r="BJ188" s="24"/>
      <c r="BK188" s="3"/>
      <c r="BL188" s="3"/>
      <c r="BM188" s="24"/>
      <c r="BN188" s="3"/>
      <c r="BO188" s="3"/>
      <c r="BP188" s="3"/>
      <c r="BQ188" s="3"/>
      <c r="BR188" s="3"/>
      <c r="BS188" s="3"/>
      <c r="BT188" s="3"/>
      <c r="BU188" s="24"/>
      <c r="BV188" s="24"/>
      <c r="BW188" s="24"/>
      <c r="BX188" s="24"/>
      <c r="BY188" s="24"/>
      <c r="BZ188" s="3"/>
      <c r="CA188" s="24"/>
      <c r="CB188" s="24"/>
      <c r="CC188" s="24"/>
      <c r="CD188" s="24"/>
      <c r="CE188" s="24"/>
      <c r="CF188" s="24"/>
      <c r="CG188" s="24"/>
      <c r="CH188" s="24"/>
      <c r="CI188" s="3"/>
      <c r="CJ188" s="3"/>
      <c r="CK188" s="24">
        <f>G188</f>
        <v>23275.86</v>
      </c>
      <c r="CL188" s="3"/>
      <c r="CM188" s="3"/>
      <c r="CN188" s="24"/>
      <c r="CO188" s="24"/>
      <c r="CP188" s="24"/>
      <c r="CQ188" s="24"/>
      <c r="CR188" s="24"/>
      <c r="CS188" s="3"/>
      <c r="CT188" s="3"/>
      <c r="CU188" s="3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3"/>
      <c r="DR188" s="24">
        <f t="shared" si="21"/>
        <v>23275.86</v>
      </c>
      <c r="DS188" s="3">
        <f t="shared" si="22"/>
        <v>0</v>
      </c>
      <c r="DU188" s="3">
        <v>22597.919999999998</v>
      </c>
    </row>
    <row r="189" spans="1:125" x14ac:dyDescent="0.2">
      <c r="A189" s="251"/>
      <c r="C189" s="7" t="s">
        <v>2782</v>
      </c>
      <c r="D189" s="7" t="s">
        <v>2783</v>
      </c>
      <c r="E189" s="203" t="s">
        <v>2765</v>
      </c>
      <c r="F189" s="255" t="s">
        <v>2661</v>
      </c>
      <c r="G189" s="231">
        <f t="shared" si="20"/>
        <v>20537.13</v>
      </c>
      <c r="H189" s="207"/>
      <c r="I189" s="342" t="s">
        <v>2952</v>
      </c>
      <c r="J189" s="3"/>
      <c r="K189" s="2"/>
      <c r="L189" s="2"/>
      <c r="M189" s="3"/>
      <c r="N189" s="3"/>
      <c r="O189" s="24"/>
      <c r="P189" s="3"/>
      <c r="Q189" s="3"/>
      <c r="R189" s="24"/>
      <c r="S189" s="24"/>
      <c r="T189" s="3"/>
      <c r="U189" s="3"/>
      <c r="V189" s="3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3"/>
      <c r="AJ189" s="24"/>
      <c r="AK189" s="284"/>
      <c r="AL189" s="24"/>
      <c r="AM189" s="24"/>
      <c r="AN189" s="24"/>
      <c r="AO189" s="3"/>
      <c r="AP189" s="3"/>
      <c r="AQ189" s="3"/>
      <c r="AR189" s="3"/>
      <c r="AS189" s="24"/>
      <c r="AT189" s="24"/>
      <c r="AU189" s="24"/>
      <c r="AV189" s="24"/>
      <c r="AW189" s="24"/>
      <c r="AX189" s="24"/>
      <c r="AY189" s="3"/>
      <c r="AZ189" s="24"/>
      <c r="BA189" s="24"/>
      <c r="BB189" s="24"/>
      <c r="BC189" s="24"/>
      <c r="BD189" s="24"/>
      <c r="BE189" s="24"/>
      <c r="BF189" s="24"/>
      <c r="BG189" s="24"/>
      <c r="BH189" s="343"/>
      <c r="BI189" s="343"/>
      <c r="BJ189" s="24"/>
      <c r="BK189" s="3"/>
      <c r="BL189" s="3">
        <f>+G189</f>
        <v>20537.13</v>
      </c>
      <c r="BM189" s="24"/>
      <c r="BN189" s="3"/>
      <c r="BO189" s="3"/>
      <c r="BP189" s="3"/>
      <c r="BQ189" s="3"/>
      <c r="BR189" s="3"/>
      <c r="BS189" s="3"/>
      <c r="BT189" s="3"/>
      <c r="BU189" s="24"/>
      <c r="BV189" s="24"/>
      <c r="BW189" s="24"/>
      <c r="BX189" s="24"/>
      <c r="BY189" s="24"/>
      <c r="BZ189" s="3"/>
      <c r="CA189" s="3"/>
      <c r="CB189" s="24"/>
      <c r="CC189" s="24"/>
      <c r="CD189" s="24"/>
      <c r="CE189" s="24"/>
      <c r="CF189" s="24"/>
      <c r="CG189" s="24"/>
      <c r="CH189" s="24"/>
      <c r="CI189" s="3"/>
      <c r="CJ189" s="3"/>
      <c r="CK189" s="24"/>
      <c r="CL189" s="3"/>
      <c r="CM189" s="3"/>
      <c r="CN189" s="24"/>
      <c r="CO189" s="24"/>
      <c r="CP189" s="24"/>
      <c r="CQ189" s="24"/>
      <c r="CR189" s="24"/>
      <c r="CS189" s="3"/>
      <c r="CT189" s="3"/>
      <c r="CU189" s="3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3"/>
      <c r="DR189" s="24">
        <f t="shared" si="21"/>
        <v>20537.13</v>
      </c>
      <c r="DS189" s="3">
        <f t="shared" si="22"/>
        <v>0</v>
      </c>
      <c r="DU189" s="3">
        <v>19938.96</v>
      </c>
    </row>
    <row r="190" spans="1:125" x14ac:dyDescent="0.2">
      <c r="C190" s="7" t="s">
        <v>2524</v>
      </c>
      <c r="D190" s="7" t="s">
        <v>2525</v>
      </c>
      <c r="E190" s="202" t="s">
        <v>2409</v>
      </c>
      <c r="F190" s="33" t="s">
        <v>2661</v>
      </c>
      <c r="G190" s="231">
        <f t="shared" si="20"/>
        <v>43577.04</v>
      </c>
      <c r="H190" s="207"/>
      <c r="I190" s="2" t="s">
        <v>2679</v>
      </c>
      <c r="J190" s="2"/>
      <c r="K190" s="2"/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24"/>
      <c r="Y190" s="24"/>
      <c r="Z190" s="24"/>
      <c r="AA190" s="3"/>
      <c r="AB190" s="3"/>
      <c r="AC190" s="3"/>
      <c r="AD190" s="3">
        <f>G190</f>
        <v>43577.04</v>
      </c>
      <c r="AE190" s="3"/>
      <c r="AF190" s="3"/>
      <c r="AG190" s="3"/>
      <c r="AH190" s="3"/>
      <c r="AI190" s="3"/>
      <c r="AJ190" s="3"/>
      <c r="AK190" s="28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24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24"/>
      <c r="CB190" s="3"/>
      <c r="CC190" s="3"/>
      <c r="CD190" s="3"/>
      <c r="CE190" s="3"/>
      <c r="CF190" s="3"/>
      <c r="CG190" s="3"/>
      <c r="CH190" s="3"/>
      <c r="CI190" s="3"/>
      <c r="CJ190" s="3"/>
      <c r="CK190" s="24"/>
      <c r="CL190" s="3"/>
      <c r="CM190" s="3"/>
      <c r="CN190" s="3"/>
      <c r="CO190" s="3"/>
      <c r="CP190" s="3"/>
      <c r="CQ190" s="3"/>
      <c r="CR190" s="24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24">
        <f t="shared" si="21"/>
        <v>43577.04</v>
      </c>
      <c r="DS190" s="3">
        <f t="shared" si="22"/>
        <v>0</v>
      </c>
      <c r="DU190" s="3">
        <v>43577.04</v>
      </c>
    </row>
    <row r="191" spans="1:125" x14ac:dyDescent="0.2">
      <c r="C191" s="7" t="s">
        <v>2515</v>
      </c>
      <c r="D191" s="7" t="s">
        <v>2516</v>
      </c>
      <c r="E191" s="202" t="s">
        <v>604</v>
      </c>
      <c r="F191" s="33" t="s">
        <v>2661</v>
      </c>
      <c r="G191" s="231">
        <f t="shared" si="20"/>
        <v>42213.96</v>
      </c>
      <c r="H191" s="207"/>
      <c r="I191" s="2" t="s">
        <v>2687</v>
      </c>
      <c r="J191" s="2"/>
      <c r="K191" s="2"/>
      <c r="L191" s="2"/>
      <c r="M191" s="3"/>
      <c r="N191" s="3"/>
      <c r="O191" s="24"/>
      <c r="P191" s="3"/>
      <c r="Q191" s="3"/>
      <c r="R191" s="24"/>
      <c r="S191" s="24"/>
      <c r="T191" s="3"/>
      <c r="U191" s="3"/>
      <c r="V191" s="3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3"/>
      <c r="AJ191" s="24"/>
      <c r="AK191" s="284"/>
      <c r="AL191" s="24"/>
      <c r="AM191" s="3"/>
      <c r="AN191" s="3"/>
      <c r="AO191" s="3"/>
      <c r="AP191" s="3"/>
      <c r="AQ191" s="3"/>
      <c r="AR191" s="3"/>
      <c r="AS191" s="24"/>
      <c r="AT191" s="24"/>
      <c r="AU191" s="24"/>
      <c r="AV191" s="24"/>
      <c r="AW191" s="24"/>
      <c r="AX191" s="24"/>
      <c r="AY191" s="3"/>
      <c r="AZ191" s="24">
        <f>+G191</f>
        <v>42213.96</v>
      </c>
      <c r="BA191" s="24"/>
      <c r="BB191" s="24"/>
      <c r="BC191" s="24"/>
      <c r="BD191" s="24"/>
      <c r="BE191" s="24"/>
      <c r="BF191" s="24"/>
      <c r="BG191" s="24"/>
      <c r="BH191" s="343"/>
      <c r="BI191" s="343"/>
      <c r="BJ191" s="24"/>
      <c r="BK191" s="3"/>
      <c r="BL191" s="3"/>
      <c r="BM191" s="24"/>
      <c r="BN191" s="3"/>
      <c r="BO191" s="3"/>
      <c r="BP191" s="3"/>
      <c r="BQ191" s="3"/>
      <c r="BR191" s="3"/>
      <c r="BS191" s="3"/>
      <c r="BT191" s="3"/>
      <c r="BU191" s="24"/>
      <c r="BV191" s="24"/>
      <c r="BW191" s="24"/>
      <c r="BX191" s="24"/>
      <c r="BY191" s="24"/>
      <c r="BZ191" s="3"/>
      <c r="CA191" s="3"/>
      <c r="CB191" s="24"/>
      <c r="CC191" s="24"/>
      <c r="CD191" s="24"/>
      <c r="CE191" s="24"/>
      <c r="CF191" s="24"/>
      <c r="CG191" s="24"/>
      <c r="CH191" s="24"/>
      <c r="CI191" s="3"/>
      <c r="CJ191" s="3"/>
      <c r="CK191" s="24"/>
      <c r="CL191" s="3"/>
      <c r="CM191" s="3"/>
      <c r="CN191" s="24"/>
      <c r="CO191" s="24"/>
      <c r="CP191" s="24"/>
      <c r="CQ191" s="24"/>
      <c r="CR191" s="24"/>
      <c r="CS191" s="3"/>
      <c r="CT191" s="3"/>
      <c r="CU191" s="3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3"/>
      <c r="DR191" s="24">
        <f t="shared" ref="DR191:DR223" si="23">SUM(M191:DQ191)</f>
        <v>42213.96</v>
      </c>
      <c r="DS191" s="3">
        <f t="shared" ref="DS191:DS222" si="24">DR191-G191</f>
        <v>0</v>
      </c>
      <c r="DU191" s="3">
        <v>42213.96</v>
      </c>
    </row>
    <row r="192" spans="1:125" x14ac:dyDescent="0.2">
      <c r="C192" s="7" t="s">
        <v>2450</v>
      </c>
      <c r="D192" s="7" t="s">
        <v>2388</v>
      </c>
      <c r="E192" s="203" t="s">
        <v>1402</v>
      </c>
      <c r="F192" s="33" t="s">
        <v>2661</v>
      </c>
      <c r="G192" s="231">
        <f t="shared" si="20"/>
        <v>46296.84</v>
      </c>
      <c r="H192" s="207"/>
      <c r="I192" s="3" t="s">
        <v>2699</v>
      </c>
      <c r="J192" s="3"/>
      <c r="K192" s="3"/>
      <c r="L192" s="3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8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343"/>
      <c r="BI192" s="343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>
        <f>G192</f>
        <v>46296.84</v>
      </c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>
        <f t="shared" si="23"/>
        <v>46296.84</v>
      </c>
      <c r="DS192" s="3">
        <f t="shared" si="24"/>
        <v>0</v>
      </c>
      <c r="DU192" s="3">
        <v>46296.84</v>
      </c>
    </row>
    <row r="193" spans="1:125" x14ac:dyDescent="0.2">
      <c r="A193" s="251"/>
      <c r="C193" s="7" t="s">
        <v>3690</v>
      </c>
      <c r="D193" s="7" t="s">
        <v>2388</v>
      </c>
      <c r="E193" s="203" t="s">
        <v>3691</v>
      </c>
      <c r="F193" s="255" t="s">
        <v>2661</v>
      </c>
      <c r="G193" s="231">
        <v>0</v>
      </c>
      <c r="H193" s="207"/>
      <c r="I193" s="2" t="s">
        <v>2686</v>
      </c>
      <c r="J193" s="3"/>
      <c r="K193" s="3"/>
      <c r="L193" s="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284"/>
      <c r="AL193" s="343"/>
      <c r="AM193" s="343"/>
      <c r="AN193" s="343"/>
      <c r="AO193" s="343"/>
      <c r="AP193" s="343"/>
      <c r="AQ193" s="343"/>
      <c r="AR193" s="343"/>
      <c r="AS193" s="343">
        <f>+G193</f>
        <v>0</v>
      </c>
      <c r="AT193" s="343"/>
      <c r="AU193" s="343"/>
      <c r="AV193" s="343"/>
      <c r="AW193" s="343"/>
      <c r="AX193" s="343"/>
      <c r="AY193" s="343"/>
      <c r="AZ193" s="343"/>
      <c r="BA193" s="343"/>
      <c r="BB193" s="343"/>
      <c r="BC193" s="343"/>
      <c r="BD193" s="343"/>
      <c r="BE193" s="343"/>
      <c r="BF193" s="343"/>
      <c r="BG193" s="343"/>
      <c r="BH193" s="343"/>
      <c r="BI193" s="343"/>
      <c r="BJ193" s="343"/>
      <c r="BK193" s="343"/>
      <c r="BL193" s="343"/>
      <c r="BM193" s="343"/>
      <c r="BN193" s="343"/>
      <c r="BO193" s="343"/>
      <c r="BP193" s="343"/>
      <c r="BQ193" s="343"/>
      <c r="BR193" s="343"/>
      <c r="BS193" s="343"/>
      <c r="BT193" s="343"/>
      <c r="BU193" s="343"/>
      <c r="BV193" s="343"/>
      <c r="BW193" s="343"/>
      <c r="BX193" s="343"/>
      <c r="BY193" s="343"/>
      <c r="BZ193" s="343"/>
      <c r="CA193" s="343"/>
      <c r="CB193" s="343"/>
      <c r="CC193" s="343"/>
      <c r="CD193" s="343"/>
      <c r="CE193" s="343"/>
      <c r="CF193" s="343"/>
      <c r="CG193" s="343"/>
      <c r="CH193" s="343"/>
      <c r="CI193" s="343"/>
      <c r="CJ193" s="343"/>
      <c r="CK193" s="343"/>
      <c r="CL193" s="343"/>
      <c r="CM193" s="343"/>
      <c r="CN193" s="343"/>
      <c r="CO193" s="343"/>
      <c r="CP193" s="343"/>
      <c r="CQ193" s="343"/>
      <c r="CR193" s="343"/>
      <c r="CS193" s="343"/>
      <c r="CT193" s="343"/>
      <c r="CU193" s="343"/>
      <c r="CV193" s="343"/>
      <c r="CW193" s="343"/>
      <c r="CX193" s="343"/>
      <c r="CY193" s="343"/>
      <c r="CZ193" s="343"/>
      <c r="DA193" s="343"/>
      <c r="DB193" s="343"/>
      <c r="DC193" s="343"/>
      <c r="DD193" s="343"/>
      <c r="DE193" s="343"/>
      <c r="DF193" s="343"/>
      <c r="DG193" s="343"/>
      <c r="DH193" s="343"/>
      <c r="DI193" s="343"/>
      <c r="DJ193" s="343"/>
      <c r="DK193" s="343"/>
      <c r="DL193" s="343"/>
      <c r="DM193" s="343"/>
      <c r="DN193" s="343"/>
      <c r="DO193" s="343"/>
      <c r="DP193" s="343"/>
      <c r="DQ193" s="343"/>
      <c r="DR193" s="343"/>
      <c r="DS193" s="3"/>
      <c r="DU193" s="3"/>
    </row>
    <row r="194" spans="1:125" x14ac:dyDescent="0.2">
      <c r="C194" s="7" t="s">
        <v>2517</v>
      </c>
      <c r="D194" s="7" t="s">
        <v>2388</v>
      </c>
      <c r="E194" s="202" t="s">
        <v>2410</v>
      </c>
      <c r="F194" s="33" t="s">
        <v>2661</v>
      </c>
      <c r="G194" s="231">
        <f t="shared" si="20"/>
        <v>43067.040000000001</v>
      </c>
      <c r="H194" s="207"/>
      <c r="I194" s="2" t="s">
        <v>2694</v>
      </c>
      <c r="J194" s="2"/>
      <c r="K194" s="2"/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24"/>
      <c r="AJ194" s="3"/>
      <c r="AK194" s="28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>
        <f>G194</f>
        <v>43067.040000000001</v>
      </c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24">
        <f t="shared" si="23"/>
        <v>43067.040000000001</v>
      </c>
      <c r="DS194" s="3">
        <f t="shared" si="24"/>
        <v>0</v>
      </c>
      <c r="DU194" s="3">
        <v>43067.040000000001</v>
      </c>
    </row>
    <row r="195" spans="1:125" x14ac:dyDescent="0.2">
      <c r="A195" s="251"/>
      <c r="C195" s="7" t="s">
        <v>3050</v>
      </c>
      <c r="D195" s="7" t="s">
        <v>2277</v>
      </c>
      <c r="E195" s="148" t="s">
        <v>3051</v>
      </c>
      <c r="F195" s="255" t="s">
        <v>2658</v>
      </c>
      <c r="G195" s="231">
        <f t="shared" si="20"/>
        <v>50921</v>
      </c>
      <c r="H195" s="207"/>
      <c r="I195" s="3" t="s">
        <v>2979</v>
      </c>
      <c r="J195" s="2"/>
      <c r="K195" s="2"/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24"/>
      <c r="AJ195" s="3"/>
      <c r="AK195" s="28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>
        <f>+G195</f>
        <v>50921</v>
      </c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24">
        <f t="shared" ref="DR195" si="25">SUM(M195:DQ195)</f>
        <v>50921</v>
      </c>
      <c r="DS195" s="3">
        <f t="shared" ref="DS195" si="26">DR195-G195</f>
        <v>0</v>
      </c>
      <c r="DU195" s="3">
        <v>50921</v>
      </c>
    </row>
    <row r="196" spans="1:125" x14ac:dyDescent="0.2">
      <c r="C196" s="7" t="s">
        <v>2788</v>
      </c>
      <c r="D196" s="7" t="s">
        <v>2277</v>
      </c>
      <c r="E196" s="202" t="s">
        <v>2770</v>
      </c>
      <c r="F196" s="33" t="s">
        <v>2661</v>
      </c>
      <c r="G196" s="231">
        <f t="shared" si="20"/>
        <v>40947.599999999999</v>
      </c>
      <c r="H196" s="207"/>
      <c r="I196" s="2" t="s">
        <v>2680</v>
      </c>
      <c r="J196" s="2"/>
      <c r="M196" s="3"/>
      <c r="N196" s="3"/>
      <c r="O196" s="24"/>
      <c r="P196" s="3"/>
      <c r="Q196" s="3"/>
      <c r="R196" s="24"/>
      <c r="S196" s="24"/>
      <c r="T196" s="3"/>
      <c r="U196" s="3"/>
      <c r="V196" s="3"/>
      <c r="W196" s="24"/>
      <c r="X196" s="24"/>
      <c r="Y196" s="24"/>
      <c r="Z196" s="24"/>
      <c r="AA196" s="24"/>
      <c r="AB196" s="24"/>
      <c r="AC196" s="24"/>
      <c r="AD196" s="24"/>
      <c r="AE196" s="24">
        <f>G196</f>
        <v>40947.599999999999</v>
      </c>
      <c r="AF196" s="24"/>
      <c r="AG196" s="24"/>
      <c r="AH196" s="24"/>
      <c r="AI196" s="3"/>
      <c r="AJ196" s="24"/>
      <c r="AK196" s="284"/>
      <c r="AL196" s="24"/>
      <c r="AM196" s="3"/>
      <c r="AN196" s="3"/>
      <c r="AO196" s="3"/>
      <c r="AP196" s="3"/>
      <c r="AQ196" s="3"/>
      <c r="AR196" s="3"/>
      <c r="AS196" s="24"/>
      <c r="AT196" s="24"/>
      <c r="AU196" s="24"/>
      <c r="AV196" s="24"/>
      <c r="AW196" s="24"/>
      <c r="AX196" s="24"/>
      <c r="AY196" s="3"/>
      <c r="AZ196" s="24"/>
      <c r="BA196" s="24"/>
      <c r="BB196" s="24"/>
      <c r="BC196" s="24"/>
      <c r="BD196" s="24"/>
      <c r="BE196" s="24"/>
      <c r="BF196" s="24"/>
      <c r="BG196" s="24"/>
      <c r="BH196" s="343"/>
      <c r="BI196" s="343"/>
      <c r="BJ196" s="24"/>
      <c r="BK196" s="3"/>
      <c r="BL196" s="3"/>
      <c r="BM196" s="24"/>
      <c r="BN196" s="3"/>
      <c r="BO196" s="3"/>
      <c r="BP196" s="3"/>
      <c r="BQ196" s="3"/>
      <c r="BR196" s="3"/>
      <c r="BS196" s="3"/>
      <c r="BT196" s="3"/>
      <c r="BU196" s="24"/>
      <c r="BV196" s="24"/>
      <c r="BW196" s="24"/>
      <c r="BX196" s="24"/>
      <c r="BY196" s="24"/>
      <c r="BZ196" s="3"/>
      <c r="CA196" s="3"/>
      <c r="CB196" s="24"/>
      <c r="CC196" s="24"/>
      <c r="CD196" s="24"/>
      <c r="CE196" s="24"/>
      <c r="CF196" s="24"/>
      <c r="CG196" s="24"/>
      <c r="CH196" s="24"/>
      <c r="CI196" s="3"/>
      <c r="CJ196" s="3"/>
      <c r="CK196" s="24"/>
      <c r="CL196" s="3"/>
      <c r="CM196" s="3"/>
      <c r="CN196" s="24"/>
      <c r="CO196" s="24"/>
      <c r="CP196" s="24"/>
      <c r="CQ196" s="24"/>
      <c r="CR196" s="24"/>
      <c r="CS196" s="3"/>
      <c r="CT196" s="3"/>
      <c r="CU196" s="3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3"/>
      <c r="DR196" s="24">
        <f t="shared" si="23"/>
        <v>40947.599999999999</v>
      </c>
      <c r="DS196" s="3">
        <f t="shared" si="24"/>
        <v>0</v>
      </c>
      <c r="DU196" s="3">
        <v>40947.599999999999</v>
      </c>
    </row>
    <row r="197" spans="1:125" x14ac:dyDescent="0.2">
      <c r="C197" s="7" t="s">
        <v>2518</v>
      </c>
      <c r="D197" s="7" t="s">
        <v>2519</v>
      </c>
      <c r="E197" s="147" t="s">
        <v>1283</v>
      </c>
      <c r="F197" s="33" t="s">
        <v>2658</v>
      </c>
      <c r="G197" s="230">
        <f t="shared" si="20"/>
        <v>45261.96</v>
      </c>
      <c r="H197" s="207"/>
      <c r="I197" s="2" t="s">
        <v>2687</v>
      </c>
      <c r="J197" s="2"/>
      <c r="K197" s="2"/>
      <c r="L197" s="2"/>
      <c r="M197" s="3"/>
      <c r="N197" s="3"/>
      <c r="O197" s="24"/>
      <c r="P197" s="3"/>
      <c r="Q197" s="3"/>
      <c r="R197" s="24"/>
      <c r="S197" s="24"/>
      <c r="T197" s="3"/>
      <c r="U197" s="3"/>
      <c r="V197" s="3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3"/>
      <c r="AJ197" s="24"/>
      <c r="AK197" s="284"/>
      <c r="AL197" s="24"/>
      <c r="AM197" s="3"/>
      <c r="AN197" s="3"/>
      <c r="AO197" s="3"/>
      <c r="AP197" s="3"/>
      <c r="AQ197" s="3"/>
      <c r="AR197" s="3"/>
      <c r="AS197" s="24"/>
      <c r="AT197" s="24"/>
      <c r="AU197" s="24"/>
      <c r="AV197" s="24"/>
      <c r="AW197" s="24"/>
      <c r="AX197" s="24"/>
      <c r="AY197" s="3"/>
      <c r="AZ197" s="24">
        <f>G197</f>
        <v>45261.96</v>
      </c>
      <c r="BA197" s="24"/>
      <c r="BB197" s="24"/>
      <c r="BC197" s="24"/>
      <c r="BD197" s="24"/>
      <c r="BE197" s="24"/>
      <c r="BF197" s="24"/>
      <c r="BG197" s="24"/>
      <c r="BH197" s="343"/>
      <c r="BI197" s="343"/>
      <c r="BJ197" s="24"/>
      <c r="BK197" s="3"/>
      <c r="BL197" s="3"/>
      <c r="BM197" s="24"/>
      <c r="BN197" s="3"/>
      <c r="BO197" s="3"/>
      <c r="BP197" s="3"/>
      <c r="BQ197" s="3"/>
      <c r="BR197" s="3"/>
      <c r="BS197" s="3"/>
      <c r="BT197" s="3"/>
      <c r="BU197" s="24"/>
      <c r="BV197" s="24"/>
      <c r="BW197" s="24"/>
      <c r="BX197" s="24"/>
      <c r="BY197" s="24"/>
      <c r="BZ197" s="3"/>
      <c r="CA197" s="3"/>
      <c r="CB197" s="24"/>
      <c r="CC197" s="24"/>
      <c r="CD197" s="24"/>
      <c r="CE197" s="24"/>
      <c r="CF197" s="24"/>
      <c r="CG197" s="24"/>
      <c r="CH197" s="24"/>
      <c r="CI197" s="3"/>
      <c r="CJ197" s="3"/>
      <c r="CK197" s="24"/>
      <c r="CL197" s="3"/>
      <c r="CM197" s="3"/>
      <c r="CN197" s="24"/>
      <c r="CO197" s="24"/>
      <c r="CP197" s="24"/>
      <c r="CQ197" s="24"/>
      <c r="CR197" s="24"/>
      <c r="CS197" s="3"/>
      <c r="CT197" s="3"/>
      <c r="CU197" s="3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3"/>
      <c r="DR197" s="24">
        <f t="shared" si="23"/>
        <v>45261.96</v>
      </c>
      <c r="DS197" s="3">
        <f t="shared" si="24"/>
        <v>0</v>
      </c>
      <c r="DU197" s="3">
        <v>45261.96</v>
      </c>
    </row>
    <row r="198" spans="1:125" x14ac:dyDescent="0.2">
      <c r="C198" s="7" t="s">
        <v>2520</v>
      </c>
      <c r="D198" s="7" t="s">
        <v>2222</v>
      </c>
      <c r="E198" s="152" t="s">
        <v>787</v>
      </c>
      <c r="F198" s="33" t="s">
        <v>2661</v>
      </c>
      <c r="G198" s="231">
        <f t="shared" si="20"/>
        <v>16840.11</v>
      </c>
      <c r="H198" s="207"/>
      <c r="I198" s="2" t="s">
        <v>2687</v>
      </c>
      <c r="J198" s="2"/>
      <c r="K198" s="2"/>
      <c r="L198" s="2"/>
      <c r="M198" s="3"/>
      <c r="N198" s="3"/>
      <c r="O198" s="24"/>
      <c r="P198" s="3"/>
      <c r="Q198" s="3"/>
      <c r="R198" s="24"/>
      <c r="S198" s="24"/>
      <c r="T198" s="3"/>
      <c r="U198" s="3"/>
      <c r="V198" s="3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3"/>
      <c r="AJ198" s="24"/>
      <c r="AK198" s="284"/>
      <c r="AL198" s="24"/>
      <c r="AM198" s="3"/>
      <c r="AN198" s="3"/>
      <c r="AO198" s="3"/>
      <c r="AP198" s="3"/>
      <c r="AQ198" s="3"/>
      <c r="AR198" s="3"/>
      <c r="AS198" s="24"/>
      <c r="AT198" s="24"/>
      <c r="AU198" s="24"/>
      <c r="AV198" s="24"/>
      <c r="AW198" s="24"/>
      <c r="AX198" s="24"/>
      <c r="AY198" s="3"/>
      <c r="AZ198" s="24">
        <f>G198</f>
        <v>16840.11</v>
      </c>
      <c r="BA198" s="24"/>
      <c r="BB198" s="24"/>
      <c r="BC198" s="24"/>
      <c r="BD198" s="24"/>
      <c r="BE198" s="24"/>
      <c r="BF198" s="24"/>
      <c r="BG198" s="24"/>
      <c r="BH198" s="343"/>
      <c r="BI198" s="343"/>
      <c r="BJ198" s="24"/>
      <c r="BK198" s="3"/>
      <c r="BL198" s="3"/>
      <c r="BM198" s="24"/>
      <c r="BN198" s="3"/>
      <c r="BO198" s="3"/>
      <c r="BP198" s="3"/>
      <c r="BQ198" s="3"/>
      <c r="BR198" s="3"/>
      <c r="BS198" s="3"/>
      <c r="BT198" s="3"/>
      <c r="BU198" s="24"/>
      <c r="BV198" s="24"/>
      <c r="BW198" s="24"/>
      <c r="BX198" s="24"/>
      <c r="BY198" s="24"/>
      <c r="BZ198" s="3"/>
      <c r="CA198" s="3"/>
      <c r="CB198" s="24"/>
      <c r="CC198" s="24"/>
      <c r="CD198" s="24"/>
      <c r="CE198" s="24"/>
      <c r="CF198" s="24"/>
      <c r="CG198" s="24"/>
      <c r="CH198" s="24"/>
      <c r="CI198" s="3"/>
      <c r="CJ198" s="3"/>
      <c r="CK198" s="24"/>
      <c r="CL198" s="3"/>
      <c r="CM198" s="3"/>
      <c r="CN198" s="24"/>
      <c r="CO198" s="24"/>
      <c r="CP198" s="24"/>
      <c r="CQ198" s="24"/>
      <c r="CR198" s="24"/>
      <c r="CS198" s="3"/>
      <c r="CT198" s="3"/>
      <c r="CU198" s="3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3"/>
      <c r="DR198" s="24">
        <f t="shared" si="23"/>
        <v>16840.11</v>
      </c>
      <c r="DS198" s="3">
        <f t="shared" si="24"/>
        <v>0</v>
      </c>
      <c r="DU198" s="3">
        <v>16349.62</v>
      </c>
    </row>
    <row r="199" spans="1:125" x14ac:dyDescent="0.2">
      <c r="C199" s="7" t="s">
        <v>2383</v>
      </c>
      <c r="D199" s="7" t="s">
        <v>2521</v>
      </c>
      <c r="E199" s="202" t="s">
        <v>98</v>
      </c>
      <c r="F199" s="33" t="s">
        <v>2661</v>
      </c>
      <c r="G199" s="231">
        <f t="shared" si="20"/>
        <v>35887.56</v>
      </c>
      <c r="H199" s="207"/>
      <c r="I199" s="343" t="s">
        <v>2710</v>
      </c>
      <c r="J199" s="343"/>
      <c r="K199" s="343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8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343"/>
      <c r="BI199" s="343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 t="s">
        <v>342</v>
      </c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 t="s">
        <v>342</v>
      </c>
      <c r="DO199" s="24">
        <f>G199</f>
        <v>35887.56</v>
      </c>
      <c r="DP199" s="24"/>
      <c r="DQ199" s="24"/>
      <c r="DR199" s="24">
        <f t="shared" si="23"/>
        <v>35887.56</v>
      </c>
      <c r="DS199" s="3">
        <f t="shared" si="24"/>
        <v>0</v>
      </c>
      <c r="DU199" s="3">
        <v>35887.56</v>
      </c>
    </row>
    <row r="200" spans="1:125" x14ac:dyDescent="0.2">
      <c r="A200" s="251"/>
      <c r="C200" s="7" t="s">
        <v>2789</v>
      </c>
      <c r="D200" s="7" t="s">
        <v>2393</v>
      </c>
      <c r="E200" s="202" t="s">
        <v>2772</v>
      </c>
      <c r="F200" s="255" t="s">
        <v>2661</v>
      </c>
      <c r="G200" s="231">
        <f t="shared" si="20"/>
        <v>35480.04</v>
      </c>
      <c r="H200" s="207"/>
      <c r="I200" s="342" t="s">
        <v>2971</v>
      </c>
      <c r="J200" s="2"/>
      <c r="K200" s="3"/>
      <c r="L200" s="3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84"/>
      <c r="AL200" s="24"/>
      <c r="AM200" s="24"/>
      <c r="AN200" s="24"/>
      <c r="AO200" s="24"/>
      <c r="AP200" s="24"/>
      <c r="AQ200" s="24"/>
      <c r="AR200" s="24"/>
      <c r="AS200" s="3"/>
      <c r="AT200" s="3"/>
      <c r="AU200" s="3"/>
      <c r="AV200" s="3"/>
      <c r="AW200" s="3"/>
      <c r="AX200" s="3"/>
      <c r="AY200" s="24"/>
      <c r="AZ200" s="24"/>
      <c r="BA200" s="24"/>
      <c r="BB200" s="24"/>
      <c r="BC200" s="24"/>
      <c r="BD200" s="24">
        <f>G200</f>
        <v>35480.04</v>
      </c>
      <c r="BE200" s="24"/>
      <c r="BF200" s="24"/>
      <c r="BG200" s="24"/>
      <c r="BH200" s="343"/>
      <c r="BI200" s="343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>
        <f t="shared" si="23"/>
        <v>35480.04</v>
      </c>
      <c r="DS200" s="3">
        <f t="shared" si="24"/>
        <v>0</v>
      </c>
      <c r="DU200" s="3">
        <v>35480.04</v>
      </c>
    </row>
    <row r="201" spans="1:125" x14ac:dyDescent="0.2">
      <c r="C201" s="7" t="s">
        <v>2522</v>
      </c>
      <c r="D201" s="7" t="s">
        <v>2393</v>
      </c>
      <c r="E201" s="205" t="s">
        <v>981</v>
      </c>
      <c r="F201" s="255" t="s">
        <v>2661</v>
      </c>
      <c r="G201" s="231">
        <f t="shared" si="20"/>
        <v>50600.04</v>
      </c>
      <c r="H201" s="207"/>
      <c r="I201" s="342" t="s">
        <v>2677</v>
      </c>
      <c r="J201" s="343"/>
      <c r="K201" s="343"/>
      <c r="L201" s="24"/>
      <c r="M201" s="24"/>
      <c r="N201" s="24"/>
      <c r="O201" s="24"/>
      <c r="P201" s="24"/>
      <c r="Q201" s="24"/>
      <c r="R201" s="24"/>
      <c r="S201" s="24"/>
      <c r="T201" s="24"/>
      <c r="U201" s="24">
        <f>+G201</f>
        <v>50600.04</v>
      </c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8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343"/>
      <c r="BI201" s="343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>
        <f t="shared" si="23"/>
        <v>50600.04</v>
      </c>
      <c r="DS201" s="3">
        <f t="shared" si="24"/>
        <v>0</v>
      </c>
      <c r="DU201" s="3">
        <v>50600.04</v>
      </c>
    </row>
    <row r="202" spans="1:125" x14ac:dyDescent="0.2">
      <c r="A202" s="251"/>
      <c r="C202" s="7" t="s">
        <v>2283</v>
      </c>
      <c r="D202" s="7" t="s">
        <v>2526</v>
      </c>
      <c r="E202" s="202" t="s">
        <v>100</v>
      </c>
      <c r="F202" s="33" t="s">
        <v>2661</v>
      </c>
      <c r="G202" s="231">
        <f t="shared" si="20"/>
        <v>55200.959999999999</v>
      </c>
      <c r="H202" s="207"/>
      <c r="I202" s="2" t="s">
        <v>2686</v>
      </c>
      <c r="J202" s="2"/>
      <c r="K202" s="2"/>
      <c r="L202" s="2"/>
      <c r="M202" s="3"/>
      <c r="N202" s="3"/>
      <c r="O202" s="24"/>
      <c r="P202" s="3"/>
      <c r="Q202" s="3"/>
      <c r="R202" s="24"/>
      <c r="S202" s="24"/>
      <c r="T202" s="3"/>
      <c r="U202" s="3"/>
      <c r="V202" s="3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3"/>
      <c r="AJ202" s="24"/>
      <c r="AK202" s="284"/>
      <c r="AL202" s="24"/>
      <c r="AM202" s="3"/>
      <c r="AN202" s="3"/>
      <c r="AO202" s="3"/>
      <c r="AP202" s="3"/>
      <c r="AQ202" s="3"/>
      <c r="AR202" s="3"/>
      <c r="AS202" s="24">
        <f>+G202</f>
        <v>55200.959999999999</v>
      </c>
      <c r="AT202" s="24"/>
      <c r="AU202" s="24"/>
      <c r="AV202" s="24"/>
      <c r="AW202" s="24"/>
      <c r="AX202" s="24"/>
      <c r="AY202" s="3"/>
      <c r="AZ202" s="24"/>
      <c r="BA202" s="24"/>
      <c r="BB202" s="24"/>
      <c r="BC202" s="24"/>
      <c r="BD202" s="24"/>
      <c r="BE202" s="24"/>
      <c r="BF202" s="24"/>
      <c r="BG202" s="24"/>
      <c r="BH202" s="343"/>
      <c r="BI202" s="343"/>
      <c r="BJ202" s="24"/>
      <c r="BK202" s="3"/>
      <c r="BL202" s="3"/>
      <c r="BM202" s="24"/>
      <c r="BN202" s="3"/>
      <c r="BO202" s="3"/>
      <c r="BP202" s="3"/>
      <c r="BQ202" s="3"/>
      <c r="BR202" s="3"/>
      <c r="BS202" s="3"/>
      <c r="BT202" s="3"/>
      <c r="BU202" s="24"/>
      <c r="BV202" s="24"/>
      <c r="BW202" s="24"/>
      <c r="BX202" s="24"/>
      <c r="BY202" s="24"/>
      <c r="BZ202" s="3"/>
      <c r="CA202" s="3"/>
      <c r="CB202" s="24"/>
      <c r="CC202" s="24"/>
      <c r="CD202" s="24"/>
      <c r="CE202" s="24"/>
      <c r="CF202" s="24"/>
      <c r="CG202" s="24"/>
      <c r="CH202" s="24"/>
      <c r="CI202" s="3"/>
      <c r="CJ202" s="3"/>
      <c r="CK202" s="24"/>
      <c r="CL202" s="3"/>
      <c r="CM202" s="3"/>
      <c r="CN202" s="24"/>
      <c r="CO202" s="24"/>
      <c r="CP202" s="24"/>
      <c r="CQ202" s="24"/>
      <c r="CR202" s="3"/>
      <c r="CS202" s="3"/>
      <c r="CT202" s="3"/>
      <c r="CU202" s="3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3"/>
      <c r="DR202" s="24">
        <f t="shared" si="23"/>
        <v>55200.959999999999</v>
      </c>
      <c r="DS202" s="3">
        <f t="shared" si="24"/>
        <v>0</v>
      </c>
      <c r="DU202" s="3">
        <v>55200.959999999999</v>
      </c>
    </row>
    <row r="203" spans="1:125" x14ac:dyDescent="0.2">
      <c r="A203" s="251"/>
      <c r="C203" s="7" t="s">
        <v>2527</v>
      </c>
      <c r="D203" s="7" t="s">
        <v>2528</v>
      </c>
      <c r="E203" s="152" t="s">
        <v>601</v>
      </c>
      <c r="F203" s="33" t="s">
        <v>2661</v>
      </c>
      <c r="G203" s="231">
        <f t="shared" si="20"/>
        <v>45573</v>
      </c>
      <c r="H203" s="207"/>
      <c r="I203" s="2" t="s">
        <v>2692</v>
      </c>
      <c r="J203" s="2"/>
      <c r="K203" s="2"/>
      <c r="L203" s="2"/>
      <c r="M203" s="3"/>
      <c r="N203" s="3"/>
      <c r="O203" s="24"/>
      <c r="P203" s="3"/>
      <c r="Q203" s="3"/>
      <c r="R203" s="24"/>
      <c r="S203" s="24"/>
      <c r="T203" s="3"/>
      <c r="U203" s="3"/>
      <c r="V203" s="3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3"/>
      <c r="AJ203" s="24"/>
      <c r="AK203" s="284"/>
      <c r="AL203" s="24"/>
      <c r="AM203" s="3"/>
      <c r="AN203" s="3"/>
      <c r="AO203" s="3"/>
      <c r="AP203" s="3"/>
      <c r="AQ203" s="3"/>
      <c r="AR203" s="3"/>
      <c r="AS203" s="24"/>
      <c r="AT203" s="24"/>
      <c r="AU203" s="24"/>
      <c r="AV203" s="24"/>
      <c r="AW203" s="24"/>
      <c r="AX203" s="24"/>
      <c r="AY203" s="3"/>
      <c r="AZ203" s="24"/>
      <c r="BA203" s="24"/>
      <c r="BB203" s="24"/>
      <c r="BC203" s="24"/>
      <c r="BD203" s="24"/>
      <c r="BE203" s="24"/>
      <c r="BF203" s="24"/>
      <c r="BG203" s="24"/>
      <c r="BH203" s="343"/>
      <c r="BI203" s="343"/>
      <c r="BJ203" s="24"/>
      <c r="BK203" s="3"/>
      <c r="BL203" s="3"/>
      <c r="BM203" s="24"/>
      <c r="BN203" s="3"/>
      <c r="BO203" s="3"/>
      <c r="BP203" s="3"/>
      <c r="BQ203" s="3"/>
      <c r="BR203" s="3"/>
      <c r="BS203" s="3"/>
      <c r="BT203" s="3"/>
      <c r="BU203" s="24">
        <f>G203</f>
        <v>45573</v>
      </c>
      <c r="BV203" s="24"/>
      <c r="BW203" s="24"/>
      <c r="BX203" s="24"/>
      <c r="BY203" s="24"/>
      <c r="BZ203" s="3"/>
      <c r="CA203" s="3"/>
      <c r="CB203" s="24"/>
      <c r="CC203" s="24"/>
      <c r="CD203" s="24"/>
      <c r="CE203" s="24"/>
      <c r="CF203" s="24"/>
      <c r="CG203" s="24"/>
      <c r="CH203" s="24"/>
      <c r="CI203" s="3"/>
      <c r="CJ203" s="3"/>
      <c r="CK203" s="24"/>
      <c r="CL203" s="3"/>
      <c r="CM203" s="3"/>
      <c r="CN203" s="24"/>
      <c r="CO203" s="24"/>
      <c r="CP203" s="24"/>
      <c r="CQ203" s="24"/>
      <c r="CR203" s="3"/>
      <c r="CS203" s="3"/>
      <c r="CT203" s="3"/>
      <c r="CU203" s="3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3"/>
      <c r="DR203" s="24">
        <f t="shared" si="23"/>
        <v>45573</v>
      </c>
      <c r="DS203" s="3">
        <f t="shared" si="24"/>
        <v>0</v>
      </c>
      <c r="DU203" s="3">
        <v>45573</v>
      </c>
    </row>
    <row r="204" spans="1:125" x14ac:dyDescent="0.2">
      <c r="C204" s="7" t="s">
        <v>2529</v>
      </c>
      <c r="D204" s="7" t="s">
        <v>2530</v>
      </c>
      <c r="E204" s="227" t="s">
        <v>101</v>
      </c>
      <c r="F204" s="33" t="s">
        <v>2661</v>
      </c>
      <c r="G204" s="231">
        <f t="shared" si="20"/>
        <v>37889.279999999999</v>
      </c>
      <c r="H204" s="207"/>
      <c r="I204" s="3" t="s">
        <v>2709</v>
      </c>
      <c r="J204" s="3"/>
      <c r="K204" s="3"/>
      <c r="L204" s="3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8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343"/>
      <c r="BI204" s="343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>
        <f>G204</f>
        <v>37889.279999999999</v>
      </c>
      <c r="DJ204" s="24"/>
      <c r="DK204" s="24"/>
      <c r="DL204" s="24"/>
      <c r="DM204" s="24"/>
      <c r="DN204" s="24"/>
      <c r="DO204" s="24"/>
      <c r="DP204" s="24"/>
      <c r="DQ204" s="24"/>
      <c r="DR204" s="24">
        <f t="shared" si="23"/>
        <v>37889.279999999999</v>
      </c>
      <c r="DS204" s="3">
        <f t="shared" si="24"/>
        <v>0</v>
      </c>
      <c r="DU204" s="3">
        <v>37889.279999999999</v>
      </c>
    </row>
    <row r="205" spans="1:125" x14ac:dyDescent="0.2">
      <c r="C205" s="7" t="s">
        <v>2531</v>
      </c>
      <c r="D205" s="7" t="s">
        <v>2532</v>
      </c>
      <c r="E205" s="149" t="s">
        <v>1285</v>
      </c>
      <c r="F205" s="33" t="s">
        <v>2658</v>
      </c>
      <c r="G205" s="230">
        <f t="shared" si="20"/>
        <v>44592.03</v>
      </c>
      <c r="H205" s="207"/>
      <c r="I205" s="2" t="s">
        <v>2687</v>
      </c>
      <c r="J205" s="3"/>
      <c r="K205" s="3"/>
      <c r="L205" s="3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8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>
        <f>+G205</f>
        <v>44592.03</v>
      </c>
      <c r="BA205" s="24"/>
      <c r="BB205" s="24"/>
      <c r="BC205" s="24"/>
      <c r="BD205" s="24"/>
      <c r="BE205" s="24"/>
      <c r="BF205" s="24"/>
      <c r="BG205" s="24"/>
      <c r="BH205" s="343"/>
      <c r="BI205" s="343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>
        <f t="shared" si="23"/>
        <v>44592.03</v>
      </c>
      <c r="DS205" s="3">
        <f t="shared" si="24"/>
        <v>0</v>
      </c>
      <c r="DU205" s="3">
        <v>44592.03</v>
      </c>
    </row>
    <row r="206" spans="1:125" x14ac:dyDescent="0.2">
      <c r="C206" s="7" t="s">
        <v>2330</v>
      </c>
      <c r="D206" s="7" t="s">
        <v>2535</v>
      </c>
      <c r="E206" s="202" t="s">
        <v>982</v>
      </c>
      <c r="F206" s="33" t="s">
        <v>2661</v>
      </c>
      <c r="G206" s="231">
        <f t="shared" si="20"/>
        <v>62841.84</v>
      </c>
      <c r="H206" s="207"/>
      <c r="I206" s="2" t="s">
        <v>3695</v>
      </c>
      <c r="J206" s="3"/>
      <c r="K206" s="3"/>
      <c r="L206" s="3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84"/>
      <c r="AL206" s="24"/>
      <c r="AM206" s="24"/>
      <c r="AN206" s="24"/>
      <c r="AO206" s="3">
        <f>+G206</f>
        <v>62841.84</v>
      </c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343"/>
      <c r="BI206" s="343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>
        <f t="shared" si="23"/>
        <v>62841.84</v>
      </c>
      <c r="DS206" s="3">
        <f t="shared" si="24"/>
        <v>0</v>
      </c>
      <c r="DU206" s="3">
        <v>62841.84</v>
      </c>
    </row>
    <row r="207" spans="1:125" x14ac:dyDescent="0.2">
      <c r="C207" s="7" t="s">
        <v>2434</v>
      </c>
      <c r="D207" s="7" t="s">
        <v>2536</v>
      </c>
      <c r="E207" s="202" t="s">
        <v>760</v>
      </c>
      <c r="F207" s="33" t="s">
        <v>2661</v>
      </c>
      <c r="G207" s="231">
        <f t="shared" si="20"/>
        <v>42779.040000000001</v>
      </c>
      <c r="H207" s="207"/>
      <c r="I207" s="7" t="s">
        <v>2971</v>
      </c>
      <c r="J207" s="3"/>
      <c r="K207" s="3"/>
      <c r="L207" s="3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84"/>
      <c r="AL207" s="24"/>
      <c r="AM207" s="24"/>
      <c r="AN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>
        <f>G207</f>
        <v>42779.040000000001</v>
      </c>
      <c r="BE207" s="24"/>
      <c r="BF207" s="24"/>
      <c r="BG207" s="24"/>
      <c r="BH207" s="343"/>
      <c r="BI207" s="343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>
        <f t="shared" si="23"/>
        <v>42779.040000000001</v>
      </c>
      <c r="DS207" s="3">
        <f t="shared" si="24"/>
        <v>0</v>
      </c>
      <c r="DU207" s="3">
        <v>42779.040000000001</v>
      </c>
    </row>
    <row r="208" spans="1:125" x14ac:dyDescent="0.2">
      <c r="C208" s="7" t="s">
        <v>2403</v>
      </c>
      <c r="D208" s="7" t="s">
        <v>2319</v>
      </c>
      <c r="E208" s="147" t="s">
        <v>2212</v>
      </c>
      <c r="F208" s="33" t="s">
        <v>2658</v>
      </c>
      <c r="G208" s="231">
        <f t="shared" si="20"/>
        <v>40203.96</v>
      </c>
      <c r="H208" s="207"/>
      <c r="I208" s="2" t="s">
        <v>2687</v>
      </c>
      <c r="J208" s="2"/>
      <c r="K208" s="3"/>
      <c r="L208" s="3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84"/>
      <c r="AL208" s="24"/>
      <c r="AM208" s="24"/>
      <c r="AN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>
        <f>+G208</f>
        <v>40203.96</v>
      </c>
      <c r="BA208" s="24"/>
      <c r="BB208" s="24"/>
      <c r="BC208" s="24"/>
      <c r="BD208" s="24"/>
      <c r="BE208" s="24"/>
      <c r="BF208" s="24"/>
      <c r="BG208" s="24"/>
      <c r="BH208" s="343"/>
      <c r="BI208" s="343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>
        <f t="shared" si="23"/>
        <v>40203.96</v>
      </c>
      <c r="DS208" s="3">
        <f t="shared" si="24"/>
        <v>0</v>
      </c>
      <c r="DU208" s="3">
        <v>40203.96</v>
      </c>
    </row>
    <row r="209" spans="1:125" x14ac:dyDescent="0.2">
      <c r="A209" s="251"/>
      <c r="C209" s="7" t="s">
        <v>2518</v>
      </c>
      <c r="D209" s="7" t="s">
        <v>2538</v>
      </c>
      <c r="E209" s="202" t="s">
        <v>2019</v>
      </c>
      <c r="F209" s="255" t="s">
        <v>2661</v>
      </c>
      <c r="G209" s="231">
        <f t="shared" si="20"/>
        <v>45960.959999999999</v>
      </c>
      <c r="H209" s="207"/>
      <c r="I209" s="2" t="s">
        <v>2797</v>
      </c>
      <c r="J209" s="2"/>
      <c r="K209" s="3"/>
      <c r="L209" s="3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8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343"/>
      <c r="BI209" s="343"/>
      <c r="BJ209" s="24"/>
      <c r="BK209" s="24">
        <f>+G209</f>
        <v>45960.959999999999</v>
      </c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>
        <v>0</v>
      </c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>
        <f t="shared" si="23"/>
        <v>45960.959999999999</v>
      </c>
      <c r="DS209" s="3">
        <f t="shared" si="24"/>
        <v>0</v>
      </c>
      <c r="DU209" s="3">
        <v>45960.959999999999</v>
      </c>
    </row>
    <row r="210" spans="1:125" x14ac:dyDescent="0.2">
      <c r="C210" s="7" t="s">
        <v>2507</v>
      </c>
      <c r="D210" s="7" t="s">
        <v>2828</v>
      </c>
      <c r="E210" s="147" t="s">
        <v>2827</v>
      </c>
      <c r="F210" s="33" t="s">
        <v>2661</v>
      </c>
      <c r="G210" s="231">
        <f t="shared" si="20"/>
        <v>62660</v>
      </c>
      <c r="H210" s="207"/>
      <c r="I210" s="2" t="s">
        <v>2692</v>
      </c>
      <c r="J210" s="3"/>
      <c r="K210" s="3"/>
      <c r="L210" s="3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84"/>
      <c r="AL210" s="24"/>
      <c r="AM210" s="24"/>
      <c r="AN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343"/>
      <c r="BI210" s="343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>
        <f>+G210</f>
        <v>62660</v>
      </c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>
        <f t="shared" si="23"/>
        <v>62660</v>
      </c>
      <c r="DS210" s="3">
        <f t="shared" si="24"/>
        <v>0</v>
      </c>
      <c r="DU210" s="3">
        <v>62660</v>
      </c>
    </row>
    <row r="211" spans="1:125" x14ac:dyDescent="0.2">
      <c r="C211" s="7" t="s">
        <v>2539</v>
      </c>
      <c r="D211" s="7" t="s">
        <v>2540</v>
      </c>
      <c r="E211" s="147" t="s">
        <v>429</v>
      </c>
      <c r="F211" s="33" t="s">
        <v>2658</v>
      </c>
      <c r="G211" s="230">
        <f t="shared" si="20"/>
        <v>43252</v>
      </c>
      <c r="H211" s="207"/>
      <c r="I211" s="2" t="s">
        <v>2687</v>
      </c>
      <c r="J211" s="3"/>
      <c r="K211" s="3"/>
      <c r="L211" s="3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8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>
        <f>G211</f>
        <v>43252</v>
      </c>
      <c r="BA211" s="24"/>
      <c r="BB211" s="24"/>
      <c r="BC211" s="24"/>
      <c r="BD211" s="24"/>
      <c r="BE211" s="24"/>
      <c r="BF211" s="24"/>
      <c r="BG211" s="24"/>
      <c r="BH211" s="343"/>
      <c r="BI211" s="343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>
        <f t="shared" si="23"/>
        <v>43252</v>
      </c>
      <c r="DS211" s="3">
        <f t="shared" si="24"/>
        <v>0</v>
      </c>
      <c r="DU211" s="3">
        <v>43252</v>
      </c>
    </row>
    <row r="212" spans="1:125" x14ac:dyDescent="0.2">
      <c r="A212" s="251"/>
      <c r="C212" s="7" t="s">
        <v>2844</v>
      </c>
      <c r="D212" s="7" t="s">
        <v>2837</v>
      </c>
      <c r="E212" s="149" t="s">
        <v>2843</v>
      </c>
      <c r="F212" s="255" t="s">
        <v>2658</v>
      </c>
      <c r="G212" s="231">
        <f t="shared" si="20"/>
        <v>41544</v>
      </c>
      <c r="H212" s="207"/>
      <c r="I212" s="2" t="s">
        <v>2687</v>
      </c>
      <c r="J212" s="2"/>
      <c r="K212" s="2"/>
      <c r="L212" s="2"/>
      <c r="M212" s="3"/>
      <c r="N212" s="3"/>
      <c r="O212" s="24"/>
      <c r="P212" s="3"/>
      <c r="Q212" s="3"/>
      <c r="R212" s="24"/>
      <c r="S212" s="24"/>
      <c r="T212" s="3"/>
      <c r="U212" s="3"/>
      <c r="V212" s="3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3"/>
      <c r="AJ212" s="24"/>
      <c r="AK212" s="284"/>
      <c r="AL212" s="24"/>
      <c r="AM212" s="3"/>
      <c r="AN212" s="3"/>
      <c r="AO212" s="3"/>
      <c r="AP212" s="3"/>
      <c r="AQ212" s="3"/>
      <c r="AR212" s="3"/>
      <c r="AS212" s="24"/>
      <c r="AT212" s="24"/>
      <c r="AU212" s="24"/>
      <c r="AV212" s="24"/>
      <c r="AW212" s="24"/>
      <c r="AX212" s="24"/>
      <c r="AY212" s="3"/>
      <c r="AZ212" s="24">
        <f>+G212</f>
        <v>41544</v>
      </c>
      <c r="BA212" s="24"/>
      <c r="BB212" s="24"/>
      <c r="BC212" s="24"/>
      <c r="BD212" s="24"/>
      <c r="BE212" s="24"/>
      <c r="BF212" s="24"/>
      <c r="BG212" s="24"/>
      <c r="BH212" s="343"/>
      <c r="BI212" s="343"/>
      <c r="BJ212" s="24"/>
      <c r="BK212" s="3"/>
      <c r="BL212" s="3"/>
      <c r="BM212" s="24"/>
      <c r="BN212" s="3"/>
      <c r="BO212" s="3"/>
      <c r="BP212" s="3"/>
      <c r="BQ212" s="3"/>
      <c r="BR212" s="3"/>
      <c r="BS212" s="3"/>
      <c r="BT212" s="3"/>
      <c r="BU212" s="24"/>
      <c r="BV212" s="24"/>
      <c r="BW212" s="24"/>
      <c r="BX212" s="24"/>
      <c r="BY212" s="24"/>
      <c r="BZ212" s="3"/>
      <c r="CA212" s="3"/>
      <c r="CB212" s="24"/>
      <c r="CC212" s="24"/>
      <c r="CD212" s="24"/>
      <c r="CE212" s="24"/>
      <c r="CF212" s="24"/>
      <c r="CG212" s="24"/>
      <c r="CH212" s="24"/>
      <c r="CI212" s="3"/>
      <c r="CJ212" s="3"/>
      <c r="CK212" s="24"/>
      <c r="CL212" s="3"/>
      <c r="CM212" s="3"/>
      <c r="CN212" s="24"/>
      <c r="CO212" s="24"/>
      <c r="CP212" s="24"/>
      <c r="CQ212" s="24"/>
      <c r="CR212" s="24"/>
      <c r="CS212" s="3"/>
      <c r="CT212" s="3"/>
      <c r="CU212" s="3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3"/>
      <c r="DR212" s="24">
        <f t="shared" ref="DR212" si="27">SUM(M212:DQ212)</f>
        <v>41544</v>
      </c>
      <c r="DS212" s="3">
        <f t="shared" si="24"/>
        <v>0</v>
      </c>
      <c r="DU212" s="3">
        <v>41544</v>
      </c>
    </row>
    <row r="213" spans="1:125" x14ac:dyDescent="0.2">
      <c r="A213" s="251"/>
      <c r="C213" s="7" t="s">
        <v>2418</v>
      </c>
      <c r="D213" s="7" t="s">
        <v>2285</v>
      </c>
      <c r="E213" s="148" t="s">
        <v>3033</v>
      </c>
      <c r="F213" s="255" t="s">
        <v>2658</v>
      </c>
      <c r="G213" s="231">
        <f t="shared" si="20"/>
        <v>35301.96</v>
      </c>
      <c r="H213" s="207"/>
      <c r="I213" s="2" t="s">
        <v>2692</v>
      </c>
      <c r="J213" s="3"/>
      <c r="K213" s="3"/>
      <c r="L213" s="3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84"/>
      <c r="AL213" s="24"/>
      <c r="AM213" s="24"/>
      <c r="AN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343"/>
      <c r="BI213" s="343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>
        <f>+G213</f>
        <v>35301.96</v>
      </c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>
        <f t="shared" ref="DR213" si="28">SUM(M213:DQ213)</f>
        <v>35301.96</v>
      </c>
      <c r="DS213" s="3">
        <f t="shared" ref="DS213" si="29">DR213-G213</f>
        <v>0</v>
      </c>
      <c r="DU213" s="3">
        <v>35301.96</v>
      </c>
    </row>
    <row r="214" spans="1:125" x14ac:dyDescent="0.2">
      <c r="C214" s="7" t="s">
        <v>2420</v>
      </c>
      <c r="D214" s="7" t="s">
        <v>2285</v>
      </c>
      <c r="E214" s="205" t="s">
        <v>2769</v>
      </c>
      <c r="F214" s="33" t="s">
        <v>2661</v>
      </c>
      <c r="G214" s="231">
        <f t="shared" si="20"/>
        <v>40947.599999999999</v>
      </c>
      <c r="H214" s="207"/>
      <c r="I214" s="2" t="s">
        <v>2678</v>
      </c>
      <c r="J214" s="2"/>
      <c r="K214" s="2"/>
      <c r="L214" s="2"/>
      <c r="M214" s="3"/>
      <c r="N214" s="3"/>
      <c r="O214" s="24"/>
      <c r="P214" s="3"/>
      <c r="Q214" s="3"/>
      <c r="R214" s="24"/>
      <c r="S214" s="24"/>
      <c r="T214" s="3"/>
      <c r="U214" s="3"/>
      <c r="V214" s="3"/>
      <c r="W214" s="24"/>
      <c r="X214" s="24">
        <f>G214</f>
        <v>40947.599999999999</v>
      </c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3"/>
      <c r="AJ214" s="24"/>
      <c r="AK214" s="284"/>
      <c r="AL214" s="24"/>
      <c r="AM214" s="3"/>
      <c r="AN214" s="3"/>
      <c r="AO214" s="3"/>
      <c r="AP214" s="3"/>
      <c r="AQ214" s="3"/>
      <c r="AR214" s="3"/>
      <c r="AS214" s="24"/>
      <c r="AT214" s="24"/>
      <c r="AU214" s="24"/>
      <c r="AV214" s="24"/>
      <c r="AW214" s="24"/>
      <c r="AX214" s="24"/>
      <c r="AY214" s="3"/>
      <c r="AZ214" s="24"/>
      <c r="BA214" s="24"/>
      <c r="BB214" s="24"/>
      <c r="BC214" s="24"/>
      <c r="BD214" s="24"/>
      <c r="BE214" s="24"/>
      <c r="BF214" s="24"/>
      <c r="BG214" s="24"/>
      <c r="BH214" s="343"/>
      <c r="BI214" s="343"/>
      <c r="BJ214" s="24"/>
      <c r="BK214" s="3"/>
      <c r="BL214" s="3"/>
      <c r="BM214" s="24"/>
      <c r="BN214" s="3"/>
      <c r="BO214" s="3"/>
      <c r="BP214" s="3"/>
      <c r="BQ214" s="3"/>
      <c r="BR214" s="3"/>
      <c r="BS214" s="3"/>
      <c r="BT214" s="3"/>
      <c r="BU214" s="24"/>
      <c r="BV214" s="24"/>
      <c r="BW214" s="24"/>
      <c r="BX214" s="24"/>
      <c r="BY214" s="24"/>
      <c r="BZ214" s="3"/>
      <c r="CA214" s="3"/>
      <c r="CB214" s="24"/>
      <c r="CC214" s="24"/>
      <c r="CD214" s="24"/>
      <c r="CE214" s="24"/>
      <c r="CF214" s="24"/>
      <c r="CG214" s="24"/>
      <c r="CH214" s="24"/>
      <c r="CI214" s="3"/>
      <c r="CJ214" s="3"/>
      <c r="CK214" s="24"/>
      <c r="CL214" s="3"/>
      <c r="CM214" s="3"/>
      <c r="CN214" s="24"/>
      <c r="CO214" s="24"/>
      <c r="CP214" s="24"/>
      <c r="CQ214" s="24"/>
      <c r="CR214" s="24"/>
      <c r="CS214" s="3"/>
      <c r="CT214" s="3"/>
      <c r="CU214" s="3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3"/>
      <c r="DR214" s="24">
        <f t="shared" si="23"/>
        <v>40947.599999999999</v>
      </c>
      <c r="DS214" s="3">
        <f t="shared" si="24"/>
        <v>0</v>
      </c>
      <c r="DU214" s="3">
        <v>40947.599999999999</v>
      </c>
    </row>
    <row r="215" spans="1:125" x14ac:dyDescent="0.2">
      <c r="C215" s="7" t="s">
        <v>2833</v>
      </c>
      <c r="D215" s="7" t="s">
        <v>2834</v>
      </c>
      <c r="E215" s="150" t="s">
        <v>2768</v>
      </c>
      <c r="F215" s="255" t="s">
        <v>2661</v>
      </c>
      <c r="G215" s="231">
        <f t="shared" si="20"/>
        <v>41307.839999999997</v>
      </c>
      <c r="H215" s="207"/>
      <c r="I215" s="2" t="s">
        <v>2678</v>
      </c>
      <c r="J215" s="2"/>
      <c r="K215" s="2"/>
      <c r="L215" s="2"/>
      <c r="M215" s="3"/>
      <c r="N215" s="3"/>
      <c r="O215" s="24"/>
      <c r="P215" s="3"/>
      <c r="Q215" s="3"/>
      <c r="R215" s="24"/>
      <c r="S215" s="24"/>
      <c r="T215" s="3"/>
      <c r="U215" s="3"/>
      <c r="V215" s="3"/>
      <c r="W215" s="24"/>
      <c r="X215" s="24">
        <f>G215</f>
        <v>41307.839999999997</v>
      </c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3"/>
      <c r="AJ215" s="24"/>
      <c r="AK215" s="284"/>
      <c r="AL215" s="24"/>
      <c r="AM215" s="3"/>
      <c r="AN215" s="3"/>
      <c r="AO215" s="3"/>
      <c r="AP215" s="3"/>
      <c r="AQ215" s="3"/>
      <c r="AR215" s="3"/>
      <c r="AS215" s="24"/>
      <c r="AT215" s="24"/>
      <c r="AU215" s="24"/>
      <c r="AV215" s="24"/>
      <c r="AW215" s="24"/>
      <c r="AX215" s="24"/>
      <c r="AY215" s="3"/>
      <c r="AZ215" s="24"/>
      <c r="BA215" s="24"/>
      <c r="BB215" s="24"/>
      <c r="BC215" s="24"/>
      <c r="BD215" s="24"/>
      <c r="BE215" s="24"/>
      <c r="BF215" s="24"/>
      <c r="BG215" s="24"/>
      <c r="BH215" s="343"/>
      <c r="BI215" s="343"/>
      <c r="BJ215" s="24"/>
      <c r="BK215" s="3"/>
      <c r="BL215" s="3"/>
      <c r="BM215" s="24"/>
      <c r="BN215" s="3"/>
      <c r="BO215" s="3"/>
      <c r="BP215" s="3"/>
      <c r="BQ215" s="3"/>
      <c r="BR215" s="3"/>
      <c r="BS215" s="3"/>
      <c r="BT215" s="3"/>
      <c r="BU215" s="24"/>
      <c r="BV215" s="24"/>
      <c r="BW215" s="24"/>
      <c r="BX215" s="24"/>
      <c r="BY215" s="24"/>
      <c r="BZ215" s="3"/>
      <c r="CA215" s="3"/>
      <c r="CB215" s="24"/>
      <c r="CC215" s="24"/>
      <c r="CD215" s="24"/>
      <c r="CE215" s="24"/>
      <c r="CF215" s="24"/>
      <c r="CG215" s="24"/>
      <c r="CH215" s="24"/>
      <c r="CI215" s="3"/>
      <c r="CJ215" s="3"/>
      <c r="CK215" s="24"/>
      <c r="CL215" s="3"/>
      <c r="CM215" s="3"/>
      <c r="CN215" s="24"/>
      <c r="CO215" s="24"/>
      <c r="CP215" s="24"/>
      <c r="CQ215" s="24"/>
      <c r="CR215" s="24"/>
      <c r="CS215" s="3"/>
      <c r="CT215" s="3"/>
      <c r="CU215" s="3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3"/>
      <c r="DR215" s="24">
        <f t="shared" si="23"/>
        <v>41307.839999999997</v>
      </c>
      <c r="DS215" s="3">
        <f t="shared" si="24"/>
        <v>0</v>
      </c>
      <c r="DU215" s="3">
        <v>41307.839999999997</v>
      </c>
    </row>
    <row r="216" spans="1:125" x14ac:dyDescent="0.2">
      <c r="A216" s="251" t="s">
        <v>3067</v>
      </c>
      <c r="E216" s="150" t="s">
        <v>3159</v>
      </c>
      <c r="F216" s="255" t="s">
        <v>2661</v>
      </c>
      <c r="G216" s="206">
        <f t="shared" si="20"/>
        <v>30000</v>
      </c>
      <c r="H216" s="207"/>
      <c r="I216" s="7" t="s">
        <v>2971</v>
      </c>
      <c r="J216" s="2"/>
      <c r="K216" s="2"/>
      <c r="L216" s="2"/>
      <c r="M216" s="3"/>
      <c r="N216" s="3"/>
      <c r="O216" s="343"/>
      <c r="P216" s="3"/>
      <c r="Q216" s="3"/>
      <c r="R216" s="343"/>
      <c r="S216" s="343"/>
      <c r="T216" s="3"/>
      <c r="U216" s="3"/>
      <c r="V216" s="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"/>
      <c r="AJ216" s="343"/>
      <c r="AK216" s="284"/>
      <c r="AL216" s="343"/>
      <c r="AM216" s="3"/>
      <c r="AN216" s="3"/>
      <c r="AO216" s="3"/>
      <c r="AP216" s="3"/>
      <c r="AQ216" s="3"/>
      <c r="AR216" s="3"/>
      <c r="AS216" s="343"/>
      <c r="AT216" s="343"/>
      <c r="AU216" s="343"/>
      <c r="AV216" s="343"/>
      <c r="AW216" s="343"/>
      <c r="AX216" s="343"/>
      <c r="AY216" s="3"/>
      <c r="AZ216" s="343"/>
      <c r="BA216" s="343"/>
      <c r="BB216" s="343"/>
      <c r="BC216" s="343"/>
      <c r="BD216" s="343">
        <f>+G216</f>
        <v>30000</v>
      </c>
      <c r="BE216" s="343"/>
      <c r="BF216" s="343"/>
      <c r="BG216" s="343"/>
      <c r="BH216" s="343"/>
      <c r="BI216" s="343"/>
      <c r="BJ216" s="343"/>
      <c r="BK216" s="3"/>
      <c r="BL216" s="3"/>
      <c r="BM216" s="343"/>
      <c r="BN216" s="3"/>
      <c r="BO216" s="3"/>
      <c r="BP216" s="3"/>
      <c r="BQ216" s="3"/>
      <c r="BR216" s="3"/>
      <c r="BS216" s="3"/>
      <c r="BT216" s="3"/>
      <c r="BU216" s="343"/>
      <c r="BV216" s="343"/>
      <c r="BW216" s="343"/>
      <c r="BX216" s="343"/>
      <c r="BY216" s="343"/>
      <c r="BZ216" s="3"/>
      <c r="CA216" s="3"/>
      <c r="CB216" s="343"/>
      <c r="CC216" s="343"/>
      <c r="CD216" s="343"/>
      <c r="CE216" s="343"/>
      <c r="CF216" s="343"/>
      <c r="CG216" s="343"/>
      <c r="CH216" s="343"/>
      <c r="CI216" s="3"/>
      <c r="CJ216" s="3"/>
      <c r="CK216" s="343"/>
      <c r="CL216" s="3"/>
      <c r="CM216" s="3"/>
      <c r="CN216" s="343"/>
      <c r="CO216" s="343"/>
      <c r="CP216" s="343"/>
      <c r="CQ216" s="343"/>
      <c r="CR216" s="343"/>
      <c r="CS216" s="3"/>
      <c r="CT216" s="3"/>
      <c r="CU216" s="3"/>
      <c r="CV216" s="343"/>
      <c r="CW216" s="343"/>
      <c r="CX216" s="343"/>
      <c r="CY216" s="343"/>
      <c r="CZ216" s="343"/>
      <c r="DA216" s="343"/>
      <c r="DB216" s="343"/>
      <c r="DC216" s="343"/>
      <c r="DD216" s="343"/>
      <c r="DE216" s="343"/>
      <c r="DF216" s="343"/>
      <c r="DG216" s="343"/>
      <c r="DH216" s="343"/>
      <c r="DI216" s="343"/>
      <c r="DJ216" s="343"/>
      <c r="DK216" s="343"/>
      <c r="DL216" s="343"/>
      <c r="DM216" s="343"/>
      <c r="DN216" s="343"/>
      <c r="DO216" s="343"/>
      <c r="DP216" s="343"/>
      <c r="DQ216" s="3"/>
      <c r="DR216" s="343">
        <f t="shared" ref="DR216" si="30">SUM(M216:DQ216)</f>
        <v>30000</v>
      </c>
      <c r="DS216" s="3">
        <f t="shared" ref="DS216" si="31">DR216-G216</f>
        <v>0</v>
      </c>
      <c r="DU216" s="3">
        <v>30000</v>
      </c>
    </row>
    <row r="217" spans="1:125" x14ac:dyDescent="0.2">
      <c r="A217" s="251" t="s">
        <v>3067</v>
      </c>
      <c r="E217" s="150" t="s">
        <v>3168</v>
      </c>
      <c r="F217" s="255" t="s">
        <v>2661</v>
      </c>
      <c r="G217" s="206">
        <f t="shared" si="20"/>
        <v>40000</v>
      </c>
      <c r="H217" s="207"/>
      <c r="I217" s="2" t="s">
        <v>3170</v>
      </c>
      <c r="J217" s="2"/>
      <c r="K217" s="2"/>
      <c r="L217" s="2"/>
      <c r="M217" s="3"/>
      <c r="N217" s="3"/>
      <c r="O217" s="343"/>
      <c r="P217" s="3"/>
      <c r="Q217" s="3"/>
      <c r="R217" s="343"/>
      <c r="S217" s="343"/>
      <c r="T217" s="3"/>
      <c r="U217" s="3"/>
      <c r="V217" s="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"/>
      <c r="AJ217" s="343"/>
      <c r="AK217" s="284"/>
      <c r="AL217" s="343"/>
      <c r="AM217" s="3"/>
      <c r="AN217" s="3"/>
      <c r="AO217" s="3"/>
      <c r="AP217" s="3"/>
      <c r="AQ217" s="3"/>
      <c r="AR217" s="3"/>
      <c r="AS217" s="343"/>
      <c r="AT217" s="343"/>
      <c r="AU217" s="343"/>
      <c r="AV217" s="343"/>
      <c r="AW217" s="343"/>
      <c r="AX217" s="343"/>
      <c r="AY217" s="3"/>
      <c r="AZ217" s="343"/>
      <c r="BA217" s="343">
        <f>+G217</f>
        <v>40000</v>
      </c>
      <c r="BB217" s="343"/>
      <c r="BC217" s="343"/>
      <c r="BD217" s="343"/>
      <c r="BE217" s="343"/>
      <c r="BF217" s="343"/>
      <c r="BG217" s="343"/>
      <c r="BH217" s="343"/>
      <c r="BI217" s="343"/>
      <c r="BJ217" s="343"/>
      <c r="BK217" s="3"/>
      <c r="BL217" s="3"/>
      <c r="BM217" s="343"/>
      <c r="BN217" s="3"/>
      <c r="BO217" s="3"/>
      <c r="BP217" s="3"/>
      <c r="BQ217" s="3"/>
      <c r="BR217" s="3"/>
      <c r="BS217" s="3"/>
      <c r="BT217" s="3"/>
      <c r="BU217" s="343"/>
      <c r="BV217" s="343"/>
      <c r="BW217" s="343"/>
      <c r="BX217" s="343"/>
      <c r="BY217" s="343"/>
      <c r="BZ217" s="3"/>
      <c r="CA217" s="3"/>
      <c r="CB217" s="343"/>
      <c r="CC217" s="343"/>
      <c r="CD217" s="343"/>
      <c r="CE217" s="343"/>
      <c r="CF217" s="343"/>
      <c r="CG217" s="343"/>
      <c r="CH217" s="343"/>
      <c r="CI217" s="3"/>
      <c r="CJ217" s="3"/>
      <c r="CK217" s="343"/>
      <c r="CL217" s="3"/>
      <c r="CM217" s="3"/>
      <c r="CN217" s="343"/>
      <c r="CO217" s="343"/>
      <c r="CP217" s="343"/>
      <c r="CQ217" s="343"/>
      <c r="CR217" s="343"/>
      <c r="CS217" s="3"/>
      <c r="CT217" s="3"/>
      <c r="CU217" s="3"/>
      <c r="CV217" s="343"/>
      <c r="CW217" s="343"/>
      <c r="CX217" s="343"/>
      <c r="CY217" s="343"/>
      <c r="CZ217" s="343"/>
      <c r="DA217" s="343"/>
      <c r="DB217" s="343"/>
      <c r="DC217" s="343"/>
      <c r="DD217" s="343"/>
      <c r="DE217" s="343"/>
      <c r="DF217" s="343"/>
      <c r="DG217" s="343"/>
      <c r="DH217" s="343"/>
      <c r="DI217" s="343"/>
      <c r="DJ217" s="343"/>
      <c r="DK217" s="343"/>
      <c r="DL217" s="343"/>
      <c r="DM217" s="343"/>
      <c r="DN217" s="343"/>
      <c r="DO217" s="343"/>
      <c r="DP217" s="343"/>
      <c r="DQ217" s="3"/>
      <c r="DR217" s="343">
        <f t="shared" ref="DR217:DR218" si="32">SUM(M217:DQ217)</f>
        <v>40000</v>
      </c>
      <c r="DS217" s="3">
        <f t="shared" ref="DS217:DS218" si="33">DR217-G217</f>
        <v>0</v>
      </c>
      <c r="DU217" s="3">
        <v>40000</v>
      </c>
    </row>
    <row r="218" spans="1:125" x14ac:dyDescent="0.2">
      <c r="A218" s="251" t="s">
        <v>3067</v>
      </c>
      <c r="E218" s="150" t="s">
        <v>3169</v>
      </c>
      <c r="F218" s="255" t="s">
        <v>2661</v>
      </c>
      <c r="G218" s="206">
        <f t="shared" si="20"/>
        <v>60000</v>
      </c>
      <c r="H218" s="207"/>
      <c r="I218" s="7" t="s">
        <v>3171</v>
      </c>
      <c r="J218" s="2"/>
      <c r="K218" s="2"/>
      <c r="L218" s="2"/>
      <c r="M218" s="3"/>
      <c r="N218" s="3"/>
      <c r="O218" s="343"/>
      <c r="P218" s="3"/>
      <c r="Q218" s="3"/>
      <c r="R218" s="343"/>
      <c r="S218" s="343"/>
      <c r="T218" s="3"/>
      <c r="U218" s="3"/>
      <c r="V218" s="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43"/>
      <c r="AI218" s="3"/>
      <c r="AJ218" s="343"/>
      <c r="AK218" s="284"/>
      <c r="AL218" s="343"/>
      <c r="AM218" s="3"/>
      <c r="AN218" s="3"/>
      <c r="AO218" s="3"/>
      <c r="AP218" s="3"/>
      <c r="AQ218" s="3"/>
      <c r="AR218" s="3"/>
      <c r="AS218" s="343"/>
      <c r="AT218" s="343"/>
      <c r="AU218" s="343"/>
      <c r="AV218" s="343"/>
      <c r="AW218" s="343"/>
      <c r="AX218" s="343"/>
      <c r="AY218" s="3"/>
      <c r="AZ218" s="343"/>
      <c r="BA218" s="343"/>
      <c r="BB218" s="343">
        <f>+G218</f>
        <v>60000</v>
      </c>
      <c r="BC218" s="343"/>
      <c r="BD218" s="343"/>
      <c r="BE218" s="343"/>
      <c r="BF218" s="343"/>
      <c r="BG218" s="343"/>
      <c r="BH218" s="343"/>
      <c r="BI218" s="343"/>
      <c r="BJ218" s="343"/>
      <c r="BK218" s="3"/>
      <c r="BL218" s="3"/>
      <c r="BM218" s="343"/>
      <c r="BN218" s="3"/>
      <c r="BO218" s="3"/>
      <c r="BP218" s="3"/>
      <c r="BQ218" s="3"/>
      <c r="BR218" s="3"/>
      <c r="BS218" s="3"/>
      <c r="BT218" s="3"/>
      <c r="BU218" s="343"/>
      <c r="BV218" s="343"/>
      <c r="BW218" s="343"/>
      <c r="BX218" s="343"/>
      <c r="BY218" s="343"/>
      <c r="BZ218" s="3"/>
      <c r="CA218" s="3"/>
      <c r="CB218" s="343"/>
      <c r="CC218" s="343"/>
      <c r="CD218" s="343"/>
      <c r="CE218" s="343"/>
      <c r="CF218" s="343"/>
      <c r="CG218" s="343"/>
      <c r="CH218" s="343"/>
      <c r="CI218" s="3"/>
      <c r="CJ218" s="3"/>
      <c r="CK218" s="343"/>
      <c r="CL218" s="3"/>
      <c r="CM218" s="3"/>
      <c r="CN218" s="343"/>
      <c r="CO218" s="343"/>
      <c r="CP218" s="343"/>
      <c r="CQ218" s="343"/>
      <c r="CR218" s="343"/>
      <c r="CS218" s="3"/>
      <c r="CT218" s="3"/>
      <c r="CU218" s="3"/>
      <c r="CV218" s="343"/>
      <c r="CW218" s="343"/>
      <c r="CX218" s="343"/>
      <c r="CY218" s="343"/>
      <c r="CZ218" s="343"/>
      <c r="DA218" s="343"/>
      <c r="DB218" s="343"/>
      <c r="DC218" s="343"/>
      <c r="DD218" s="343"/>
      <c r="DE218" s="343"/>
      <c r="DF218" s="343"/>
      <c r="DG218" s="343"/>
      <c r="DH218" s="343"/>
      <c r="DI218" s="343"/>
      <c r="DJ218" s="343"/>
      <c r="DK218" s="343"/>
      <c r="DL218" s="343"/>
      <c r="DM218" s="343"/>
      <c r="DN218" s="343"/>
      <c r="DO218" s="343"/>
      <c r="DP218" s="343"/>
      <c r="DQ218" s="3"/>
      <c r="DR218" s="343">
        <f t="shared" si="32"/>
        <v>60000</v>
      </c>
      <c r="DS218" s="3">
        <f t="shared" si="33"/>
        <v>0</v>
      </c>
      <c r="DU218" s="3">
        <v>60000</v>
      </c>
    </row>
    <row r="219" spans="1:125" x14ac:dyDescent="0.2">
      <c r="A219" s="251" t="s">
        <v>3067</v>
      </c>
      <c r="E219" s="150" t="s">
        <v>3200</v>
      </c>
      <c r="F219" s="255" t="s">
        <v>2661</v>
      </c>
      <c r="G219" s="206">
        <f t="shared" si="20"/>
        <v>45000</v>
      </c>
      <c r="H219" s="207"/>
      <c r="I219" s="342" t="s">
        <v>2677</v>
      </c>
      <c r="J219" s="2"/>
      <c r="K219" s="2"/>
      <c r="L219" s="2"/>
      <c r="M219" s="3"/>
      <c r="N219" s="3"/>
      <c r="O219" s="343"/>
      <c r="P219" s="3"/>
      <c r="Q219" s="3"/>
      <c r="R219" s="343"/>
      <c r="S219" s="343"/>
      <c r="T219" s="3"/>
      <c r="U219" s="3"/>
      <c r="V219" s="3"/>
      <c r="W219" s="343">
        <f>+G219</f>
        <v>45000</v>
      </c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43"/>
      <c r="AI219" s="3"/>
      <c r="AJ219" s="343"/>
      <c r="AK219" s="284"/>
      <c r="AL219" s="343"/>
      <c r="AM219" s="3"/>
      <c r="AN219" s="3"/>
      <c r="AO219" s="3"/>
      <c r="AP219" s="3"/>
      <c r="AQ219" s="3"/>
      <c r="AR219" s="3"/>
      <c r="AS219" s="343"/>
      <c r="AT219" s="343"/>
      <c r="AU219" s="343"/>
      <c r="AV219" s="343"/>
      <c r="AW219" s="343"/>
      <c r="AX219" s="343"/>
      <c r="AY219" s="3"/>
      <c r="AZ219" s="343"/>
      <c r="BA219" s="343"/>
      <c r="BB219" s="343"/>
      <c r="BC219" s="343"/>
      <c r="BD219" s="343"/>
      <c r="BE219" s="343"/>
      <c r="BF219" s="343"/>
      <c r="BG219" s="343"/>
      <c r="BH219" s="343"/>
      <c r="BI219" s="343"/>
      <c r="BJ219" s="343"/>
      <c r="BK219" s="3"/>
      <c r="BL219" s="3"/>
      <c r="BM219" s="343"/>
      <c r="BN219" s="3"/>
      <c r="BO219" s="3"/>
      <c r="BP219" s="3"/>
      <c r="BQ219" s="3"/>
      <c r="BR219" s="3"/>
      <c r="BS219" s="3"/>
      <c r="BT219" s="3"/>
      <c r="BU219" s="343"/>
      <c r="BV219" s="343"/>
      <c r="BW219" s="343"/>
      <c r="BX219" s="343"/>
      <c r="BY219" s="343"/>
      <c r="BZ219" s="3"/>
      <c r="CA219" s="3"/>
      <c r="CB219" s="343"/>
      <c r="CC219" s="343"/>
      <c r="CD219" s="343"/>
      <c r="CE219" s="343"/>
      <c r="CF219" s="343"/>
      <c r="CG219" s="343"/>
      <c r="CH219" s="343"/>
      <c r="CI219" s="3"/>
      <c r="CJ219" s="3"/>
      <c r="CK219" s="343"/>
      <c r="CL219" s="3"/>
      <c r="CM219" s="3"/>
      <c r="CN219" s="343"/>
      <c r="CO219" s="343"/>
      <c r="CP219" s="343"/>
      <c r="CQ219" s="343"/>
      <c r="CR219" s="343"/>
      <c r="CS219" s="3"/>
      <c r="CT219" s="3"/>
      <c r="CU219" s="3"/>
      <c r="CV219" s="343"/>
      <c r="CW219" s="343"/>
      <c r="CX219" s="343"/>
      <c r="CY219" s="343"/>
      <c r="CZ219" s="343"/>
      <c r="DA219" s="343"/>
      <c r="DB219" s="343"/>
      <c r="DC219" s="343"/>
      <c r="DD219" s="343"/>
      <c r="DE219" s="343"/>
      <c r="DF219" s="343"/>
      <c r="DG219" s="343"/>
      <c r="DH219" s="343"/>
      <c r="DI219" s="343"/>
      <c r="DJ219" s="343"/>
      <c r="DK219" s="343"/>
      <c r="DL219" s="343"/>
      <c r="DM219" s="343"/>
      <c r="DN219" s="343"/>
      <c r="DO219" s="343"/>
      <c r="DP219" s="343"/>
      <c r="DQ219" s="3"/>
      <c r="DR219" s="343">
        <f t="shared" ref="DR219" si="34">SUM(M219:DQ219)</f>
        <v>45000</v>
      </c>
      <c r="DS219" s="3">
        <f t="shared" ref="DS219" si="35">DR219-G219</f>
        <v>0</v>
      </c>
      <c r="DU219" s="3">
        <v>45000</v>
      </c>
    </row>
    <row r="220" spans="1:125" x14ac:dyDescent="0.2">
      <c r="A220" s="251"/>
      <c r="E220" s="493" t="s">
        <v>3723</v>
      </c>
      <c r="F220" s="255" t="s">
        <v>2661</v>
      </c>
      <c r="G220" s="491">
        <v>-15000</v>
      </c>
      <c r="H220" s="207"/>
      <c r="I220" s="2" t="s">
        <v>2679</v>
      </c>
      <c r="J220" s="2"/>
      <c r="K220" s="2"/>
      <c r="L220" s="2"/>
      <c r="M220" s="3"/>
      <c r="N220" s="3"/>
      <c r="O220" s="343"/>
      <c r="P220" s="3"/>
      <c r="Q220" s="3"/>
      <c r="R220" s="343"/>
      <c r="S220" s="343"/>
      <c r="T220" s="3"/>
      <c r="U220" s="3"/>
      <c r="V220" s="3"/>
      <c r="W220" s="343"/>
      <c r="X220" s="343"/>
      <c r="Y220" s="343"/>
      <c r="Z220" s="343"/>
      <c r="AA220" s="343"/>
      <c r="AB220" s="388">
        <f>+G220</f>
        <v>-15000</v>
      </c>
      <c r="AC220" s="343"/>
      <c r="AD220" s="343"/>
      <c r="AE220" s="343"/>
      <c r="AF220" s="343"/>
      <c r="AG220" s="343"/>
      <c r="AH220" s="343"/>
      <c r="AI220" s="3"/>
      <c r="AJ220" s="343"/>
      <c r="AK220" s="284"/>
      <c r="AL220" s="343"/>
      <c r="AM220" s="3"/>
      <c r="AN220" s="3"/>
      <c r="AO220" s="3"/>
      <c r="AP220" s="3"/>
      <c r="AQ220" s="3"/>
      <c r="AR220" s="3"/>
      <c r="AS220" s="343"/>
      <c r="AT220" s="343"/>
      <c r="AU220" s="343"/>
      <c r="AV220" s="343"/>
      <c r="AW220" s="343"/>
      <c r="AX220" s="343"/>
      <c r="AY220" s="3"/>
      <c r="AZ220" s="343"/>
      <c r="BA220" s="343"/>
      <c r="BB220" s="343"/>
      <c r="BC220" s="343"/>
      <c r="BD220" s="343"/>
      <c r="BE220" s="343"/>
      <c r="BF220" s="343"/>
      <c r="BG220" s="343"/>
      <c r="BH220" s="343"/>
      <c r="BI220" s="343"/>
      <c r="BJ220" s="343"/>
      <c r="BK220" s="3"/>
      <c r="BL220" s="3"/>
      <c r="BM220" s="343"/>
      <c r="BN220" s="3"/>
      <c r="BO220" s="3"/>
      <c r="BP220" s="3"/>
      <c r="BQ220" s="3"/>
      <c r="BR220" s="3"/>
      <c r="BS220" s="3"/>
      <c r="BT220" s="3"/>
      <c r="BU220" s="343"/>
      <c r="BV220" s="343"/>
      <c r="BW220" s="343"/>
      <c r="BX220" s="343"/>
      <c r="BY220" s="343"/>
      <c r="BZ220" s="3"/>
      <c r="CA220" s="3"/>
      <c r="CB220" s="343"/>
      <c r="CC220" s="343"/>
      <c r="CD220" s="343"/>
      <c r="CE220" s="343"/>
      <c r="CF220" s="343"/>
      <c r="CG220" s="343"/>
      <c r="CH220" s="343"/>
      <c r="CI220" s="3"/>
      <c r="CJ220" s="3"/>
      <c r="CK220" s="343"/>
      <c r="CL220" s="3"/>
      <c r="CM220" s="3"/>
      <c r="CN220" s="343"/>
      <c r="CO220" s="343"/>
      <c r="CP220" s="343"/>
      <c r="CQ220" s="343"/>
      <c r="CR220" s="343"/>
      <c r="CS220" s="3"/>
      <c r="CT220" s="3"/>
      <c r="CU220" s="3"/>
      <c r="CV220" s="343"/>
      <c r="CW220" s="343"/>
      <c r="CX220" s="343"/>
      <c r="CY220" s="343"/>
      <c r="CZ220" s="343"/>
      <c r="DA220" s="343"/>
      <c r="DB220" s="343"/>
      <c r="DC220" s="343"/>
      <c r="DD220" s="343"/>
      <c r="DE220" s="343"/>
      <c r="DF220" s="343"/>
      <c r="DG220" s="343"/>
      <c r="DH220" s="343"/>
      <c r="DI220" s="343"/>
      <c r="DJ220" s="343"/>
      <c r="DK220" s="343"/>
      <c r="DL220" s="343"/>
      <c r="DM220" s="343"/>
      <c r="DN220" s="343"/>
      <c r="DO220" s="343"/>
      <c r="DP220" s="343"/>
      <c r="DQ220" s="3"/>
      <c r="DR220" s="388">
        <f t="shared" ref="DR220" si="36">SUM(M220:DQ220)</f>
        <v>-15000</v>
      </c>
      <c r="DS220" s="334">
        <f t="shared" ref="DS220" si="37">DR220-G220</f>
        <v>0</v>
      </c>
      <c r="DT220" s="334"/>
      <c r="DU220" s="334">
        <v>-15000</v>
      </c>
    </row>
    <row r="221" spans="1:125" x14ac:dyDescent="0.2">
      <c r="A221" s="251"/>
      <c r="E221" s="493" t="s">
        <v>3723</v>
      </c>
      <c r="F221" s="255" t="s">
        <v>2661</v>
      </c>
      <c r="G221" s="491">
        <v>-20000</v>
      </c>
      <c r="H221" s="207"/>
      <c r="I221" s="3" t="s">
        <v>2681</v>
      </c>
      <c r="J221" s="2"/>
      <c r="K221" s="2"/>
      <c r="L221" s="2"/>
      <c r="M221" s="3"/>
      <c r="N221" s="3"/>
      <c r="O221" s="343"/>
      <c r="P221" s="3"/>
      <c r="Q221" s="3"/>
      <c r="R221" s="343"/>
      <c r="S221" s="343"/>
      <c r="T221" s="3"/>
      <c r="U221" s="3"/>
      <c r="V221" s="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88">
        <f>+G221</f>
        <v>-20000</v>
      </c>
      <c r="AG221" s="343"/>
      <c r="AH221" s="343"/>
      <c r="AI221" s="3"/>
      <c r="AJ221" s="343"/>
      <c r="AK221" s="284"/>
      <c r="AL221" s="343"/>
      <c r="AM221" s="3"/>
      <c r="AN221" s="3"/>
      <c r="AO221" s="3"/>
      <c r="AP221" s="3"/>
      <c r="AQ221" s="3"/>
      <c r="AR221" s="3"/>
      <c r="AS221" s="343"/>
      <c r="AT221" s="343"/>
      <c r="AU221" s="343"/>
      <c r="AV221" s="343"/>
      <c r="AW221" s="343"/>
      <c r="AX221" s="343"/>
      <c r="AY221" s="3"/>
      <c r="AZ221" s="343"/>
      <c r="BA221" s="343"/>
      <c r="BB221" s="343"/>
      <c r="BC221" s="343"/>
      <c r="BD221" s="343"/>
      <c r="BE221" s="343"/>
      <c r="BF221" s="343"/>
      <c r="BG221" s="343"/>
      <c r="BH221" s="343"/>
      <c r="BI221" s="343"/>
      <c r="BJ221" s="343"/>
      <c r="BK221" s="3"/>
      <c r="BL221" s="3"/>
      <c r="BM221" s="343"/>
      <c r="BN221" s="3"/>
      <c r="BO221" s="3"/>
      <c r="BP221" s="3"/>
      <c r="BQ221" s="3"/>
      <c r="BR221" s="3"/>
      <c r="BS221" s="3"/>
      <c r="BT221" s="3"/>
      <c r="BU221" s="343"/>
      <c r="BV221" s="343"/>
      <c r="BW221" s="343"/>
      <c r="BX221" s="343"/>
      <c r="BY221" s="343"/>
      <c r="BZ221" s="3"/>
      <c r="CA221" s="3"/>
      <c r="CB221" s="343"/>
      <c r="CC221" s="343"/>
      <c r="CD221" s="343"/>
      <c r="CE221" s="343"/>
      <c r="CF221" s="343"/>
      <c r="CG221" s="343"/>
      <c r="CH221" s="343"/>
      <c r="CI221" s="3"/>
      <c r="CJ221" s="3"/>
      <c r="CK221" s="343"/>
      <c r="CL221" s="3"/>
      <c r="CM221" s="3"/>
      <c r="CN221" s="343"/>
      <c r="CO221" s="343"/>
      <c r="CP221" s="343"/>
      <c r="CQ221" s="343"/>
      <c r="CR221" s="343"/>
      <c r="CS221" s="3"/>
      <c r="CT221" s="3"/>
      <c r="CU221" s="3"/>
      <c r="CV221" s="343"/>
      <c r="CW221" s="343"/>
      <c r="CX221" s="343"/>
      <c r="CY221" s="343"/>
      <c r="CZ221" s="343"/>
      <c r="DA221" s="343"/>
      <c r="DB221" s="343"/>
      <c r="DC221" s="343"/>
      <c r="DD221" s="343"/>
      <c r="DE221" s="343"/>
      <c r="DF221" s="343"/>
      <c r="DG221" s="343"/>
      <c r="DH221" s="343"/>
      <c r="DI221" s="343"/>
      <c r="DJ221" s="343"/>
      <c r="DK221" s="343"/>
      <c r="DL221" s="343"/>
      <c r="DM221" s="343"/>
      <c r="DN221" s="343"/>
      <c r="DO221" s="343"/>
      <c r="DP221" s="343"/>
      <c r="DQ221" s="3"/>
      <c r="DR221" s="388">
        <f t="shared" ref="DR221" si="38">SUM(M221:DQ221)</f>
        <v>-20000</v>
      </c>
      <c r="DS221" s="3">
        <f t="shared" ref="DS221" si="39">DR221-G221</f>
        <v>0</v>
      </c>
      <c r="DU221" s="334">
        <v>-20000</v>
      </c>
    </row>
    <row r="222" spans="1:125" x14ac:dyDescent="0.2">
      <c r="A222" s="251" t="s">
        <v>3067</v>
      </c>
      <c r="E222" s="202" t="s">
        <v>3069</v>
      </c>
      <c r="F222" s="33" t="s">
        <v>2661</v>
      </c>
      <c r="G222" s="206">
        <f t="shared" si="20"/>
        <v>40000</v>
      </c>
      <c r="H222" s="207"/>
      <c r="I222" s="2" t="s">
        <v>2694</v>
      </c>
      <c r="J222" s="2"/>
      <c r="K222" s="2"/>
      <c r="L222" s="2"/>
      <c r="M222" s="3"/>
      <c r="N222" s="3"/>
      <c r="O222" s="24"/>
      <c r="P222" s="3"/>
      <c r="Q222" s="3"/>
      <c r="R222" s="24"/>
      <c r="S222" s="24"/>
      <c r="T222" s="3"/>
      <c r="U222" s="3"/>
      <c r="V222" s="3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3"/>
      <c r="AJ222" s="24"/>
      <c r="AK222" s="284"/>
      <c r="AL222" s="24"/>
      <c r="AM222" s="3"/>
      <c r="AN222" s="3"/>
      <c r="AO222" s="3"/>
      <c r="AP222" s="3"/>
      <c r="AQ222" s="3"/>
      <c r="AR222" s="3"/>
      <c r="AS222" s="24"/>
      <c r="AT222" s="24"/>
      <c r="AU222" s="24"/>
      <c r="AV222" s="24"/>
      <c r="AW222" s="24"/>
      <c r="AX222" s="24"/>
      <c r="AY222" s="3"/>
      <c r="AZ222" s="24"/>
      <c r="BA222" s="24"/>
      <c r="BB222" s="24"/>
      <c r="BC222" s="24"/>
      <c r="BD222" s="24"/>
      <c r="BE222" s="24"/>
      <c r="BF222" s="24"/>
      <c r="BG222" s="24"/>
      <c r="BH222" s="343"/>
      <c r="BI222" s="343"/>
      <c r="BJ222" s="24"/>
      <c r="BK222" s="3"/>
      <c r="BL222" s="3"/>
      <c r="BM222" s="24"/>
      <c r="BN222" s="3"/>
      <c r="BO222" s="3"/>
      <c r="BP222" s="3"/>
      <c r="BQ222" s="3"/>
      <c r="BR222" s="3"/>
      <c r="BS222" s="3"/>
      <c r="BT222" s="3"/>
      <c r="BU222" s="24"/>
      <c r="BV222" s="24"/>
      <c r="BW222" s="24"/>
      <c r="BX222" s="24"/>
      <c r="BY222" s="24"/>
      <c r="BZ222" s="3"/>
      <c r="CA222" s="3">
        <f>+G222</f>
        <v>40000</v>
      </c>
      <c r="CB222" s="24"/>
      <c r="CC222" s="24"/>
      <c r="CD222" s="24"/>
      <c r="CE222" s="24"/>
      <c r="CF222" s="24"/>
      <c r="CG222" s="24"/>
      <c r="CH222" s="24"/>
      <c r="CI222" s="3"/>
      <c r="CJ222" s="3"/>
      <c r="CK222" s="24"/>
      <c r="CL222" s="3"/>
      <c r="CM222" s="3"/>
      <c r="CN222" s="24"/>
      <c r="CO222" s="24"/>
      <c r="CP222" s="24"/>
      <c r="CQ222" s="24"/>
      <c r="CR222" s="24"/>
      <c r="CS222" s="3"/>
      <c r="CT222" s="3"/>
      <c r="CU222" s="3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3"/>
      <c r="DR222" s="24">
        <f t="shared" si="23"/>
        <v>40000</v>
      </c>
      <c r="DS222" s="3">
        <f t="shared" si="24"/>
        <v>0</v>
      </c>
      <c r="DU222" s="3">
        <v>40000</v>
      </c>
    </row>
    <row r="223" spans="1:125" x14ac:dyDescent="0.2">
      <c r="A223" s="251" t="s">
        <v>3067</v>
      </c>
      <c r="E223" s="153" t="s">
        <v>2984</v>
      </c>
      <c r="F223" s="255" t="s">
        <v>2658</v>
      </c>
      <c r="G223" s="206">
        <f t="shared" si="20"/>
        <v>50000</v>
      </c>
      <c r="H223" s="207"/>
      <c r="I223" s="2" t="s">
        <v>2692</v>
      </c>
      <c r="J223" s="251"/>
      <c r="K223" s="251"/>
      <c r="L223" s="251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8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>
        <f>+G223</f>
        <v>50000</v>
      </c>
      <c r="BV223" s="3"/>
      <c r="BW223" s="3"/>
      <c r="BX223" s="3"/>
      <c r="BY223" s="3"/>
      <c r="BZ223" s="3"/>
      <c r="CA223" s="24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24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24">
        <f t="shared" si="23"/>
        <v>50000</v>
      </c>
      <c r="DS223" s="3">
        <f>DR223-G223</f>
        <v>0</v>
      </c>
      <c r="DU223" s="3">
        <v>50000</v>
      </c>
    </row>
    <row r="224" spans="1:125" x14ac:dyDescent="0.2">
      <c r="E224" s="159"/>
      <c r="F224" s="33"/>
      <c r="G224" s="171">
        <f>SUM(G97:G223)</f>
        <v>5486751.5700000003</v>
      </c>
      <c r="H224" s="207"/>
      <c r="DR224" s="24"/>
      <c r="DS224" s="3"/>
    </row>
    <row r="225" spans="1:125" x14ac:dyDescent="0.2">
      <c r="E225" s="160" t="s">
        <v>342</v>
      </c>
      <c r="F225" s="33"/>
      <c r="G225" s="171"/>
      <c r="H225" s="207"/>
      <c r="M225" s="3"/>
      <c r="N225" s="3"/>
      <c r="O225" s="24"/>
      <c r="P225" s="3"/>
      <c r="Q225" s="3"/>
      <c r="R225" s="24"/>
      <c r="S225" s="24"/>
      <c r="T225" s="3"/>
      <c r="U225" s="3"/>
      <c r="V225" s="3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3"/>
      <c r="AJ225" s="24"/>
      <c r="AK225" s="284"/>
      <c r="AL225" s="24"/>
      <c r="AM225" s="3"/>
      <c r="AN225" s="3"/>
      <c r="AO225" s="3"/>
      <c r="AP225" s="3"/>
      <c r="AQ225" s="3"/>
      <c r="AR225" s="3"/>
      <c r="AS225" s="24"/>
      <c r="AT225" s="24"/>
      <c r="AU225" s="24"/>
      <c r="AV225" s="24"/>
      <c r="AW225" s="24"/>
      <c r="AX225" s="24"/>
      <c r="AY225" s="3"/>
      <c r="AZ225" s="24"/>
      <c r="BA225" s="24"/>
      <c r="BB225" s="24"/>
      <c r="BC225" s="24"/>
      <c r="BD225" s="24"/>
      <c r="BE225" s="24"/>
      <c r="BF225" s="24"/>
      <c r="BG225" s="24"/>
      <c r="BH225" s="343"/>
      <c r="BI225" s="343"/>
      <c r="BJ225" s="24"/>
      <c r="BK225" s="3"/>
      <c r="BL225" s="3"/>
      <c r="BM225" s="24"/>
      <c r="BN225" s="3"/>
      <c r="BO225" s="3"/>
      <c r="BP225" s="3"/>
      <c r="BQ225" s="3"/>
      <c r="BR225" s="3"/>
      <c r="BS225" s="3"/>
      <c r="BT225" s="3"/>
      <c r="BU225" s="24"/>
      <c r="BV225" s="24"/>
      <c r="BW225" s="24"/>
      <c r="BX225" s="24"/>
      <c r="BY225" s="24"/>
      <c r="BZ225" s="3"/>
      <c r="CA225" s="3"/>
      <c r="CB225" s="24"/>
      <c r="CC225" s="24"/>
      <c r="CD225" s="24"/>
      <c r="CE225" s="24"/>
      <c r="CF225" s="24"/>
      <c r="CG225" s="24"/>
      <c r="CH225" s="24"/>
      <c r="CI225" s="3"/>
      <c r="CJ225" s="3"/>
      <c r="CK225" s="24"/>
      <c r="CL225" s="3"/>
      <c r="CM225" s="3"/>
      <c r="CN225" s="24"/>
      <c r="CO225" s="24"/>
      <c r="CP225" s="24"/>
      <c r="CQ225" s="24"/>
      <c r="CR225" s="24"/>
      <c r="CS225" s="3"/>
      <c r="CT225" s="3"/>
      <c r="CU225" s="3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3"/>
      <c r="DR225" s="24"/>
      <c r="DS225" s="3"/>
    </row>
    <row r="226" spans="1:125" ht="15.75" x14ac:dyDescent="0.25">
      <c r="E226" s="508" t="s">
        <v>315</v>
      </c>
      <c r="F226" s="508"/>
      <c r="G226" s="508"/>
      <c r="H226" s="207"/>
      <c r="M226" s="3"/>
      <c r="N226" s="3"/>
      <c r="O226" s="24"/>
      <c r="P226" s="3"/>
      <c r="Q226" s="3"/>
      <c r="R226" s="24"/>
      <c r="S226" s="24"/>
      <c r="T226" s="3"/>
      <c r="U226" s="3"/>
      <c r="V226" s="3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3"/>
      <c r="AJ226" s="24"/>
      <c r="AK226" s="284"/>
      <c r="AL226" s="24"/>
      <c r="AM226" s="3"/>
      <c r="AN226" s="3"/>
      <c r="AO226" s="3"/>
      <c r="AP226" s="3"/>
      <c r="AQ226" s="3"/>
      <c r="AR226" s="3"/>
      <c r="AS226" s="24"/>
      <c r="AT226" s="24"/>
      <c r="AU226" s="24"/>
      <c r="AV226" s="24"/>
      <c r="AW226" s="24"/>
      <c r="AX226" s="24"/>
      <c r="AY226" s="3"/>
      <c r="AZ226" s="24"/>
      <c r="BA226" s="24"/>
      <c r="BB226" s="24"/>
      <c r="BC226" s="24"/>
      <c r="BD226" s="24"/>
      <c r="BE226" s="24"/>
      <c r="BF226" s="24"/>
      <c r="BG226" s="24"/>
      <c r="BH226" s="343"/>
      <c r="BI226" s="343"/>
      <c r="BJ226" s="24"/>
      <c r="BK226" s="3"/>
      <c r="BL226" s="3"/>
      <c r="BM226" s="24"/>
      <c r="BN226" s="3"/>
      <c r="BO226" s="3"/>
      <c r="BP226" s="3"/>
      <c r="BQ226" s="3"/>
      <c r="BR226" s="3"/>
      <c r="BS226" s="3"/>
      <c r="BT226" s="3"/>
      <c r="BU226" s="24"/>
      <c r="BV226" s="24"/>
      <c r="BW226" s="24"/>
      <c r="BX226" s="24"/>
      <c r="BY226" s="24"/>
      <c r="BZ226" s="3"/>
      <c r="CA226" s="3"/>
      <c r="CB226" s="24"/>
      <c r="CC226" s="24"/>
      <c r="CD226" s="24"/>
      <c r="CE226" s="24"/>
      <c r="CF226" s="24"/>
      <c r="CG226" s="24"/>
      <c r="CH226" s="24"/>
      <c r="CI226" s="3"/>
      <c r="CJ226" s="3"/>
      <c r="CK226" s="24"/>
      <c r="CL226" s="3"/>
      <c r="CM226" s="3"/>
      <c r="CN226" s="24"/>
      <c r="CO226" s="24"/>
      <c r="CP226" s="24"/>
      <c r="CQ226" s="24"/>
      <c r="CR226" s="24"/>
      <c r="CS226" s="3"/>
      <c r="CT226" s="3"/>
      <c r="CU226" s="3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3"/>
      <c r="DR226" s="24"/>
      <c r="DS226" s="3"/>
    </row>
    <row r="227" spans="1:125" x14ac:dyDescent="0.2">
      <c r="E227" s="160"/>
      <c r="F227" s="33"/>
      <c r="G227" s="171"/>
      <c r="H227" s="207"/>
      <c r="M227" s="3"/>
      <c r="N227" s="3"/>
      <c r="O227" s="24"/>
      <c r="P227" s="3"/>
      <c r="Q227" s="3"/>
      <c r="R227" s="24"/>
      <c r="S227" s="24"/>
      <c r="T227" s="3"/>
      <c r="U227" s="3"/>
      <c r="V227" s="3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3"/>
      <c r="AJ227" s="24"/>
      <c r="AK227" s="284"/>
      <c r="AL227" s="24"/>
      <c r="AM227" s="3"/>
      <c r="AN227" s="3"/>
      <c r="AO227" s="3"/>
      <c r="AP227" s="3"/>
      <c r="AQ227" s="3"/>
      <c r="AR227" s="3"/>
      <c r="AS227" s="24"/>
      <c r="AT227" s="24"/>
      <c r="AU227" s="24"/>
      <c r="AV227" s="24"/>
      <c r="AW227" s="24"/>
      <c r="AX227" s="24"/>
      <c r="AY227" s="3"/>
      <c r="AZ227" s="24"/>
      <c r="BA227" s="24"/>
      <c r="BB227" s="24"/>
      <c r="BC227" s="24"/>
      <c r="BD227" s="24"/>
      <c r="BE227" s="24"/>
      <c r="BF227" s="24"/>
      <c r="BG227" s="24"/>
      <c r="BH227" s="343"/>
      <c r="BI227" s="343"/>
      <c r="BJ227" s="24"/>
      <c r="BK227" s="3"/>
      <c r="BL227" s="3"/>
      <c r="BM227" s="24"/>
      <c r="BN227" s="3"/>
      <c r="BO227" s="3"/>
      <c r="BP227" s="3"/>
      <c r="BQ227" s="3"/>
      <c r="BR227" s="3"/>
      <c r="BS227" s="3"/>
      <c r="BT227" s="3"/>
      <c r="BU227" s="24"/>
      <c r="BV227" s="24"/>
      <c r="BW227" s="24"/>
      <c r="BX227" s="24"/>
      <c r="BY227" s="24"/>
      <c r="BZ227" s="3"/>
      <c r="CA227" s="3"/>
      <c r="CB227" s="24"/>
      <c r="CC227" s="24"/>
      <c r="CD227" s="24"/>
      <c r="CE227" s="24"/>
      <c r="CF227" s="24"/>
      <c r="CG227" s="24"/>
      <c r="CH227" s="24"/>
      <c r="CI227" s="3"/>
      <c r="CJ227" s="3"/>
      <c r="CK227" s="24"/>
      <c r="CL227" s="3"/>
      <c r="CM227" s="3"/>
      <c r="CN227" s="24"/>
      <c r="CO227" s="24"/>
      <c r="CP227" s="24"/>
      <c r="CQ227" s="24"/>
      <c r="CR227" s="24"/>
      <c r="CS227" s="3"/>
      <c r="CT227" s="3"/>
      <c r="CU227" s="3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3"/>
      <c r="DR227" s="24"/>
      <c r="DS227" s="3"/>
    </row>
    <row r="228" spans="1:125" x14ac:dyDescent="0.2">
      <c r="C228" s="7" t="s">
        <v>2302</v>
      </c>
      <c r="D228" s="7" t="s">
        <v>2303</v>
      </c>
      <c r="E228" s="205" t="s">
        <v>1332</v>
      </c>
      <c r="F228" s="33" t="s">
        <v>2662</v>
      </c>
      <c r="G228" s="231">
        <f t="shared" ref="G228:G291" si="40">IF(DU228&lt;30000,DU228*1.03,+DU228)</f>
        <v>41307.96</v>
      </c>
      <c r="H228" s="207"/>
      <c r="I228" s="2" t="s">
        <v>2678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>
        <f>G228</f>
        <v>41307.96</v>
      </c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8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24">
        <f t="shared" ref="DR228:DR258" si="41">SUM(M228:DQ228)</f>
        <v>41307.96</v>
      </c>
      <c r="DS228" s="3">
        <f t="shared" ref="DS228:DS259" si="42">DR228-G228</f>
        <v>0</v>
      </c>
      <c r="DU228" s="3">
        <v>41307.96</v>
      </c>
    </row>
    <row r="229" spans="1:125" x14ac:dyDescent="0.2">
      <c r="C229" s="7" t="s">
        <v>2304</v>
      </c>
      <c r="D229" s="7" t="s">
        <v>2305</v>
      </c>
      <c r="E229" s="203" t="s">
        <v>1333</v>
      </c>
      <c r="F229" s="33" t="s">
        <v>2662</v>
      </c>
      <c r="G229" s="231">
        <f t="shared" si="40"/>
        <v>32142</v>
      </c>
      <c r="H229" s="207"/>
      <c r="I229" s="2" t="s">
        <v>2697</v>
      </c>
      <c r="J229" s="3"/>
      <c r="K229" s="3"/>
      <c r="L229" s="3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8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343"/>
      <c r="BI229" s="343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>
        <f>G229</f>
        <v>32142</v>
      </c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>
        <f t="shared" si="41"/>
        <v>32142</v>
      </c>
      <c r="DS229" s="3">
        <f t="shared" si="42"/>
        <v>0</v>
      </c>
      <c r="DU229" s="3">
        <v>32142</v>
      </c>
    </row>
    <row r="230" spans="1:125" x14ac:dyDescent="0.2">
      <c r="C230" s="7" t="s">
        <v>2781</v>
      </c>
      <c r="D230" s="7" t="s">
        <v>2548</v>
      </c>
      <c r="E230" s="205" t="s">
        <v>2761</v>
      </c>
      <c r="F230" s="33" t="s">
        <v>2662</v>
      </c>
      <c r="G230" s="231">
        <f t="shared" si="40"/>
        <v>25924.11</v>
      </c>
      <c r="H230" s="207"/>
      <c r="I230" s="342" t="s">
        <v>2678</v>
      </c>
      <c r="J230" s="3"/>
      <c r="K230" s="3"/>
      <c r="L230" s="3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>
        <f>G230</f>
        <v>25924.11</v>
      </c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8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343"/>
      <c r="BI230" s="343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>
        <f t="shared" si="41"/>
        <v>25924.11</v>
      </c>
      <c r="DS230" s="3">
        <f t="shared" si="42"/>
        <v>0</v>
      </c>
      <c r="DU230" s="3">
        <v>25169.040000000001</v>
      </c>
    </row>
    <row r="231" spans="1:125" x14ac:dyDescent="0.2">
      <c r="C231" s="7" t="s">
        <v>2306</v>
      </c>
      <c r="D231" s="7" t="s">
        <v>2307</v>
      </c>
      <c r="E231" s="205" t="s">
        <v>531</v>
      </c>
      <c r="F231" s="33" t="s">
        <v>2662</v>
      </c>
      <c r="G231" s="231">
        <f t="shared" si="40"/>
        <v>26558.55</v>
      </c>
      <c r="H231" s="207"/>
      <c r="I231" s="342" t="s">
        <v>2806</v>
      </c>
      <c r="J231" s="252"/>
      <c r="K231" s="252"/>
      <c r="L231" s="252"/>
      <c r="M231" s="24"/>
      <c r="N231" s="24"/>
      <c r="O231" s="24"/>
      <c r="P231" s="24"/>
      <c r="Q231" s="24"/>
      <c r="R231" s="24">
        <f>G231</f>
        <v>26558.55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8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343"/>
      <c r="BI231" s="343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>
        <f t="shared" si="41"/>
        <v>26558.55</v>
      </c>
      <c r="DS231" s="3">
        <f t="shared" si="42"/>
        <v>0</v>
      </c>
      <c r="DU231" s="3">
        <v>25785</v>
      </c>
    </row>
    <row r="232" spans="1:125" x14ac:dyDescent="0.2">
      <c r="A232" s="337"/>
      <c r="C232" s="7" t="s">
        <v>2308</v>
      </c>
      <c r="D232" s="7" t="s">
        <v>2309</v>
      </c>
      <c r="E232" s="202" t="s">
        <v>1289</v>
      </c>
      <c r="F232" s="33" t="s">
        <v>2662</v>
      </c>
      <c r="G232" s="231">
        <f t="shared" si="40"/>
        <v>35492.04</v>
      </c>
      <c r="H232" s="207"/>
      <c r="I232" s="2" t="s">
        <v>2702</v>
      </c>
      <c r="J232" s="2"/>
      <c r="K232" s="2"/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8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24"/>
      <c r="CO232" s="24"/>
      <c r="CP232" s="24"/>
      <c r="CQ232" s="24"/>
      <c r="CR232" s="3"/>
      <c r="CS232" s="3"/>
      <c r="CT232" s="3"/>
      <c r="CU232" s="3"/>
      <c r="CV232" s="3"/>
      <c r="CW232" s="3"/>
      <c r="CX232" s="24">
        <f>G232</f>
        <v>35492.04</v>
      </c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24">
        <f t="shared" si="41"/>
        <v>35492.04</v>
      </c>
      <c r="DS232" s="3">
        <f t="shared" si="42"/>
        <v>0</v>
      </c>
      <c r="DU232" s="3">
        <v>35492.04</v>
      </c>
    </row>
    <row r="233" spans="1:125" x14ac:dyDescent="0.2">
      <c r="A233" s="251"/>
      <c r="C233" s="7" t="s">
        <v>2314</v>
      </c>
      <c r="D233" s="7" t="s">
        <v>2315</v>
      </c>
      <c r="E233" s="222" t="s">
        <v>347</v>
      </c>
      <c r="F233" s="33" t="s">
        <v>2662</v>
      </c>
      <c r="G233" s="231">
        <f t="shared" si="40"/>
        <v>27938.79</v>
      </c>
      <c r="H233" s="207"/>
      <c r="I233" s="2" t="s">
        <v>2676</v>
      </c>
      <c r="J233" s="3"/>
      <c r="K233" s="3"/>
      <c r="L233" s="3"/>
      <c r="M233" s="24"/>
      <c r="N233" s="24"/>
      <c r="O233" s="24">
        <f>+G233</f>
        <v>27938.79</v>
      </c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8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343"/>
      <c r="BI233" s="343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>
        <f t="shared" si="41"/>
        <v>27938.79</v>
      </c>
      <c r="DS233" s="3">
        <f t="shared" si="42"/>
        <v>0</v>
      </c>
      <c r="DU233" s="3">
        <v>27125.040000000001</v>
      </c>
    </row>
    <row r="234" spans="1:125" x14ac:dyDescent="0.2">
      <c r="C234" s="7" t="s">
        <v>2316</v>
      </c>
      <c r="D234" s="7" t="s">
        <v>2317</v>
      </c>
      <c r="E234" s="202" t="s">
        <v>1205</v>
      </c>
      <c r="F234" s="33" t="s">
        <v>2662</v>
      </c>
      <c r="G234" s="231">
        <f t="shared" si="40"/>
        <v>34917</v>
      </c>
      <c r="H234" s="207"/>
      <c r="I234" s="2" t="s">
        <v>2702</v>
      </c>
      <c r="J234" s="3"/>
      <c r="M234" s="3"/>
      <c r="N234" s="3"/>
      <c r="O234" s="24"/>
      <c r="P234" s="3"/>
      <c r="Q234" s="3"/>
      <c r="R234" s="24"/>
      <c r="S234" s="24"/>
      <c r="T234" s="3"/>
      <c r="U234" s="3"/>
      <c r="V234" s="3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3"/>
      <c r="AJ234" s="24"/>
      <c r="AK234" s="284"/>
      <c r="AL234" s="24"/>
      <c r="AM234" s="3"/>
      <c r="AN234" s="3"/>
      <c r="AO234" s="3"/>
      <c r="AP234" s="3"/>
      <c r="AQ234" s="3"/>
      <c r="AR234" s="3"/>
      <c r="AS234" s="24"/>
      <c r="AT234" s="24"/>
      <c r="AU234" s="24"/>
      <c r="AV234" s="24"/>
      <c r="AW234" s="24"/>
      <c r="AX234" s="24"/>
      <c r="AY234" s="3"/>
      <c r="AZ234" s="24"/>
      <c r="BA234" s="24"/>
      <c r="BB234" s="24"/>
      <c r="BC234" s="24"/>
      <c r="BD234" s="24"/>
      <c r="BE234" s="24"/>
      <c r="BF234" s="24"/>
      <c r="BG234" s="24"/>
      <c r="BH234" s="343"/>
      <c r="BI234" s="343"/>
      <c r="BJ234" s="24"/>
      <c r="BK234" s="3"/>
      <c r="BL234" s="3"/>
      <c r="BM234" s="24"/>
      <c r="BN234" s="3"/>
      <c r="BO234" s="3"/>
      <c r="BP234" s="3"/>
      <c r="BQ234" s="3"/>
      <c r="BR234" s="3"/>
      <c r="BS234" s="3"/>
      <c r="BT234" s="3"/>
      <c r="BU234" s="24"/>
      <c r="BV234" s="24"/>
      <c r="BW234" s="24"/>
      <c r="BX234" s="24"/>
      <c r="BY234" s="24"/>
      <c r="BZ234" s="3"/>
      <c r="CA234" s="3"/>
      <c r="CB234" s="24"/>
      <c r="CC234" s="24"/>
      <c r="CD234" s="24"/>
      <c r="CE234" s="24"/>
      <c r="CF234" s="24"/>
      <c r="CG234" s="24"/>
      <c r="CH234" s="24"/>
      <c r="CI234" s="3"/>
      <c r="CJ234" s="3"/>
      <c r="CK234" s="24"/>
      <c r="CL234" s="3"/>
      <c r="CM234" s="3"/>
      <c r="CN234" s="24"/>
      <c r="CO234" s="24"/>
      <c r="CP234" s="24"/>
      <c r="CQ234" s="24"/>
      <c r="CR234" s="24"/>
      <c r="CS234" s="3"/>
      <c r="CT234" s="3"/>
      <c r="CU234" s="3"/>
      <c r="CV234" s="24"/>
      <c r="CW234" s="24"/>
      <c r="CX234" s="24">
        <f>G234</f>
        <v>34917</v>
      </c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3"/>
      <c r="DR234" s="24">
        <f t="shared" si="41"/>
        <v>34917</v>
      </c>
      <c r="DS234" s="3">
        <f t="shared" si="42"/>
        <v>0</v>
      </c>
      <c r="DU234" s="3">
        <v>34917</v>
      </c>
    </row>
    <row r="235" spans="1:125" x14ac:dyDescent="0.2">
      <c r="C235" s="7" t="s">
        <v>2809</v>
      </c>
      <c r="D235" s="7" t="s">
        <v>2810</v>
      </c>
      <c r="E235" s="203" t="s">
        <v>2808</v>
      </c>
      <c r="F235" s="33" t="s">
        <v>2662</v>
      </c>
      <c r="G235" s="231">
        <f t="shared" si="40"/>
        <v>22526.1</v>
      </c>
      <c r="H235" s="207"/>
      <c r="I235" s="2" t="s">
        <v>2697</v>
      </c>
      <c r="K235" s="2"/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8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>
        <f>+G235</f>
        <v>22526.1</v>
      </c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24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24">
        <f t="shared" si="41"/>
        <v>22526.1</v>
      </c>
      <c r="DS235" s="3">
        <f t="shared" si="42"/>
        <v>0</v>
      </c>
      <c r="DU235" s="3">
        <v>21870</v>
      </c>
    </row>
    <row r="236" spans="1:125" x14ac:dyDescent="0.2">
      <c r="C236" s="7" t="s">
        <v>2334</v>
      </c>
      <c r="D236" s="7" t="s">
        <v>2335</v>
      </c>
      <c r="E236" s="220" t="s">
        <v>2209</v>
      </c>
      <c r="F236" s="33" t="s">
        <v>2662</v>
      </c>
      <c r="G236" s="231">
        <f t="shared" si="40"/>
        <v>25075.35</v>
      </c>
      <c r="H236" s="207"/>
      <c r="I236" s="3" t="s">
        <v>2698</v>
      </c>
      <c r="J236" s="2"/>
      <c r="K236" s="2"/>
      <c r="L236" s="2"/>
      <c r="M236" s="3"/>
      <c r="N236" s="3"/>
      <c r="O236" s="24"/>
      <c r="P236" s="3"/>
      <c r="Q236" s="3"/>
      <c r="R236" s="24"/>
      <c r="S236" s="24"/>
      <c r="T236" s="3"/>
      <c r="U236" s="3"/>
      <c r="V236" s="3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3"/>
      <c r="AJ236" s="24"/>
      <c r="AK236" s="284"/>
      <c r="AL236" s="24"/>
      <c r="AM236" s="3"/>
      <c r="AN236" s="3"/>
      <c r="AO236" s="3"/>
      <c r="AP236" s="3"/>
      <c r="AQ236" s="3"/>
      <c r="AR236" s="3"/>
      <c r="AS236" s="24"/>
      <c r="AT236" s="24"/>
      <c r="AU236" s="24"/>
      <c r="AV236" s="24"/>
      <c r="AW236" s="24"/>
      <c r="AX236" s="24"/>
      <c r="AY236" s="3"/>
      <c r="AZ236" s="24"/>
      <c r="BA236" s="24"/>
      <c r="BB236" s="24"/>
      <c r="BC236" s="24"/>
      <c r="BD236" s="24"/>
      <c r="BE236" s="24"/>
      <c r="BF236" s="24"/>
      <c r="BG236" s="24"/>
      <c r="BH236" s="343"/>
      <c r="BI236" s="343"/>
      <c r="BJ236" s="24"/>
      <c r="BK236" s="3"/>
      <c r="BL236" s="3"/>
      <c r="BM236" s="24"/>
      <c r="BN236" s="3"/>
      <c r="BO236" s="3"/>
      <c r="BP236" s="3"/>
      <c r="BQ236" s="3"/>
      <c r="BR236" s="3"/>
      <c r="BS236" s="3"/>
      <c r="BT236" s="3"/>
      <c r="BU236" s="24"/>
      <c r="BV236" s="24"/>
      <c r="BW236" s="24"/>
      <c r="BX236" s="24"/>
      <c r="BY236" s="24"/>
      <c r="BZ236" s="3"/>
      <c r="CA236" s="3"/>
      <c r="CB236" s="24"/>
      <c r="CC236" s="24"/>
      <c r="CD236" s="24"/>
      <c r="CE236" s="24"/>
      <c r="CF236" s="24"/>
      <c r="CG236" s="24"/>
      <c r="CH236" s="24"/>
      <c r="CI236" s="3"/>
      <c r="CJ236" s="3"/>
      <c r="CK236" s="24">
        <f>G236</f>
        <v>25075.35</v>
      </c>
      <c r="CL236" s="3"/>
      <c r="CM236" s="3"/>
      <c r="CN236" s="24"/>
      <c r="CO236" s="24"/>
      <c r="CP236" s="24"/>
      <c r="CQ236" s="24"/>
      <c r="CR236" s="24"/>
      <c r="CS236" s="3"/>
      <c r="CT236" s="3"/>
      <c r="CU236" s="3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3"/>
      <c r="DR236" s="24">
        <f t="shared" si="41"/>
        <v>25075.35</v>
      </c>
      <c r="DS236" s="3">
        <f t="shared" si="42"/>
        <v>0</v>
      </c>
      <c r="DU236" s="3">
        <v>24345</v>
      </c>
    </row>
    <row r="237" spans="1:125" x14ac:dyDescent="0.2">
      <c r="A237" s="251"/>
      <c r="C237" s="7" t="s">
        <v>2320</v>
      </c>
      <c r="D237" s="7" t="s">
        <v>2321</v>
      </c>
      <c r="E237" s="205" t="s">
        <v>349</v>
      </c>
      <c r="F237" s="33" t="s">
        <v>2662</v>
      </c>
      <c r="G237" s="231">
        <f t="shared" si="40"/>
        <v>35480.04</v>
      </c>
      <c r="H237" s="207"/>
      <c r="I237" s="2" t="s">
        <v>3210</v>
      </c>
      <c r="J237" s="2"/>
      <c r="K237" s="2"/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24"/>
      <c r="AJ237" s="3"/>
      <c r="AK237" s="28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>
        <f>+G237</f>
        <v>35480.04</v>
      </c>
      <c r="DN237" s="3"/>
      <c r="DO237" s="3"/>
      <c r="DP237" s="3"/>
      <c r="DQ237" s="3"/>
      <c r="DR237" s="24">
        <f t="shared" si="41"/>
        <v>35480.04</v>
      </c>
      <c r="DS237" s="3">
        <f t="shared" si="42"/>
        <v>0</v>
      </c>
      <c r="DU237" s="3">
        <v>35480.04</v>
      </c>
    </row>
    <row r="238" spans="1:125" x14ac:dyDescent="0.2">
      <c r="C238" s="7" t="s">
        <v>2814</v>
      </c>
      <c r="D238" s="7" t="s">
        <v>2323</v>
      </c>
      <c r="E238" s="205" t="s">
        <v>2813</v>
      </c>
      <c r="F238" s="33" t="s">
        <v>2662</v>
      </c>
      <c r="G238" s="231">
        <f t="shared" si="40"/>
        <v>31095</v>
      </c>
      <c r="H238" s="207"/>
      <c r="I238" s="3" t="s">
        <v>2985</v>
      </c>
      <c r="J238" s="2"/>
      <c r="K238" s="2"/>
      <c r="L238" s="2"/>
      <c r="M238" s="3"/>
      <c r="N238" s="3"/>
      <c r="O238" s="24"/>
      <c r="P238" s="3"/>
      <c r="Q238" s="3"/>
      <c r="R238" s="24"/>
      <c r="S238" s="24"/>
      <c r="T238" s="3"/>
      <c r="U238" s="3"/>
      <c r="V238" s="3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3"/>
      <c r="AJ238" s="24"/>
      <c r="AK238" s="284"/>
      <c r="AL238" s="24"/>
      <c r="AM238" s="3"/>
      <c r="AN238" s="3"/>
      <c r="AO238" s="3"/>
      <c r="AP238" s="3"/>
      <c r="AQ238" s="3"/>
      <c r="AR238" s="3"/>
      <c r="AS238" s="24"/>
      <c r="AT238" s="24"/>
      <c r="AU238" s="24"/>
      <c r="AV238" s="24"/>
      <c r="AW238" s="24"/>
      <c r="AX238" s="24"/>
      <c r="AY238" s="3"/>
      <c r="AZ238" s="24"/>
      <c r="BA238" s="24"/>
      <c r="BB238" s="24"/>
      <c r="BC238" s="24"/>
      <c r="BD238" s="24"/>
      <c r="BE238" s="24"/>
      <c r="BF238" s="24"/>
      <c r="BG238" s="24"/>
      <c r="BH238" s="343"/>
      <c r="BI238" s="343"/>
      <c r="BJ238" s="24"/>
      <c r="BK238" s="3"/>
      <c r="BL238" s="3"/>
      <c r="BM238" s="24"/>
      <c r="BN238" s="3"/>
      <c r="BO238" s="3"/>
      <c r="BP238" s="3"/>
      <c r="BQ238" s="3"/>
      <c r="BR238" s="3">
        <f>+G238</f>
        <v>31095</v>
      </c>
      <c r="BS238" s="3"/>
      <c r="BT238" s="3"/>
      <c r="BU238" s="24"/>
      <c r="BV238" s="24"/>
      <c r="BW238" s="24"/>
      <c r="BX238" s="24"/>
      <c r="BY238" s="24"/>
      <c r="BZ238" s="3"/>
      <c r="CA238" s="3"/>
      <c r="CB238" s="24"/>
      <c r="CC238" s="24"/>
      <c r="CD238" s="24"/>
      <c r="CE238" s="24"/>
      <c r="CF238" s="24"/>
      <c r="CG238" s="24"/>
      <c r="CH238" s="24"/>
      <c r="CI238" s="3"/>
      <c r="CJ238" s="3"/>
      <c r="CK238" s="24"/>
      <c r="CL238" s="3"/>
      <c r="CM238" s="3"/>
      <c r="CN238" s="24"/>
      <c r="CO238" s="24"/>
      <c r="CP238" s="24"/>
      <c r="CQ238" s="24"/>
      <c r="CR238" s="24"/>
      <c r="CS238" s="3"/>
      <c r="CT238" s="3"/>
      <c r="CU238" s="3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3"/>
      <c r="DR238" s="24">
        <f t="shared" si="41"/>
        <v>31095</v>
      </c>
      <c r="DS238" s="3">
        <f t="shared" si="42"/>
        <v>0</v>
      </c>
      <c r="DU238" s="3">
        <v>31095</v>
      </c>
    </row>
    <row r="239" spans="1:125" x14ac:dyDescent="0.2">
      <c r="A239" s="251" t="s">
        <v>3067</v>
      </c>
      <c r="C239" s="7" t="s">
        <v>2882</v>
      </c>
      <c r="D239" s="7" t="s">
        <v>2883</v>
      </c>
      <c r="E239" s="274" t="s">
        <v>2801</v>
      </c>
      <c r="F239" s="33" t="s">
        <v>2662</v>
      </c>
      <c r="G239" s="231">
        <f t="shared" si="40"/>
        <v>25924.11</v>
      </c>
      <c r="H239" s="207"/>
      <c r="I239" s="7" t="s">
        <v>2971</v>
      </c>
      <c r="J239" s="3"/>
      <c r="K239" s="3"/>
      <c r="L239" s="3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8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>
        <f>G239</f>
        <v>25924.11</v>
      </c>
      <c r="BF239" s="24"/>
      <c r="BG239" s="24"/>
      <c r="BH239" s="343"/>
      <c r="BI239" s="343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>
        <f t="shared" si="41"/>
        <v>25924.11</v>
      </c>
      <c r="DS239" s="3">
        <f t="shared" si="42"/>
        <v>0</v>
      </c>
      <c r="DU239" s="3">
        <v>25169.040000000001</v>
      </c>
    </row>
    <row r="240" spans="1:125" x14ac:dyDescent="0.2">
      <c r="C240" s="7" t="s">
        <v>2318</v>
      </c>
      <c r="D240" s="7" t="s">
        <v>2367</v>
      </c>
      <c r="E240" s="203" t="s">
        <v>2219</v>
      </c>
      <c r="F240" s="33" t="s">
        <v>2662</v>
      </c>
      <c r="G240" s="231">
        <f t="shared" si="40"/>
        <v>31409.040000000001</v>
      </c>
      <c r="H240" s="207"/>
      <c r="I240" s="342" t="s">
        <v>2952</v>
      </c>
      <c r="J240" s="2"/>
      <c r="K240" s="2"/>
      <c r="L240" s="2"/>
      <c r="M240" s="3"/>
      <c r="N240" s="3"/>
      <c r="O240" s="3"/>
      <c r="P240" s="3"/>
      <c r="Q240" s="3"/>
      <c r="R240" s="24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8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>
        <f>G240</f>
        <v>31409.040000000001</v>
      </c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24">
        <f t="shared" si="41"/>
        <v>31409.040000000001</v>
      </c>
      <c r="DS240" s="3">
        <f t="shared" si="42"/>
        <v>0</v>
      </c>
      <c r="DU240" s="3">
        <v>31409.040000000001</v>
      </c>
    </row>
    <row r="241" spans="1:125" x14ac:dyDescent="0.2">
      <c r="C241" s="7" t="s">
        <v>2306</v>
      </c>
      <c r="D241" s="7" t="s">
        <v>2289</v>
      </c>
      <c r="E241" s="205" t="s">
        <v>489</v>
      </c>
      <c r="F241" s="33" t="s">
        <v>2662</v>
      </c>
      <c r="G241" s="231">
        <f t="shared" si="40"/>
        <v>26347.439999999999</v>
      </c>
      <c r="H241" s="207"/>
      <c r="I241" s="3" t="s">
        <v>2979</v>
      </c>
      <c r="J241" s="3"/>
      <c r="K241" s="3"/>
      <c r="L241" s="3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8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343"/>
      <c r="BI241" s="343"/>
      <c r="BJ241" s="24"/>
      <c r="BK241" s="24"/>
      <c r="BL241" s="24"/>
      <c r="BM241" s="24"/>
      <c r="BN241" s="24"/>
      <c r="BO241" s="24">
        <f>G241</f>
        <v>26347.439999999999</v>
      </c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>
        <f t="shared" si="41"/>
        <v>26347.439999999999</v>
      </c>
      <c r="DS241" s="3">
        <f t="shared" si="42"/>
        <v>0</v>
      </c>
      <c r="DU241" s="3">
        <v>25580.04</v>
      </c>
    </row>
    <row r="242" spans="1:125" x14ac:dyDescent="0.2">
      <c r="C242" s="7" t="s">
        <v>2324</v>
      </c>
      <c r="D242" s="7" t="s">
        <v>2325</v>
      </c>
      <c r="E242" s="205" t="s">
        <v>1350</v>
      </c>
      <c r="F242" s="33" t="s">
        <v>2662</v>
      </c>
      <c r="G242" s="231">
        <f t="shared" si="40"/>
        <v>27093.119999999999</v>
      </c>
      <c r="H242" s="207"/>
      <c r="I242" s="2" t="s">
        <v>2676</v>
      </c>
      <c r="J242" s="3"/>
      <c r="K242" s="3"/>
      <c r="L242" s="3"/>
      <c r="M242" s="24"/>
      <c r="N242" s="24"/>
      <c r="O242" s="24">
        <f>G242</f>
        <v>27093.119999999999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8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343"/>
      <c r="BI242" s="343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>
        <f t="shared" si="41"/>
        <v>27093.119999999999</v>
      </c>
      <c r="DS242" s="3">
        <f t="shared" si="42"/>
        <v>0</v>
      </c>
      <c r="DU242" s="3">
        <v>26304</v>
      </c>
    </row>
    <row r="243" spans="1:125" x14ac:dyDescent="0.2">
      <c r="C243" s="7" t="s">
        <v>2266</v>
      </c>
      <c r="D243" s="7" t="s">
        <v>2325</v>
      </c>
      <c r="E243" s="202" t="s">
        <v>1351</v>
      </c>
      <c r="F243" s="33" t="s">
        <v>2662</v>
      </c>
      <c r="G243" s="231">
        <f t="shared" si="40"/>
        <v>43366.92</v>
      </c>
      <c r="H243" s="207"/>
      <c r="I243" s="2" t="s">
        <v>2702</v>
      </c>
      <c r="J243" s="3"/>
      <c r="K243" s="3"/>
      <c r="L243" s="3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8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343"/>
      <c r="BI243" s="343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>
        <f>G243</f>
        <v>43366.92</v>
      </c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>
        <f t="shared" si="41"/>
        <v>43366.92</v>
      </c>
      <c r="DS243" s="3">
        <f t="shared" si="42"/>
        <v>0</v>
      </c>
      <c r="DU243" s="3">
        <v>43366.92</v>
      </c>
    </row>
    <row r="244" spans="1:125" x14ac:dyDescent="0.2">
      <c r="C244" s="7" t="s">
        <v>2312</v>
      </c>
      <c r="D244" s="7" t="s">
        <v>2326</v>
      </c>
      <c r="E244" s="205" t="s">
        <v>2024</v>
      </c>
      <c r="F244" s="33" t="s">
        <v>2662</v>
      </c>
      <c r="G244" s="230">
        <f t="shared" si="40"/>
        <v>57684</v>
      </c>
      <c r="H244" s="207"/>
      <c r="I244" s="2" t="s">
        <v>2676</v>
      </c>
      <c r="J244" s="3"/>
      <c r="K244" s="3"/>
      <c r="L244" s="3"/>
      <c r="M244" s="24"/>
      <c r="N244" s="24"/>
      <c r="O244" s="24">
        <f>G244</f>
        <v>57684</v>
      </c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8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343"/>
      <c r="BI244" s="343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>
        <f t="shared" si="41"/>
        <v>57684</v>
      </c>
      <c r="DS244" s="3">
        <f t="shared" si="42"/>
        <v>0</v>
      </c>
      <c r="DU244" s="3">
        <v>57684</v>
      </c>
    </row>
    <row r="245" spans="1:125" x14ac:dyDescent="0.2">
      <c r="C245" s="7" t="s">
        <v>2329</v>
      </c>
      <c r="D245" s="7" t="s">
        <v>2242</v>
      </c>
      <c r="E245" s="205" t="s">
        <v>1893</v>
      </c>
      <c r="F245" s="33" t="s">
        <v>2662</v>
      </c>
      <c r="G245" s="231">
        <f t="shared" si="40"/>
        <v>40640.04</v>
      </c>
      <c r="H245" s="207"/>
      <c r="I245" s="2" t="s">
        <v>2857</v>
      </c>
      <c r="J245" s="2" t="s">
        <v>3209</v>
      </c>
      <c r="K245" s="2"/>
      <c r="L245" s="3"/>
      <c r="M245" s="24"/>
      <c r="N245" s="24"/>
      <c r="O245" s="24"/>
      <c r="P245" s="24"/>
      <c r="Q245" s="24"/>
      <c r="R245" s="24"/>
      <c r="S245" s="24">
        <f>+G245*0.25</f>
        <v>10160.01</v>
      </c>
      <c r="T245" s="343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84"/>
      <c r="AL245" s="24"/>
      <c r="AM245" s="24"/>
      <c r="AN245" s="24"/>
      <c r="AO245" s="24"/>
      <c r="AP245" s="24"/>
      <c r="AQ245" s="24"/>
      <c r="AR245" s="24"/>
      <c r="AS245" s="24"/>
      <c r="AT245" s="24">
        <f>+G245*0.75</f>
        <v>30480.03</v>
      </c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343"/>
      <c r="BI245" s="343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>
        <v>0</v>
      </c>
      <c r="CR245" s="24">
        <v>0</v>
      </c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>
        <f t="shared" si="41"/>
        <v>40640.04</v>
      </c>
      <c r="DS245" s="3">
        <f t="shared" si="42"/>
        <v>0</v>
      </c>
      <c r="DU245" s="3">
        <v>40640.04</v>
      </c>
    </row>
    <row r="246" spans="1:125" x14ac:dyDescent="0.2">
      <c r="C246" s="7" t="s">
        <v>2241</v>
      </c>
      <c r="D246" s="7" t="s">
        <v>2242</v>
      </c>
      <c r="E246" s="148" t="s">
        <v>1187</v>
      </c>
      <c r="F246" s="33" t="s">
        <v>2662</v>
      </c>
      <c r="G246" s="231">
        <f t="shared" si="40"/>
        <v>36014.04</v>
      </c>
      <c r="H246" s="207"/>
      <c r="I246" s="2" t="s">
        <v>2692</v>
      </c>
      <c r="J246" s="251"/>
      <c r="K246" s="251"/>
      <c r="L246" s="251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8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>
        <f>G246</f>
        <v>36014.04</v>
      </c>
      <c r="BV246" s="3"/>
      <c r="BW246" s="3"/>
      <c r="BX246" s="3"/>
      <c r="BY246" s="3"/>
      <c r="BZ246" s="3"/>
      <c r="CA246" s="24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24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24">
        <f t="shared" si="41"/>
        <v>36014.04</v>
      </c>
      <c r="DS246" s="3">
        <f t="shared" si="42"/>
        <v>0</v>
      </c>
      <c r="DU246" s="3">
        <v>36014.04</v>
      </c>
    </row>
    <row r="247" spans="1:125" x14ac:dyDescent="0.2">
      <c r="C247" s="7" t="s">
        <v>2302</v>
      </c>
      <c r="D247" s="7" t="s">
        <v>2242</v>
      </c>
      <c r="E247" s="203" t="s">
        <v>1897</v>
      </c>
      <c r="F247" s="255" t="s">
        <v>2662</v>
      </c>
      <c r="G247" s="231">
        <f t="shared" si="40"/>
        <v>25289.55</v>
      </c>
      <c r="H247" s="207"/>
      <c r="I247" s="342" t="s">
        <v>2952</v>
      </c>
      <c r="J247" s="3"/>
      <c r="K247" s="3"/>
      <c r="L247" s="3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8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343"/>
      <c r="BI247" s="343"/>
      <c r="BJ247" s="24"/>
      <c r="BK247" s="24"/>
      <c r="BL247" s="24">
        <f>G247</f>
        <v>25289.55</v>
      </c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>
        <f t="shared" si="41"/>
        <v>25289.55</v>
      </c>
      <c r="DS247" s="3">
        <f t="shared" si="42"/>
        <v>0</v>
      </c>
      <c r="DU247" s="3">
        <v>24552.959999999999</v>
      </c>
    </row>
    <row r="248" spans="1:125" x14ac:dyDescent="0.2">
      <c r="C248" s="7" t="s">
        <v>2332</v>
      </c>
      <c r="D248" s="7" t="s">
        <v>2287</v>
      </c>
      <c r="E248" s="220" t="s">
        <v>1355</v>
      </c>
      <c r="F248" s="33" t="s">
        <v>2662</v>
      </c>
      <c r="G248" s="231">
        <f t="shared" si="40"/>
        <v>27729.66</v>
      </c>
      <c r="H248" s="207"/>
      <c r="I248" s="3" t="s">
        <v>2698</v>
      </c>
      <c r="J248" s="2"/>
      <c r="K248" s="2"/>
      <c r="L248" s="2"/>
      <c r="M248" s="3"/>
      <c r="N248" s="3"/>
      <c r="O248" s="24"/>
      <c r="P248" s="3"/>
      <c r="Q248" s="3"/>
      <c r="R248" s="24"/>
      <c r="S248" s="24"/>
      <c r="T248" s="3"/>
      <c r="U248" s="3"/>
      <c r="V248" s="3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3"/>
      <c r="AJ248" s="24"/>
      <c r="AK248" s="284"/>
      <c r="AL248" s="24"/>
      <c r="AM248" s="3"/>
      <c r="AN248" s="3"/>
      <c r="AO248" s="3"/>
      <c r="AP248" s="3"/>
      <c r="AQ248" s="3"/>
      <c r="AR248" s="3"/>
      <c r="AS248" s="24"/>
      <c r="AT248" s="24"/>
      <c r="AU248" s="24"/>
      <c r="AV248" s="24"/>
      <c r="AW248" s="24"/>
      <c r="AX248" s="24"/>
      <c r="AY248" s="3"/>
      <c r="AZ248" s="24"/>
      <c r="BA248" s="24"/>
      <c r="BB248" s="24"/>
      <c r="BC248" s="24"/>
      <c r="BD248" s="24"/>
      <c r="BE248" s="24"/>
      <c r="BF248" s="24"/>
      <c r="BG248" s="24"/>
      <c r="BH248" s="343"/>
      <c r="BI248" s="343"/>
      <c r="BJ248" s="24"/>
      <c r="BK248" s="3"/>
      <c r="BL248" s="3"/>
      <c r="BM248" s="24"/>
      <c r="BN248" s="3"/>
      <c r="BO248" s="3"/>
      <c r="BP248" s="3"/>
      <c r="BQ248" s="3"/>
      <c r="BR248" s="3"/>
      <c r="BS248" s="3"/>
      <c r="BT248" s="3"/>
      <c r="BU248" s="24"/>
      <c r="BV248" s="24"/>
      <c r="BW248" s="24"/>
      <c r="BX248" s="24"/>
      <c r="BY248" s="24"/>
      <c r="BZ248" s="3"/>
      <c r="CA248" s="3"/>
      <c r="CB248" s="24"/>
      <c r="CC248" s="24"/>
      <c r="CD248" s="24"/>
      <c r="CE248" s="24"/>
      <c r="CF248" s="24"/>
      <c r="CG248" s="24"/>
      <c r="CH248" s="24"/>
      <c r="CI248" s="3"/>
      <c r="CJ248" s="3"/>
      <c r="CK248" s="24">
        <f>G248</f>
        <v>27729.66</v>
      </c>
      <c r="CL248" s="3"/>
      <c r="CM248" s="3"/>
      <c r="CN248" s="24"/>
      <c r="CO248" s="24"/>
      <c r="CP248" s="24"/>
      <c r="CQ248" s="24"/>
      <c r="CR248" s="24"/>
      <c r="CS248" s="3"/>
      <c r="CT248" s="3"/>
      <c r="CU248" s="3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3"/>
      <c r="DR248" s="24">
        <f t="shared" si="41"/>
        <v>27729.66</v>
      </c>
      <c r="DS248" s="3">
        <f t="shared" si="42"/>
        <v>0</v>
      </c>
      <c r="DU248" s="3">
        <v>26922</v>
      </c>
    </row>
    <row r="249" spans="1:125" x14ac:dyDescent="0.2">
      <c r="C249" s="7" t="s">
        <v>2337</v>
      </c>
      <c r="D249" s="7" t="s">
        <v>2338</v>
      </c>
      <c r="E249" s="228" t="s">
        <v>1356</v>
      </c>
      <c r="F249" s="33" t="s">
        <v>2662</v>
      </c>
      <c r="G249" s="231">
        <f t="shared" si="40"/>
        <v>30273.72</v>
      </c>
      <c r="H249" s="207"/>
      <c r="I249" s="3" t="s">
        <v>2706</v>
      </c>
      <c r="J249" s="3"/>
      <c r="K249" s="3"/>
      <c r="L249" s="3"/>
      <c r="M249" s="24"/>
      <c r="N249" s="3"/>
      <c r="O249" s="24"/>
      <c r="P249" s="3"/>
      <c r="Q249" s="3"/>
      <c r="R249" s="24"/>
      <c r="S249" s="24"/>
      <c r="T249" s="3"/>
      <c r="U249" s="3"/>
      <c r="V249" s="3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3"/>
      <c r="AJ249" s="24"/>
      <c r="AK249" s="284"/>
      <c r="AL249" s="24"/>
      <c r="AM249" s="24"/>
      <c r="AN249" s="24"/>
      <c r="AO249" s="3"/>
      <c r="AP249" s="3"/>
      <c r="AQ249" s="3"/>
      <c r="AR249" s="3"/>
      <c r="AS249" s="24"/>
      <c r="AT249" s="24"/>
      <c r="AU249" s="24"/>
      <c r="AV249" s="24"/>
      <c r="AW249" s="24"/>
      <c r="AX249" s="24"/>
      <c r="AY249" s="3"/>
      <c r="AZ249" s="24"/>
      <c r="BA249" s="24"/>
      <c r="BB249" s="24"/>
      <c r="BC249" s="24"/>
      <c r="BD249" s="24"/>
      <c r="BE249" s="24"/>
      <c r="BF249" s="24"/>
      <c r="BG249" s="24"/>
      <c r="BH249" s="343"/>
      <c r="BI249" s="343"/>
      <c r="BJ249" s="24"/>
      <c r="BK249" s="3"/>
      <c r="BL249" s="3"/>
      <c r="BM249" s="24"/>
      <c r="BN249" s="3"/>
      <c r="BO249" s="3"/>
      <c r="BP249" s="3"/>
      <c r="BQ249" s="3"/>
      <c r="BR249" s="3"/>
      <c r="BS249" s="3"/>
      <c r="BT249" s="3"/>
      <c r="BU249" s="24"/>
      <c r="BV249" s="24"/>
      <c r="BW249" s="24"/>
      <c r="BX249" s="24"/>
      <c r="BY249" s="24"/>
      <c r="BZ249" s="3"/>
      <c r="CA249" s="3"/>
      <c r="CB249" s="24"/>
      <c r="CC249" s="24"/>
      <c r="CD249" s="24"/>
      <c r="CE249" s="24"/>
      <c r="CF249" s="24"/>
      <c r="CG249" s="24"/>
      <c r="CH249" s="24"/>
      <c r="CI249" s="3"/>
      <c r="CJ249" s="3"/>
      <c r="CK249" s="24"/>
      <c r="CL249" s="24"/>
      <c r="CM249" s="24"/>
      <c r="CN249" s="24"/>
      <c r="CO249" s="24"/>
      <c r="CP249" s="24"/>
      <c r="CQ249" s="24"/>
      <c r="CR249" s="24"/>
      <c r="CS249" s="3"/>
      <c r="CT249" s="3"/>
      <c r="CU249" s="3"/>
      <c r="CV249" s="24"/>
      <c r="CW249" s="24"/>
      <c r="CX249" s="24"/>
      <c r="CY249" s="24"/>
      <c r="CZ249" s="24"/>
      <c r="DA249" s="24"/>
      <c r="DB249" s="24"/>
      <c r="DC249" s="24"/>
      <c r="DD249" s="24">
        <f>G249</f>
        <v>30273.72</v>
      </c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>
        <f t="shared" si="41"/>
        <v>30273.72</v>
      </c>
      <c r="DS249" s="3">
        <f t="shared" si="42"/>
        <v>0</v>
      </c>
      <c r="DU249" s="3">
        <v>29391.96</v>
      </c>
    </row>
    <row r="250" spans="1:125" x14ac:dyDescent="0.2">
      <c r="C250" s="7" t="s">
        <v>2339</v>
      </c>
      <c r="D250" s="7" t="s">
        <v>2244</v>
      </c>
      <c r="E250" s="222" t="s">
        <v>1358</v>
      </c>
      <c r="F250" s="33" t="s">
        <v>2662</v>
      </c>
      <c r="G250" s="231">
        <f t="shared" si="40"/>
        <v>29851.5</v>
      </c>
      <c r="H250" s="207"/>
      <c r="I250" s="2" t="s">
        <v>2682</v>
      </c>
      <c r="J250" s="2"/>
      <c r="K250" s="2"/>
      <c r="L250" s="2"/>
      <c r="M250" s="3"/>
      <c r="N250" s="3"/>
      <c r="O250" s="24"/>
      <c r="P250" s="3"/>
      <c r="Q250" s="3"/>
      <c r="R250" s="24"/>
      <c r="S250" s="24"/>
      <c r="T250" s="3"/>
      <c r="U250" s="3"/>
      <c r="V250" s="3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>
        <f>G250</f>
        <v>29851.5</v>
      </c>
      <c r="AI250" s="3"/>
      <c r="AJ250" s="24"/>
      <c r="AK250" s="284"/>
      <c r="AL250" s="24"/>
      <c r="AM250" s="3"/>
      <c r="AN250" s="3"/>
      <c r="AO250" s="3"/>
      <c r="AP250" s="3"/>
      <c r="AQ250" s="3"/>
      <c r="AR250" s="3"/>
      <c r="AS250" s="24"/>
      <c r="AT250" s="24"/>
      <c r="AU250" s="24"/>
      <c r="AV250" s="24"/>
      <c r="AW250" s="24"/>
      <c r="AX250" s="24"/>
      <c r="AY250" s="3"/>
      <c r="AZ250" s="24"/>
      <c r="BA250" s="24"/>
      <c r="BB250" s="24"/>
      <c r="BC250" s="24"/>
      <c r="BD250" s="24"/>
      <c r="BE250" s="24"/>
      <c r="BF250" s="24"/>
      <c r="BG250" s="24"/>
      <c r="BH250" s="343"/>
      <c r="BI250" s="343"/>
      <c r="BJ250" s="24"/>
      <c r="BK250" s="3"/>
      <c r="BL250" s="3"/>
      <c r="BM250" s="24"/>
      <c r="BN250" s="3"/>
      <c r="BO250" s="3"/>
      <c r="BP250" s="3"/>
      <c r="BQ250" s="3"/>
      <c r="BR250" s="3"/>
      <c r="BS250" s="3"/>
      <c r="BT250" s="3"/>
      <c r="BU250" s="24"/>
      <c r="BV250" s="3"/>
      <c r="BW250" s="24"/>
      <c r="BX250" s="24"/>
      <c r="BY250" s="24"/>
      <c r="BZ250" s="3"/>
      <c r="CA250" s="3"/>
      <c r="CB250" s="24"/>
      <c r="CC250" s="24"/>
      <c r="CD250" s="3" t="s">
        <v>342</v>
      </c>
      <c r="CE250" s="24"/>
      <c r="CF250" s="24"/>
      <c r="CG250" s="24"/>
      <c r="CH250" s="24"/>
      <c r="CI250" s="3"/>
      <c r="CJ250" s="3"/>
      <c r="CK250" s="24"/>
      <c r="CL250" s="3"/>
      <c r="CM250" s="3"/>
      <c r="CN250" s="24"/>
      <c r="CO250" s="24"/>
      <c r="CP250" s="24"/>
      <c r="CQ250" s="24"/>
      <c r="CR250" s="24"/>
      <c r="CS250" s="3"/>
      <c r="CT250" s="3"/>
      <c r="CU250" s="3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3"/>
      <c r="DR250" s="24">
        <f t="shared" si="41"/>
        <v>29851.5</v>
      </c>
      <c r="DS250" s="3">
        <f t="shared" si="42"/>
        <v>0</v>
      </c>
      <c r="DU250" s="3">
        <v>28982.04</v>
      </c>
    </row>
    <row r="251" spans="1:125" x14ac:dyDescent="0.2">
      <c r="C251" s="7" t="s">
        <v>2340</v>
      </c>
      <c r="D251" s="7" t="s">
        <v>2244</v>
      </c>
      <c r="E251" s="202" t="s">
        <v>1359</v>
      </c>
      <c r="F251" s="33" t="s">
        <v>2662</v>
      </c>
      <c r="G251" s="231">
        <f t="shared" si="40"/>
        <v>35684.160000000003</v>
      </c>
      <c r="H251" s="207"/>
      <c r="I251" s="3" t="s">
        <v>2706</v>
      </c>
      <c r="J251" s="2"/>
      <c r="K251" s="2"/>
      <c r="L251" s="2"/>
      <c r="M251" s="3"/>
      <c r="N251" s="3"/>
      <c r="O251" s="24"/>
      <c r="P251" s="3"/>
      <c r="Q251" s="3"/>
      <c r="R251" s="24"/>
      <c r="S251" s="24"/>
      <c r="T251" s="3"/>
      <c r="U251" s="3"/>
      <c r="V251" s="3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3"/>
      <c r="AJ251" s="24"/>
      <c r="AK251" s="284"/>
      <c r="AL251" s="24"/>
      <c r="AM251" s="3"/>
      <c r="AN251" s="3"/>
      <c r="AO251" s="3"/>
      <c r="AP251" s="3"/>
      <c r="AQ251" s="3"/>
      <c r="AR251" s="3"/>
      <c r="AS251" s="24"/>
      <c r="AT251" s="24"/>
      <c r="AU251" s="24"/>
      <c r="AV251" s="24"/>
      <c r="AW251" s="24"/>
      <c r="AX251" s="24"/>
      <c r="AY251" s="3"/>
      <c r="AZ251" s="24"/>
      <c r="BA251" s="24"/>
      <c r="BB251" s="24"/>
      <c r="BC251" s="24"/>
      <c r="BD251" s="24"/>
      <c r="BE251" s="24"/>
      <c r="BF251" s="24"/>
      <c r="BG251" s="24"/>
      <c r="BH251" s="343"/>
      <c r="BI251" s="343"/>
      <c r="BJ251" s="24"/>
      <c r="BK251" s="3"/>
      <c r="BL251" s="3"/>
      <c r="BM251" s="24"/>
      <c r="BN251" s="3"/>
      <c r="BO251" s="3"/>
      <c r="BP251" s="3"/>
      <c r="BQ251" s="3"/>
      <c r="BR251" s="3"/>
      <c r="BS251" s="3"/>
      <c r="BT251" s="3"/>
      <c r="BU251" s="24"/>
      <c r="BV251" s="3"/>
      <c r="BW251" s="24"/>
      <c r="BX251" s="24"/>
      <c r="BY251" s="24"/>
      <c r="BZ251" s="3"/>
      <c r="CA251" s="3"/>
      <c r="CB251" s="24"/>
      <c r="CC251" s="24"/>
      <c r="CD251" s="3"/>
      <c r="CE251" s="24"/>
      <c r="CF251" s="24"/>
      <c r="CG251" s="24"/>
      <c r="CH251" s="24"/>
      <c r="CI251" s="3"/>
      <c r="CJ251" s="3"/>
      <c r="CK251" s="24"/>
      <c r="CL251" s="3"/>
      <c r="CM251" s="3"/>
      <c r="CN251" s="24"/>
      <c r="CO251" s="24"/>
      <c r="CP251" s="24"/>
      <c r="CQ251" s="24"/>
      <c r="CR251" s="24"/>
      <c r="CS251" s="3"/>
      <c r="CT251" s="3"/>
      <c r="CU251" s="3"/>
      <c r="CV251" s="24"/>
      <c r="CW251" s="24"/>
      <c r="CX251" s="24"/>
      <c r="CY251" s="24"/>
      <c r="CZ251" s="24"/>
      <c r="DA251" s="24"/>
      <c r="DB251" s="24"/>
      <c r="DC251" s="24"/>
      <c r="DD251" s="24">
        <f>G251</f>
        <v>35684.160000000003</v>
      </c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3"/>
      <c r="DR251" s="24">
        <f t="shared" si="41"/>
        <v>35684.160000000003</v>
      </c>
      <c r="DS251" s="3">
        <f t="shared" si="42"/>
        <v>0</v>
      </c>
      <c r="DU251" s="3">
        <v>35684.160000000003</v>
      </c>
    </row>
    <row r="252" spans="1:125" x14ac:dyDescent="0.2">
      <c r="C252" s="7" t="s">
        <v>2341</v>
      </c>
      <c r="D252" s="7" t="s">
        <v>2244</v>
      </c>
      <c r="E252" s="205" t="s">
        <v>597</v>
      </c>
      <c r="F252" s="33" t="s">
        <v>2662</v>
      </c>
      <c r="G252" s="231">
        <f t="shared" si="40"/>
        <v>27304.23</v>
      </c>
      <c r="H252" s="207"/>
      <c r="I252" s="7" t="s">
        <v>2971</v>
      </c>
      <c r="J252" s="2"/>
      <c r="K252" s="2"/>
      <c r="L252" s="2"/>
      <c r="M252" s="3"/>
      <c r="N252" s="3"/>
      <c r="O252" s="24"/>
      <c r="P252" s="3"/>
      <c r="Q252" s="3"/>
      <c r="R252" s="24"/>
      <c r="S252" s="24"/>
      <c r="T252" s="3"/>
      <c r="U252" s="3"/>
      <c r="V252" s="3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3"/>
      <c r="AJ252" s="24"/>
      <c r="AK252" s="284"/>
      <c r="AL252" s="24"/>
      <c r="AM252" s="24"/>
      <c r="AN252" s="24"/>
      <c r="AO252" s="3"/>
      <c r="AP252" s="3"/>
      <c r="AQ252" s="3"/>
      <c r="AR252" s="3"/>
      <c r="AS252" s="24"/>
      <c r="AT252" s="24"/>
      <c r="AU252" s="24"/>
      <c r="AV252" s="24"/>
      <c r="AW252" s="24"/>
      <c r="AX252" s="24"/>
      <c r="AY252" s="3"/>
      <c r="AZ252" s="24"/>
      <c r="BA252" s="24"/>
      <c r="BB252" s="24"/>
      <c r="BC252" s="24"/>
      <c r="BD252" s="24">
        <f>+G252</f>
        <v>27304.23</v>
      </c>
      <c r="BE252" s="24"/>
      <c r="BF252" s="24"/>
      <c r="BG252" s="24"/>
      <c r="BH252" s="343"/>
      <c r="BI252" s="343"/>
      <c r="BJ252" s="24"/>
      <c r="BK252" s="3"/>
      <c r="BL252" s="3"/>
      <c r="BM252" s="24"/>
      <c r="BN252" s="3"/>
      <c r="BO252" s="3"/>
      <c r="BP252" s="3"/>
      <c r="BQ252" s="3"/>
      <c r="BR252" s="3"/>
      <c r="BS252" s="3"/>
      <c r="BT252" s="3"/>
      <c r="BU252" s="24"/>
      <c r="BV252" s="24"/>
      <c r="BW252" s="24"/>
      <c r="BX252" s="24"/>
      <c r="BY252" s="24"/>
      <c r="BZ252" s="3"/>
      <c r="CA252" s="3"/>
      <c r="CB252" s="24"/>
      <c r="CC252" s="24"/>
      <c r="CD252" s="24"/>
      <c r="CE252" s="24"/>
      <c r="CF252" s="24"/>
      <c r="CG252" s="24"/>
      <c r="CH252" s="24"/>
      <c r="CI252" s="3"/>
      <c r="CJ252" s="3"/>
      <c r="CK252" s="24"/>
      <c r="CL252" s="3"/>
      <c r="CM252" s="3"/>
      <c r="CN252" s="24"/>
      <c r="CO252" s="24"/>
      <c r="CP252" s="24"/>
      <c r="CQ252" s="24"/>
      <c r="CR252" s="24"/>
      <c r="CS252" s="3"/>
      <c r="CT252" s="3"/>
      <c r="CU252" s="3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3"/>
      <c r="DR252" s="24">
        <f t="shared" si="41"/>
        <v>27304.23</v>
      </c>
      <c r="DS252" s="3">
        <f t="shared" si="42"/>
        <v>0</v>
      </c>
      <c r="DU252" s="3">
        <v>26508.959999999999</v>
      </c>
    </row>
    <row r="253" spans="1:125" x14ac:dyDescent="0.2">
      <c r="C253" s="7" t="s">
        <v>2318</v>
      </c>
      <c r="D253" s="7" t="s">
        <v>2342</v>
      </c>
      <c r="E253" s="203" t="s">
        <v>1124</v>
      </c>
      <c r="F253" s="33" t="s">
        <v>2662</v>
      </c>
      <c r="G253" s="231">
        <f t="shared" si="40"/>
        <v>31059</v>
      </c>
      <c r="H253" s="207"/>
      <c r="I253" s="342" t="s">
        <v>2686</v>
      </c>
      <c r="J253" s="251"/>
      <c r="K253" s="251"/>
      <c r="L253" s="251"/>
      <c r="M253" s="3"/>
      <c r="N253" s="3"/>
      <c r="O253" s="24"/>
      <c r="P253" s="3"/>
      <c r="Q253" s="3"/>
      <c r="R253" s="24"/>
      <c r="S253" s="24"/>
      <c r="T253" s="3"/>
      <c r="U253" s="3"/>
      <c r="V253" s="3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3"/>
      <c r="AJ253" s="24"/>
      <c r="AK253" s="284"/>
      <c r="AL253" s="24"/>
      <c r="AM253" s="3"/>
      <c r="AN253" s="3"/>
      <c r="AO253" s="3"/>
      <c r="AP253" s="3"/>
      <c r="AQ253" s="3"/>
      <c r="AR253" s="3"/>
      <c r="AS253" s="24">
        <f>+G253</f>
        <v>31059</v>
      </c>
      <c r="AT253" s="24"/>
      <c r="AU253" s="24"/>
      <c r="AV253" s="24"/>
      <c r="AW253" s="24"/>
      <c r="AX253" s="24"/>
      <c r="AY253" s="3"/>
      <c r="AZ253" s="24"/>
      <c r="BA253" s="24"/>
      <c r="BB253" s="24"/>
      <c r="BC253" s="24"/>
      <c r="BD253" s="24"/>
      <c r="BE253" s="24"/>
      <c r="BF253" s="24"/>
      <c r="BG253" s="24"/>
      <c r="BH253" s="343"/>
      <c r="BI253" s="343"/>
      <c r="BJ253" s="24"/>
      <c r="BK253" s="3"/>
      <c r="BL253" s="3"/>
      <c r="BM253" s="24"/>
      <c r="BN253" s="3"/>
      <c r="BO253" s="3"/>
      <c r="BP253" s="3"/>
      <c r="BQ253" s="3"/>
      <c r="BR253" s="3"/>
      <c r="BS253" s="3"/>
      <c r="BT253" s="3"/>
      <c r="BU253" s="24"/>
      <c r="BV253" s="24"/>
      <c r="BW253" s="24"/>
      <c r="BX253" s="24"/>
      <c r="BY253" s="24"/>
      <c r="BZ253" s="3"/>
      <c r="CA253" s="3"/>
      <c r="CB253" s="24"/>
      <c r="CC253" s="24"/>
      <c r="CD253" s="24"/>
      <c r="CE253" s="24"/>
      <c r="CF253" s="24"/>
      <c r="CG253" s="24"/>
      <c r="CH253" s="24"/>
      <c r="CI253" s="3"/>
      <c r="CJ253" s="3"/>
      <c r="CK253" s="24"/>
      <c r="CL253" s="3"/>
      <c r="CM253" s="3"/>
      <c r="CN253" s="24"/>
      <c r="CO253" s="24"/>
      <c r="CP253" s="24"/>
      <c r="CQ253" s="24"/>
      <c r="CR253" s="24"/>
      <c r="CS253" s="3"/>
      <c r="CT253" s="3"/>
      <c r="CU253" s="3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3"/>
      <c r="DR253" s="24">
        <f t="shared" si="41"/>
        <v>31059</v>
      </c>
      <c r="DS253" s="3">
        <f t="shared" si="42"/>
        <v>0</v>
      </c>
      <c r="DU253" s="3">
        <v>31059</v>
      </c>
    </row>
    <row r="254" spans="1:125" x14ac:dyDescent="0.2">
      <c r="C254" s="7" t="s">
        <v>2344</v>
      </c>
      <c r="D254" s="7" t="s">
        <v>2345</v>
      </c>
      <c r="E254" s="205" t="s">
        <v>2015</v>
      </c>
      <c r="F254" s="33" t="s">
        <v>2662</v>
      </c>
      <c r="G254" s="231">
        <f t="shared" si="40"/>
        <v>24862.14</v>
      </c>
      <c r="H254" s="207"/>
      <c r="I254" s="342" t="s">
        <v>2797</v>
      </c>
      <c r="J254" s="2"/>
      <c r="K254" s="251"/>
      <c r="L254" s="251"/>
      <c r="M254" s="3"/>
      <c r="N254" s="3"/>
      <c r="O254" s="24"/>
      <c r="P254" s="3"/>
      <c r="Q254" s="3"/>
      <c r="R254" s="24"/>
      <c r="S254" s="24"/>
      <c r="T254" s="3"/>
      <c r="U254" s="3"/>
      <c r="V254" s="3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3"/>
      <c r="AJ254" s="24"/>
      <c r="AK254" s="284"/>
      <c r="AL254" s="24"/>
      <c r="AM254" s="3"/>
      <c r="AN254" s="3"/>
      <c r="AO254" s="3"/>
      <c r="AP254" s="3"/>
      <c r="AQ254" s="3"/>
      <c r="AR254" s="3"/>
      <c r="AS254" s="24"/>
      <c r="AT254" s="24"/>
      <c r="AU254" s="24"/>
      <c r="AV254" s="24"/>
      <c r="AW254" s="24"/>
      <c r="AX254" s="24"/>
      <c r="AY254" s="3"/>
      <c r="AZ254" s="24"/>
      <c r="BA254" s="24"/>
      <c r="BB254" s="24"/>
      <c r="BC254" s="24"/>
      <c r="BD254" s="24"/>
      <c r="BE254" s="24"/>
      <c r="BF254" s="24"/>
      <c r="BG254" s="24"/>
      <c r="BH254" s="343"/>
      <c r="BI254" s="343"/>
      <c r="BJ254" s="24"/>
      <c r="BK254" s="3">
        <f>+G254</f>
        <v>24862.14</v>
      </c>
      <c r="BL254" s="3"/>
      <c r="BM254" s="24"/>
      <c r="BN254" s="3"/>
      <c r="BO254" s="3"/>
      <c r="BP254" s="3"/>
      <c r="BQ254" s="3"/>
      <c r="BR254" s="3"/>
      <c r="BS254" s="3"/>
      <c r="BT254" s="3"/>
      <c r="BU254" s="24"/>
      <c r="BV254" s="24"/>
      <c r="BW254" s="24"/>
      <c r="BX254" s="24"/>
      <c r="BY254" s="24"/>
      <c r="BZ254" s="3"/>
      <c r="CA254" s="3"/>
      <c r="CB254" s="24"/>
      <c r="CC254" s="24"/>
      <c r="CD254" s="24"/>
      <c r="CE254" s="24"/>
      <c r="CF254" s="24"/>
      <c r="CG254" s="24"/>
      <c r="CH254" s="24"/>
      <c r="CI254" s="3"/>
      <c r="CJ254" s="3"/>
      <c r="CK254" s="24"/>
      <c r="CL254" s="3"/>
      <c r="CM254" s="3"/>
      <c r="CN254" s="24"/>
      <c r="CO254" s="24"/>
      <c r="CP254" s="24"/>
      <c r="CQ254" s="24">
        <v>0</v>
      </c>
      <c r="CR254" s="24"/>
      <c r="CS254" s="3"/>
      <c r="CT254" s="3"/>
      <c r="CU254" s="3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3"/>
      <c r="DR254" s="24">
        <f t="shared" si="41"/>
        <v>24862.14</v>
      </c>
      <c r="DS254" s="3">
        <f t="shared" si="42"/>
        <v>0</v>
      </c>
      <c r="DU254" s="3">
        <v>24138</v>
      </c>
    </row>
    <row r="255" spans="1:125" x14ac:dyDescent="0.2">
      <c r="A255" s="251"/>
      <c r="C255" s="7" t="s">
        <v>2819</v>
      </c>
      <c r="D255" s="7" t="s">
        <v>2249</v>
      </c>
      <c r="E255" s="205" t="s">
        <v>2820</v>
      </c>
      <c r="F255" s="255" t="s">
        <v>2662</v>
      </c>
      <c r="G255" s="231">
        <f t="shared" si="40"/>
        <v>26877.81</v>
      </c>
      <c r="H255" s="207"/>
      <c r="I255" s="3" t="s">
        <v>2709</v>
      </c>
      <c r="J255" s="2"/>
      <c r="K255" s="251"/>
      <c r="L255" s="251"/>
      <c r="M255" s="3"/>
      <c r="N255" s="3"/>
      <c r="O255" s="24"/>
      <c r="P255" s="3"/>
      <c r="Q255" s="3"/>
      <c r="R255" s="24"/>
      <c r="S255" s="24"/>
      <c r="T255" s="3"/>
      <c r="U255" s="3"/>
      <c r="V255" s="3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3"/>
      <c r="AJ255" s="24"/>
      <c r="AK255" s="284"/>
      <c r="AL255" s="24"/>
      <c r="AM255" s="3"/>
      <c r="AN255" s="3"/>
      <c r="AO255" s="3"/>
      <c r="AP255" s="3"/>
      <c r="AQ255" s="3"/>
      <c r="AR255" s="3"/>
      <c r="AS255" s="24"/>
      <c r="AT255" s="24"/>
      <c r="AU255" s="24"/>
      <c r="AV255" s="24"/>
      <c r="AW255" s="24"/>
      <c r="AX255" s="24"/>
      <c r="AY255" s="3"/>
      <c r="AZ255" s="24"/>
      <c r="BA255" s="24"/>
      <c r="BB255" s="24"/>
      <c r="BC255" s="24"/>
      <c r="BD255" s="24"/>
      <c r="BE255" s="24"/>
      <c r="BF255" s="24"/>
      <c r="BG255" s="24"/>
      <c r="BH255" s="343"/>
      <c r="BI255" s="343"/>
      <c r="BJ255" s="24"/>
      <c r="BK255" s="3"/>
      <c r="BL255" s="3"/>
      <c r="BM255" s="24"/>
      <c r="BN255" s="3"/>
      <c r="BO255" s="3"/>
      <c r="BP255" s="3"/>
      <c r="BQ255" s="3"/>
      <c r="BR255" s="3"/>
      <c r="BS255" s="3"/>
      <c r="BT255" s="3"/>
      <c r="BU255" s="24"/>
      <c r="BV255" s="24"/>
      <c r="BW255" s="24"/>
      <c r="BX255" s="24"/>
      <c r="BY255" s="24"/>
      <c r="BZ255" s="3"/>
      <c r="CA255" s="3"/>
      <c r="CB255" s="24"/>
      <c r="CC255" s="24"/>
      <c r="CD255" s="24"/>
      <c r="CE255" s="24"/>
      <c r="CF255" s="24"/>
      <c r="CG255" s="24"/>
      <c r="CH255" s="24"/>
      <c r="CI255" s="3"/>
      <c r="CJ255" s="3"/>
      <c r="CK255" s="24"/>
      <c r="CL255" s="3"/>
      <c r="CM255" s="3"/>
      <c r="CN255" s="24"/>
      <c r="CO255" s="24"/>
      <c r="CP255" s="24"/>
      <c r="CQ255" s="24"/>
      <c r="CR255" s="24"/>
      <c r="CS255" s="3"/>
      <c r="CT255" s="3"/>
      <c r="CU255" s="3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>
        <f>+G255</f>
        <v>26877.81</v>
      </c>
      <c r="DJ255" s="24"/>
      <c r="DK255" s="24"/>
      <c r="DL255" s="24"/>
      <c r="DM255" s="24"/>
      <c r="DN255" s="24"/>
      <c r="DO255" s="24"/>
      <c r="DP255" s="24"/>
      <c r="DQ255" s="3"/>
      <c r="DR255" s="24">
        <f t="shared" si="41"/>
        <v>26877.81</v>
      </c>
      <c r="DS255" s="3">
        <f t="shared" si="42"/>
        <v>0</v>
      </c>
      <c r="DU255" s="3">
        <v>26094.959999999999</v>
      </c>
    </row>
    <row r="256" spans="1:125" x14ac:dyDescent="0.2">
      <c r="C256" s="7" t="s">
        <v>2346</v>
      </c>
      <c r="D256" s="7" t="s">
        <v>2249</v>
      </c>
      <c r="E256" s="228" t="s">
        <v>1529</v>
      </c>
      <c r="F256" s="33" t="s">
        <v>2662</v>
      </c>
      <c r="G256" s="231">
        <f t="shared" si="40"/>
        <v>27079.94</v>
      </c>
      <c r="H256" s="207"/>
      <c r="I256" s="3" t="s">
        <v>3083</v>
      </c>
      <c r="J256" s="3"/>
      <c r="K256" s="3"/>
      <c r="L256" s="3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8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343"/>
      <c r="BI256" s="343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>
        <f>G256</f>
        <v>27079.94</v>
      </c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>
        <f t="shared" si="41"/>
        <v>27079.94</v>
      </c>
      <c r="DS256" s="3">
        <f t="shared" si="42"/>
        <v>0</v>
      </c>
      <c r="DU256" s="3">
        <v>26291.200000000001</v>
      </c>
    </row>
    <row r="257" spans="1:125" x14ac:dyDescent="0.2">
      <c r="C257" s="7" t="s">
        <v>2343</v>
      </c>
      <c r="D257" s="7" t="s">
        <v>2250</v>
      </c>
      <c r="E257" s="205" t="s">
        <v>2298</v>
      </c>
      <c r="F257" s="33" t="s">
        <v>2662</v>
      </c>
      <c r="G257" s="231">
        <f t="shared" si="40"/>
        <v>26769.66</v>
      </c>
      <c r="H257" s="207"/>
      <c r="I257" s="7" t="s">
        <v>2971</v>
      </c>
      <c r="J257" s="7" t="s">
        <v>2695</v>
      </c>
      <c r="K257" s="251"/>
      <c r="L257" s="251"/>
      <c r="M257" s="3"/>
      <c r="N257" s="3"/>
      <c r="O257" s="24"/>
      <c r="P257" s="3"/>
      <c r="Q257" s="3"/>
      <c r="R257" s="24"/>
      <c r="S257" s="24"/>
      <c r="T257" s="3"/>
      <c r="U257" s="3"/>
      <c r="V257" s="3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3"/>
      <c r="AJ257" s="24"/>
      <c r="AK257" s="284"/>
      <c r="AL257" s="24"/>
      <c r="AM257" s="3"/>
      <c r="AN257" s="3"/>
      <c r="AO257" s="3"/>
      <c r="AP257" s="3"/>
      <c r="AQ257" s="3"/>
      <c r="AR257" s="3"/>
      <c r="AS257" s="24"/>
      <c r="AT257" s="24"/>
      <c r="AU257" s="24"/>
      <c r="AV257" s="24"/>
      <c r="AW257" s="24"/>
      <c r="AX257" s="24"/>
      <c r="AY257" s="3"/>
      <c r="AZ257" s="24"/>
      <c r="BA257" s="24"/>
      <c r="BB257" s="24"/>
      <c r="BC257" s="24"/>
      <c r="BD257" s="24"/>
      <c r="BE257" s="24"/>
      <c r="BF257" s="24">
        <f>G257*0.5</f>
        <v>13384.83</v>
      </c>
      <c r="BG257" s="24"/>
      <c r="BH257" s="343"/>
      <c r="BI257" s="343"/>
      <c r="BJ257" s="24"/>
      <c r="BK257" s="3"/>
      <c r="BL257" s="3"/>
      <c r="BM257" s="24"/>
      <c r="BN257" s="3"/>
      <c r="BO257" s="3"/>
      <c r="BP257" s="3"/>
      <c r="BQ257" s="3"/>
      <c r="BR257" s="3"/>
      <c r="BS257" s="3"/>
      <c r="BT257" s="3"/>
      <c r="BU257" s="24"/>
      <c r="BV257" s="24"/>
      <c r="BW257" s="24"/>
      <c r="BX257" s="24"/>
      <c r="BY257" s="24"/>
      <c r="BZ257" s="3"/>
      <c r="CA257" s="3"/>
      <c r="CB257" s="24"/>
      <c r="CC257" s="24"/>
      <c r="CD257" s="24"/>
      <c r="CE257" s="24">
        <f>G257*0.5</f>
        <v>13384.83</v>
      </c>
      <c r="CF257" s="24"/>
      <c r="CG257" s="24"/>
      <c r="CH257" s="24"/>
      <c r="CI257" s="3"/>
      <c r="CJ257" s="3"/>
      <c r="CK257" s="24"/>
      <c r="CL257" s="3"/>
      <c r="CM257" s="3"/>
      <c r="CN257" s="24"/>
      <c r="CO257" s="24"/>
      <c r="CP257" s="24"/>
      <c r="CQ257" s="24"/>
      <c r="CR257" s="24"/>
      <c r="CS257" s="3"/>
      <c r="CT257" s="3"/>
      <c r="CU257" s="3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3"/>
      <c r="DR257" s="24">
        <f t="shared" si="41"/>
        <v>26769.66</v>
      </c>
      <c r="DS257" s="3">
        <f t="shared" si="42"/>
        <v>0</v>
      </c>
      <c r="DU257" s="3">
        <v>25989.96</v>
      </c>
    </row>
    <row r="258" spans="1:125" x14ac:dyDescent="0.2">
      <c r="C258" s="7" t="s">
        <v>2347</v>
      </c>
      <c r="D258" s="7" t="s">
        <v>2253</v>
      </c>
      <c r="E258" s="205" t="s">
        <v>1531</v>
      </c>
      <c r="F258" s="33" t="s">
        <v>2662</v>
      </c>
      <c r="G258" s="231">
        <f t="shared" si="40"/>
        <v>28789.53</v>
      </c>
      <c r="H258" s="207"/>
      <c r="I258" s="7" t="s">
        <v>2971</v>
      </c>
      <c r="J258" s="7" t="s">
        <v>2695</v>
      </c>
      <c r="K258" s="2"/>
      <c r="L258" s="2"/>
      <c r="M258" s="3"/>
      <c r="N258" s="3"/>
      <c r="O258" s="24"/>
      <c r="P258" s="3"/>
      <c r="Q258" s="3"/>
      <c r="R258" s="24"/>
      <c r="S258" s="24"/>
      <c r="T258" s="3"/>
      <c r="U258" s="3"/>
      <c r="V258" s="3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3"/>
      <c r="AJ258" s="24"/>
      <c r="AK258" s="284"/>
      <c r="AL258" s="24"/>
      <c r="AM258" s="3"/>
      <c r="AN258" s="3"/>
      <c r="AO258" s="3"/>
      <c r="AP258" s="3"/>
      <c r="AQ258" s="3"/>
      <c r="AR258" s="3"/>
      <c r="AS258" s="24"/>
      <c r="AT258" s="24"/>
      <c r="AU258" s="24"/>
      <c r="AV258" s="24"/>
      <c r="AW258" s="24"/>
      <c r="AX258" s="24"/>
      <c r="AY258" s="3"/>
      <c r="AZ258" s="24"/>
      <c r="BA258" s="24"/>
      <c r="BB258" s="24"/>
      <c r="BC258" s="24"/>
      <c r="BD258" s="24"/>
      <c r="BE258" s="24">
        <f>0.5*G258</f>
        <v>14394.77</v>
      </c>
      <c r="BF258" s="24"/>
      <c r="BG258" s="24"/>
      <c r="BH258" s="343"/>
      <c r="BI258" s="343"/>
      <c r="BJ258" s="24"/>
      <c r="BK258" s="3"/>
      <c r="BL258" s="3"/>
      <c r="BM258" s="24"/>
      <c r="BN258" s="3"/>
      <c r="BO258" s="3"/>
      <c r="BP258" s="3"/>
      <c r="BQ258" s="3"/>
      <c r="BR258" s="3"/>
      <c r="BS258" s="3"/>
      <c r="BT258" s="3"/>
      <c r="BU258" s="24"/>
      <c r="BV258" s="24"/>
      <c r="BW258" s="24"/>
      <c r="BX258" s="24"/>
      <c r="BY258" s="24"/>
      <c r="BZ258" s="3"/>
      <c r="CA258" s="3"/>
      <c r="CB258" s="24"/>
      <c r="CC258" s="24"/>
      <c r="CD258" s="24"/>
      <c r="CE258" s="24"/>
      <c r="CF258" s="24">
        <f>0.5*G258</f>
        <v>14394.77</v>
      </c>
      <c r="CG258" s="24"/>
      <c r="CH258" s="24"/>
      <c r="CI258" s="3"/>
      <c r="CJ258" s="3"/>
      <c r="CK258" s="24"/>
      <c r="CL258" s="3"/>
      <c r="CM258" s="3"/>
      <c r="CN258" s="24"/>
      <c r="CO258" s="24"/>
      <c r="CP258" s="24"/>
      <c r="CQ258" s="24"/>
      <c r="CR258" s="24"/>
      <c r="CS258" s="3"/>
      <c r="CT258" s="3"/>
      <c r="CU258" s="3"/>
      <c r="CV258" s="24"/>
      <c r="CW258" s="24"/>
      <c r="CX258" s="24"/>
      <c r="CY258" s="24"/>
      <c r="CZ258" s="24"/>
      <c r="DA258" s="24"/>
      <c r="DB258" s="24"/>
      <c r="DC258" s="24"/>
      <c r="DD258" s="24" t="s">
        <v>342</v>
      </c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3"/>
      <c r="DR258" s="24">
        <f t="shared" si="41"/>
        <v>28789.54</v>
      </c>
      <c r="DS258" s="3">
        <f t="shared" si="42"/>
        <v>0.01</v>
      </c>
      <c r="DU258" s="3">
        <v>27951</v>
      </c>
    </row>
    <row r="259" spans="1:125" x14ac:dyDescent="0.2">
      <c r="A259" s="251"/>
      <c r="C259" s="7" t="s">
        <v>2821</v>
      </c>
      <c r="D259" s="7" t="s">
        <v>2253</v>
      </c>
      <c r="E259" s="205" t="s">
        <v>2822</v>
      </c>
      <c r="F259" s="255" t="s">
        <v>2662</v>
      </c>
      <c r="G259" s="231">
        <f t="shared" si="40"/>
        <v>29000.639999999999</v>
      </c>
      <c r="H259" s="207"/>
      <c r="I259" s="342" t="s">
        <v>2806</v>
      </c>
      <c r="K259" s="2"/>
      <c r="L259" s="2"/>
      <c r="M259" s="3"/>
      <c r="N259" s="3"/>
      <c r="O259" s="24"/>
      <c r="P259" s="3"/>
      <c r="Q259" s="3"/>
      <c r="R259" s="24">
        <f>+G259</f>
        <v>29000.639999999999</v>
      </c>
      <c r="S259" s="24"/>
      <c r="T259" s="3"/>
      <c r="U259" s="3"/>
      <c r="V259" s="3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3"/>
      <c r="AJ259" s="24"/>
      <c r="AK259" s="284"/>
      <c r="AL259" s="24"/>
      <c r="AM259" s="3"/>
      <c r="AN259" s="3"/>
      <c r="AO259" s="3"/>
      <c r="AP259" s="3"/>
      <c r="AQ259" s="3"/>
      <c r="AR259" s="3"/>
      <c r="AS259" s="24"/>
      <c r="AT259" s="24"/>
      <c r="AU259" s="24"/>
      <c r="AV259" s="24"/>
      <c r="AW259" s="24"/>
      <c r="AX259" s="24"/>
      <c r="AY259" s="3"/>
      <c r="AZ259" s="24"/>
      <c r="BA259" s="24"/>
      <c r="BB259" s="24"/>
      <c r="BC259" s="24"/>
      <c r="BD259" s="24"/>
      <c r="BE259" s="24"/>
      <c r="BF259" s="24"/>
      <c r="BG259" s="24"/>
      <c r="BH259" s="343"/>
      <c r="BI259" s="343"/>
      <c r="BJ259" s="24"/>
      <c r="BK259" s="3"/>
      <c r="BL259" s="3"/>
      <c r="BM259" s="24"/>
      <c r="BN259" s="3"/>
      <c r="BO259" s="3"/>
      <c r="BP259" s="3"/>
      <c r="BQ259" s="3"/>
      <c r="BR259" s="3"/>
      <c r="BS259" s="3"/>
      <c r="BT259" s="3"/>
      <c r="BU259" s="24"/>
      <c r="BV259" s="24"/>
      <c r="BW259" s="24"/>
      <c r="BX259" s="24"/>
      <c r="BY259" s="24"/>
      <c r="BZ259" s="3"/>
      <c r="CA259" s="3"/>
      <c r="CB259" s="24"/>
      <c r="CC259" s="24"/>
      <c r="CD259" s="24"/>
      <c r="CE259" s="24"/>
      <c r="CF259" s="24"/>
      <c r="CG259" s="24"/>
      <c r="CH259" s="24"/>
      <c r="CI259" s="3"/>
      <c r="CJ259" s="3"/>
      <c r="CK259" s="24"/>
      <c r="CL259" s="3"/>
      <c r="CM259" s="3"/>
      <c r="CN259" s="24"/>
      <c r="CO259" s="24"/>
      <c r="CP259" s="24"/>
      <c r="CQ259" s="24"/>
      <c r="CR259" s="24"/>
      <c r="CS259" s="3"/>
      <c r="CT259" s="3"/>
      <c r="CU259" s="3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3"/>
      <c r="DR259" s="24">
        <f t="shared" ref="DR259:DR287" si="43">SUM(M259:DQ259)</f>
        <v>29000.639999999999</v>
      </c>
      <c r="DS259" s="3">
        <f t="shared" si="42"/>
        <v>0</v>
      </c>
      <c r="DU259" s="3">
        <v>28155.96</v>
      </c>
    </row>
    <row r="260" spans="1:125" x14ac:dyDescent="0.2">
      <c r="C260" s="7" t="s">
        <v>2349</v>
      </c>
      <c r="D260" s="7" t="s">
        <v>2253</v>
      </c>
      <c r="E260" s="205" t="s">
        <v>742</v>
      </c>
      <c r="F260" s="33" t="s">
        <v>2662</v>
      </c>
      <c r="G260" s="231">
        <f t="shared" si="40"/>
        <v>35301.96</v>
      </c>
      <c r="H260" s="207"/>
      <c r="I260" s="3" t="s">
        <v>2693</v>
      </c>
      <c r="J260" s="2" t="s">
        <v>3087</v>
      </c>
      <c r="K260" s="2"/>
      <c r="L260" s="2"/>
      <c r="M260" s="3"/>
      <c r="N260" s="3"/>
      <c r="O260" s="24"/>
      <c r="P260" s="3"/>
      <c r="Q260" s="3"/>
      <c r="R260" s="24"/>
      <c r="S260" s="24"/>
      <c r="T260" s="3"/>
      <c r="U260" s="3"/>
      <c r="V260" s="3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3"/>
      <c r="AJ260" s="24"/>
      <c r="AK260" s="284"/>
      <c r="AL260" s="24"/>
      <c r="AM260" s="3"/>
      <c r="AN260" s="3"/>
      <c r="AO260" s="3"/>
      <c r="AP260" s="3"/>
      <c r="AQ260" s="3"/>
      <c r="AR260" s="3"/>
      <c r="AS260" s="24"/>
      <c r="AT260" s="24"/>
      <c r="AU260" s="24"/>
      <c r="AV260" s="24"/>
      <c r="AW260" s="24"/>
      <c r="AX260" s="24"/>
      <c r="AY260" s="3"/>
      <c r="AZ260" s="24"/>
      <c r="BA260" s="24"/>
      <c r="BB260" s="24"/>
      <c r="BC260" s="24"/>
      <c r="BD260" s="24"/>
      <c r="BE260" s="24"/>
      <c r="BF260" s="24"/>
      <c r="BG260" s="24"/>
      <c r="BH260" s="343"/>
      <c r="BI260" s="343"/>
      <c r="BJ260" s="24"/>
      <c r="BK260" s="3"/>
      <c r="BL260" s="3"/>
      <c r="BM260" s="24"/>
      <c r="BN260" s="3"/>
      <c r="BO260" s="3"/>
      <c r="BP260" s="3"/>
      <c r="BQ260" s="3"/>
      <c r="BR260" s="3"/>
      <c r="BS260" s="3"/>
      <c r="BT260" s="3"/>
      <c r="BU260" s="24"/>
      <c r="BV260" s="24">
        <f>0.5*G260</f>
        <v>17650.98</v>
      </c>
      <c r="BW260" s="24">
        <f>0.5*G260</f>
        <v>17650.98</v>
      </c>
      <c r="BX260" s="24"/>
      <c r="BY260" s="24"/>
      <c r="BZ260" s="3"/>
      <c r="CA260" s="3"/>
      <c r="CB260" s="24"/>
      <c r="CC260" s="24"/>
      <c r="CD260" s="24"/>
      <c r="CE260" s="24"/>
      <c r="CF260" s="24"/>
      <c r="CG260" s="24"/>
      <c r="CH260" s="24"/>
      <c r="CI260" s="3"/>
      <c r="CJ260" s="3"/>
      <c r="CK260" s="24"/>
      <c r="CL260" s="3"/>
      <c r="CM260" s="3"/>
      <c r="CN260" s="24"/>
      <c r="CO260" s="24"/>
      <c r="CP260" s="24"/>
      <c r="CQ260" s="24"/>
      <c r="CR260" s="24"/>
      <c r="CS260" s="3"/>
      <c r="CT260" s="3"/>
      <c r="CU260" s="3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3"/>
      <c r="DR260" s="24">
        <f t="shared" si="43"/>
        <v>35301.96</v>
      </c>
      <c r="DS260" s="3">
        <f t="shared" ref="DS260:DS291" si="44">DR260-G260</f>
        <v>0</v>
      </c>
      <c r="DU260" s="3">
        <v>35301.96</v>
      </c>
    </row>
    <row r="261" spans="1:125" x14ac:dyDescent="0.2">
      <c r="C261" s="7" t="s">
        <v>2320</v>
      </c>
      <c r="D261" s="7" t="s">
        <v>2350</v>
      </c>
      <c r="E261" s="205" t="s">
        <v>2016</v>
      </c>
      <c r="F261" s="33" t="s">
        <v>2662</v>
      </c>
      <c r="G261" s="231">
        <f t="shared" si="40"/>
        <v>24862.14</v>
      </c>
      <c r="H261" s="207"/>
      <c r="I261" s="342" t="s">
        <v>2797</v>
      </c>
      <c r="J261" s="2"/>
      <c r="K261" s="2"/>
      <c r="L261" s="2"/>
      <c r="M261" s="3"/>
      <c r="N261" s="3"/>
      <c r="O261" s="24"/>
      <c r="P261" s="3"/>
      <c r="Q261" s="3"/>
      <c r="R261" s="24"/>
      <c r="S261" s="24"/>
      <c r="T261" s="3"/>
      <c r="U261" s="3"/>
      <c r="V261" s="3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3"/>
      <c r="AJ261" s="24"/>
      <c r="AK261" s="284"/>
      <c r="AL261" s="24"/>
      <c r="AM261" s="3"/>
      <c r="AN261" s="3"/>
      <c r="AO261" s="3"/>
      <c r="AP261" s="3"/>
      <c r="AQ261" s="3"/>
      <c r="AR261" s="3"/>
      <c r="AS261" s="24"/>
      <c r="AT261" s="24"/>
      <c r="AU261" s="24"/>
      <c r="AV261" s="24"/>
      <c r="AW261" s="24"/>
      <c r="AX261" s="24"/>
      <c r="AY261" s="3"/>
      <c r="AZ261" s="24"/>
      <c r="BA261" s="24"/>
      <c r="BB261" s="24"/>
      <c r="BC261" s="24"/>
      <c r="BD261" s="24"/>
      <c r="BE261" s="24"/>
      <c r="BF261" s="24"/>
      <c r="BG261" s="24"/>
      <c r="BH261" s="343"/>
      <c r="BI261" s="343"/>
      <c r="BJ261" s="24"/>
      <c r="BK261" s="3">
        <f>+G261</f>
        <v>24862.14</v>
      </c>
      <c r="BL261" s="3"/>
      <c r="BM261" s="24"/>
      <c r="BN261" s="3"/>
      <c r="BO261" s="3"/>
      <c r="BP261" s="3"/>
      <c r="BQ261" s="3"/>
      <c r="BR261" s="3"/>
      <c r="BS261" s="3"/>
      <c r="BT261" s="3"/>
      <c r="BU261" s="24"/>
      <c r="BV261" s="24"/>
      <c r="BW261" s="24"/>
      <c r="BX261" s="24"/>
      <c r="BY261" s="24"/>
      <c r="BZ261" s="3"/>
      <c r="CA261" s="3"/>
      <c r="CB261" s="24"/>
      <c r="CC261" s="24"/>
      <c r="CD261" s="24"/>
      <c r="CE261" s="24"/>
      <c r="CF261" s="24"/>
      <c r="CG261" s="24"/>
      <c r="CH261" s="24"/>
      <c r="CI261" s="3"/>
      <c r="CJ261" s="3"/>
      <c r="CK261" s="24"/>
      <c r="CL261" s="3"/>
      <c r="CM261" s="3"/>
      <c r="CN261" s="24"/>
      <c r="CO261" s="24"/>
      <c r="CP261" s="24"/>
      <c r="CQ261" s="24">
        <v>0</v>
      </c>
      <c r="CR261" s="24"/>
      <c r="CS261" s="3"/>
      <c r="CT261" s="3"/>
      <c r="CU261" s="3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3"/>
      <c r="DR261" s="24">
        <f t="shared" si="43"/>
        <v>24862.14</v>
      </c>
      <c r="DS261" s="3">
        <f t="shared" si="44"/>
        <v>0</v>
      </c>
      <c r="DU261" s="3">
        <v>24138</v>
      </c>
    </row>
    <row r="262" spans="1:125" x14ac:dyDescent="0.2">
      <c r="C262" s="7" t="s">
        <v>2351</v>
      </c>
      <c r="D262" s="7" t="s">
        <v>2352</v>
      </c>
      <c r="E262" s="205" t="s">
        <v>2297</v>
      </c>
      <c r="F262" s="33" t="s">
        <v>2662</v>
      </c>
      <c r="G262" s="231">
        <f t="shared" si="40"/>
        <v>25289.55</v>
      </c>
      <c r="H262" s="207"/>
      <c r="I262" s="2" t="s">
        <v>2676</v>
      </c>
      <c r="J262" s="2"/>
      <c r="K262" s="2"/>
      <c r="L262" s="2"/>
      <c r="M262" s="3"/>
      <c r="N262" s="3"/>
      <c r="O262" s="24">
        <f>G262</f>
        <v>25289.55</v>
      </c>
      <c r="P262" s="3"/>
      <c r="Q262" s="3"/>
      <c r="R262" s="24"/>
      <c r="S262" s="24"/>
      <c r="T262" s="3"/>
      <c r="U262" s="3"/>
      <c r="V262" s="3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3"/>
      <c r="AJ262" s="24"/>
      <c r="AK262" s="284"/>
      <c r="AL262" s="24"/>
      <c r="AM262" s="3"/>
      <c r="AN262" s="3"/>
      <c r="AO262" s="3"/>
      <c r="AP262" s="3"/>
      <c r="AQ262" s="3"/>
      <c r="AR262" s="3"/>
      <c r="AS262" s="24"/>
      <c r="AT262" s="24"/>
      <c r="AU262" s="24"/>
      <c r="AV262" s="24"/>
      <c r="AW262" s="24"/>
      <c r="AX262" s="24"/>
      <c r="AY262" s="3"/>
      <c r="AZ262" s="24"/>
      <c r="BA262" s="24"/>
      <c r="BB262" s="24"/>
      <c r="BC262" s="24"/>
      <c r="BD262" s="24"/>
      <c r="BE262" s="24"/>
      <c r="BF262" s="24"/>
      <c r="BG262" s="24"/>
      <c r="BH262" s="343"/>
      <c r="BI262" s="343"/>
      <c r="BJ262" s="24"/>
      <c r="BK262" s="3"/>
      <c r="BL262" s="3"/>
      <c r="BM262" s="24"/>
      <c r="BN262" s="3"/>
      <c r="BO262" s="3"/>
      <c r="BP262" s="3"/>
      <c r="BQ262" s="3"/>
      <c r="BR262" s="3"/>
      <c r="BS262" s="3"/>
      <c r="BT262" s="3"/>
      <c r="BU262" s="24"/>
      <c r="BV262" s="24"/>
      <c r="BW262" s="24"/>
      <c r="BX262" s="24"/>
      <c r="BY262" s="24"/>
      <c r="BZ262" s="3"/>
      <c r="CA262" s="3"/>
      <c r="CB262" s="24"/>
      <c r="CC262" s="24"/>
      <c r="CD262" s="24"/>
      <c r="CE262" s="24"/>
      <c r="CF262" s="24"/>
      <c r="CG262" s="24"/>
      <c r="CH262" s="24"/>
      <c r="CI262" s="3"/>
      <c r="CJ262" s="3"/>
      <c r="CK262" s="24"/>
      <c r="CL262" s="3"/>
      <c r="CM262" s="3"/>
      <c r="CN262" s="24"/>
      <c r="CO262" s="24"/>
      <c r="CP262" s="24"/>
      <c r="CQ262" s="24"/>
      <c r="CR262" s="24"/>
      <c r="CS262" s="3"/>
      <c r="CT262" s="3"/>
      <c r="CU262" s="3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3"/>
      <c r="DR262" s="24">
        <f t="shared" si="43"/>
        <v>25289.55</v>
      </c>
      <c r="DS262" s="3">
        <f t="shared" si="44"/>
        <v>0</v>
      </c>
      <c r="DU262" s="3">
        <v>24552.959999999999</v>
      </c>
    </row>
    <row r="263" spans="1:125" x14ac:dyDescent="0.2">
      <c r="C263" s="7" t="s">
        <v>2353</v>
      </c>
      <c r="D263" s="7" t="s">
        <v>2354</v>
      </c>
      <c r="E263" s="203" t="s">
        <v>1450</v>
      </c>
      <c r="F263" s="33" t="s">
        <v>2662</v>
      </c>
      <c r="G263" s="231">
        <f t="shared" si="40"/>
        <v>27847.08</v>
      </c>
      <c r="H263" s="207"/>
      <c r="I263" s="3" t="s">
        <v>2700</v>
      </c>
      <c r="J263" s="2"/>
      <c r="K263" s="2"/>
      <c r="L263" s="2"/>
      <c r="M263" s="3"/>
      <c r="N263" s="3"/>
      <c r="O263" s="24"/>
      <c r="P263" s="3"/>
      <c r="Q263" s="3"/>
      <c r="R263" s="24"/>
      <c r="S263" s="24"/>
      <c r="T263" s="3"/>
      <c r="U263" s="3"/>
      <c r="V263" s="3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3"/>
      <c r="AJ263" s="24"/>
      <c r="AK263" s="284"/>
      <c r="AL263" s="24"/>
      <c r="AM263" s="3"/>
      <c r="AN263" s="3"/>
      <c r="AO263" s="3"/>
      <c r="AP263" s="3"/>
      <c r="AQ263" s="3"/>
      <c r="AR263" s="3"/>
      <c r="AS263" s="24"/>
      <c r="AT263" s="24"/>
      <c r="AU263" s="24"/>
      <c r="AV263" s="24"/>
      <c r="AW263" s="24"/>
      <c r="AX263" s="24"/>
      <c r="AY263" s="3"/>
      <c r="AZ263" s="24"/>
      <c r="BA263" s="24"/>
      <c r="BB263" s="24"/>
      <c r="BC263" s="24"/>
      <c r="BD263" s="24"/>
      <c r="BE263" s="24"/>
      <c r="BF263" s="24"/>
      <c r="BG263" s="24"/>
      <c r="BH263" s="343"/>
      <c r="BI263" s="343"/>
      <c r="BJ263" s="24"/>
      <c r="BK263" s="3"/>
      <c r="BL263" s="3"/>
      <c r="BM263" s="24"/>
      <c r="BN263" s="3"/>
      <c r="BO263" s="3"/>
      <c r="BP263" s="3"/>
      <c r="BQ263" s="3"/>
      <c r="BR263" s="3"/>
      <c r="BS263" s="3"/>
      <c r="BT263" s="3"/>
      <c r="BU263" s="24"/>
      <c r="BV263" s="24"/>
      <c r="BW263" s="24"/>
      <c r="BX263" s="24"/>
      <c r="BY263" s="24"/>
      <c r="BZ263" s="3"/>
      <c r="CA263" s="3"/>
      <c r="CB263" s="24"/>
      <c r="CC263" s="24"/>
      <c r="CD263" s="24"/>
      <c r="CE263" s="24"/>
      <c r="CF263" s="24"/>
      <c r="CG263" s="24"/>
      <c r="CH263" s="24"/>
      <c r="CI263" s="3"/>
      <c r="CJ263" s="3"/>
      <c r="CK263" s="24"/>
      <c r="CL263" s="3"/>
      <c r="CM263" s="3"/>
      <c r="CN263" s="24"/>
      <c r="CO263" s="24"/>
      <c r="CP263" s="24">
        <f>+G263</f>
        <v>27847.08</v>
      </c>
      <c r="CQ263" s="24"/>
      <c r="CR263" s="24"/>
      <c r="CS263" s="3"/>
      <c r="CT263" s="3"/>
      <c r="CU263" s="3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3"/>
      <c r="DR263" s="24">
        <f t="shared" si="43"/>
        <v>27847.08</v>
      </c>
      <c r="DS263" s="3">
        <f t="shared" si="44"/>
        <v>0</v>
      </c>
      <c r="DU263" s="3">
        <v>27036</v>
      </c>
    </row>
    <row r="264" spans="1:125" x14ac:dyDescent="0.2">
      <c r="C264" s="7" t="s">
        <v>2355</v>
      </c>
      <c r="D264" s="7" t="s">
        <v>2356</v>
      </c>
      <c r="E264" s="205" t="s">
        <v>1533</v>
      </c>
      <c r="F264" s="33" t="s">
        <v>2662</v>
      </c>
      <c r="G264" s="231">
        <f t="shared" si="40"/>
        <v>42811.68</v>
      </c>
      <c r="H264" s="207"/>
      <c r="I264" s="7" t="s">
        <v>2971</v>
      </c>
      <c r="J264" s="2"/>
      <c r="K264" s="2"/>
      <c r="L264" s="2"/>
      <c r="M264" s="24"/>
      <c r="N264" s="3"/>
      <c r="O264" s="24"/>
      <c r="P264" s="3"/>
      <c r="Q264" s="3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3"/>
      <c r="AJ264" s="24"/>
      <c r="AK264" s="284"/>
      <c r="AL264" s="24"/>
      <c r="AM264" s="24"/>
      <c r="AN264" s="24"/>
      <c r="AO264" s="3"/>
      <c r="AP264" s="3"/>
      <c r="AQ264" s="3"/>
      <c r="AR264" s="3"/>
      <c r="AS264" s="24"/>
      <c r="AT264" s="24"/>
      <c r="AU264" s="24"/>
      <c r="AV264" s="24"/>
      <c r="AW264" s="24"/>
      <c r="AX264" s="24"/>
      <c r="AY264" s="3"/>
      <c r="AZ264" s="24"/>
      <c r="BA264" s="24"/>
      <c r="BB264" s="24"/>
      <c r="BC264" s="24"/>
      <c r="BD264" s="24"/>
      <c r="BE264" s="24">
        <f>G264</f>
        <v>42811.68</v>
      </c>
      <c r="BF264" s="24"/>
      <c r="BG264" s="24"/>
      <c r="BH264" s="343"/>
      <c r="BI264" s="343"/>
      <c r="BJ264" s="24"/>
      <c r="BK264" s="3"/>
      <c r="BL264" s="3"/>
      <c r="BM264" s="24"/>
      <c r="BN264" s="3"/>
      <c r="BO264" s="3"/>
      <c r="BP264" s="3"/>
      <c r="BQ264" s="3"/>
      <c r="BR264" s="3"/>
      <c r="BS264" s="24"/>
      <c r="BT264" s="24"/>
      <c r="BU264" s="24"/>
      <c r="BV264" s="24"/>
      <c r="BW264" s="24"/>
      <c r="BX264" s="24"/>
      <c r="BY264" s="24"/>
      <c r="BZ264" s="3"/>
      <c r="CA264" s="3"/>
      <c r="CB264" s="24"/>
      <c r="CC264" s="24"/>
      <c r="CD264" s="24"/>
      <c r="CE264" s="24"/>
      <c r="CF264" s="24"/>
      <c r="CG264" s="24"/>
      <c r="CH264" s="24"/>
      <c r="CI264" s="3"/>
      <c r="CJ264" s="3"/>
      <c r="CK264" s="24"/>
      <c r="CL264" s="24"/>
      <c r="CM264" s="24"/>
      <c r="CN264" s="24"/>
      <c r="CO264" s="24"/>
      <c r="CP264" s="24"/>
      <c r="CQ264" s="24"/>
      <c r="CR264" s="24"/>
      <c r="CS264" s="3"/>
      <c r="CT264" s="3"/>
      <c r="CU264" s="3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>
        <f t="shared" si="43"/>
        <v>42811.68</v>
      </c>
      <c r="DS264" s="3">
        <f t="shared" si="44"/>
        <v>0</v>
      </c>
      <c r="DU264" s="3">
        <v>42811.68</v>
      </c>
    </row>
    <row r="265" spans="1:125" x14ac:dyDescent="0.2">
      <c r="C265" s="7" t="s">
        <v>2357</v>
      </c>
      <c r="D265" s="7" t="s">
        <v>2358</v>
      </c>
      <c r="E265" s="205" t="s">
        <v>743</v>
      </c>
      <c r="F265" s="33" t="s">
        <v>2662</v>
      </c>
      <c r="G265" s="231">
        <f t="shared" si="40"/>
        <v>25498.68</v>
      </c>
      <c r="H265" s="207"/>
      <c r="I265" s="342" t="s">
        <v>2806</v>
      </c>
      <c r="J265" s="2"/>
      <c r="K265" s="2"/>
      <c r="L265" s="2"/>
      <c r="M265" s="24"/>
      <c r="N265" s="3"/>
      <c r="O265" s="24"/>
      <c r="P265" s="3"/>
      <c r="Q265" s="3"/>
      <c r="R265" s="24">
        <f>G265</f>
        <v>25498.68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3"/>
      <c r="AJ265" s="24"/>
      <c r="AK265" s="284"/>
      <c r="AL265" s="24"/>
      <c r="AM265" s="24"/>
      <c r="AN265" s="24"/>
      <c r="AO265" s="3"/>
      <c r="AP265" s="3"/>
      <c r="AQ265" s="3"/>
      <c r="AR265" s="3"/>
      <c r="AS265" s="24"/>
      <c r="AT265" s="24"/>
      <c r="AU265" s="24"/>
      <c r="AV265" s="24"/>
      <c r="AW265" s="24"/>
      <c r="AX265" s="24"/>
      <c r="AY265" s="3"/>
      <c r="AZ265" s="24"/>
      <c r="BA265" s="24"/>
      <c r="BB265" s="24"/>
      <c r="BC265" s="24"/>
      <c r="BD265" s="24"/>
      <c r="BE265" s="24"/>
      <c r="BF265" s="24"/>
      <c r="BG265" s="24"/>
      <c r="BH265" s="343"/>
      <c r="BI265" s="343"/>
      <c r="BJ265" s="24"/>
      <c r="BK265" s="3"/>
      <c r="BL265" s="3"/>
      <c r="BM265" s="24"/>
      <c r="BN265" s="3"/>
      <c r="BO265" s="3"/>
      <c r="BP265" s="3"/>
      <c r="BQ265" s="3"/>
      <c r="BR265" s="3"/>
      <c r="BS265" s="24"/>
      <c r="BT265" s="24"/>
      <c r="BU265" s="24"/>
      <c r="BV265" s="24"/>
      <c r="BW265" s="24"/>
      <c r="BX265" s="24"/>
      <c r="BY265" s="24"/>
      <c r="BZ265" s="3"/>
      <c r="CA265" s="3"/>
      <c r="CB265" s="24"/>
      <c r="CC265" s="24"/>
      <c r="CD265" s="24"/>
      <c r="CE265" s="24"/>
      <c r="CF265" s="24"/>
      <c r="CG265" s="24"/>
      <c r="CH265" s="24"/>
      <c r="CI265" s="3"/>
      <c r="CJ265" s="3"/>
      <c r="CK265" s="24"/>
      <c r="CL265" s="24"/>
      <c r="CM265" s="24"/>
      <c r="CN265" s="24"/>
      <c r="CO265" s="24"/>
      <c r="CP265" s="24"/>
      <c r="CQ265" s="24"/>
      <c r="CR265" s="24"/>
      <c r="CS265" s="3"/>
      <c r="CT265" s="3"/>
      <c r="CU265" s="3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>
        <f t="shared" si="43"/>
        <v>25498.68</v>
      </c>
      <c r="DS265" s="3">
        <f t="shared" si="44"/>
        <v>0</v>
      </c>
      <c r="DU265" s="3">
        <v>24756</v>
      </c>
    </row>
    <row r="266" spans="1:125" x14ac:dyDescent="0.2">
      <c r="C266" s="7" t="s">
        <v>2359</v>
      </c>
      <c r="D266" s="7" t="s">
        <v>2257</v>
      </c>
      <c r="E266" s="202" t="s">
        <v>1537</v>
      </c>
      <c r="F266" s="33" t="s">
        <v>2662</v>
      </c>
      <c r="G266" s="231">
        <f t="shared" si="40"/>
        <v>27938.77</v>
      </c>
      <c r="H266" s="207"/>
      <c r="I266" s="2" t="s">
        <v>2676</v>
      </c>
      <c r="J266" s="2" t="s">
        <v>2776</v>
      </c>
      <c r="K266" s="2"/>
      <c r="L266" s="2"/>
      <c r="M266" s="3"/>
      <c r="N266" s="3"/>
      <c r="O266" s="24">
        <f>G266*0.5</f>
        <v>13969.39</v>
      </c>
      <c r="P266" s="24">
        <f>G266*0.5</f>
        <v>13969.39</v>
      </c>
      <c r="Q266" s="3"/>
      <c r="R266" s="24"/>
      <c r="S266" s="24"/>
      <c r="T266" s="3"/>
      <c r="U266" s="3"/>
      <c r="V266" s="3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3"/>
      <c r="AJ266" s="24"/>
      <c r="AK266" s="284"/>
      <c r="AL266" s="24"/>
      <c r="AM266" s="3"/>
      <c r="AN266" s="3"/>
      <c r="AO266" s="3"/>
      <c r="AP266" s="3"/>
      <c r="AQ266" s="3"/>
      <c r="AR266" s="3"/>
      <c r="AS266" s="24"/>
      <c r="AT266" s="24"/>
      <c r="AU266" s="24"/>
      <c r="AV266" s="24"/>
      <c r="AW266" s="24"/>
      <c r="AX266" s="24"/>
      <c r="AY266" s="3"/>
      <c r="AZ266" s="24"/>
      <c r="BA266" s="24"/>
      <c r="BB266" s="24"/>
      <c r="BC266" s="24"/>
      <c r="BD266" s="24"/>
      <c r="BE266" s="24"/>
      <c r="BF266" s="24"/>
      <c r="BG266" s="24"/>
      <c r="BH266" s="343"/>
      <c r="BI266" s="343"/>
      <c r="BJ266" s="24"/>
      <c r="BK266" s="3"/>
      <c r="BL266" s="3"/>
      <c r="BM266" s="24"/>
      <c r="BN266" s="3"/>
      <c r="BO266" s="3"/>
      <c r="BP266" s="3"/>
      <c r="BQ266" s="3"/>
      <c r="BR266" s="3"/>
      <c r="BS266" s="3"/>
      <c r="BT266" s="3"/>
      <c r="BU266" s="24"/>
      <c r="BV266" s="24"/>
      <c r="BW266" s="24"/>
      <c r="BX266" s="24"/>
      <c r="BY266" s="24"/>
      <c r="BZ266" s="3"/>
      <c r="CA266" s="3"/>
      <c r="CB266" s="24"/>
      <c r="CC266" s="24"/>
      <c r="CD266" s="24"/>
      <c r="CE266" s="24"/>
      <c r="CF266" s="24"/>
      <c r="CG266" s="24"/>
      <c r="CH266" s="24"/>
      <c r="CI266" s="3"/>
      <c r="CJ266" s="3"/>
      <c r="CK266" s="24"/>
      <c r="CL266" s="3"/>
      <c r="CM266" s="3"/>
      <c r="CN266" s="24"/>
      <c r="CO266" s="24"/>
      <c r="CP266" s="24"/>
      <c r="CQ266" s="24"/>
      <c r="CR266" s="24"/>
      <c r="CS266" s="3"/>
      <c r="CT266" s="3"/>
      <c r="CU266" s="3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3"/>
      <c r="DR266" s="24">
        <f t="shared" si="43"/>
        <v>27938.78</v>
      </c>
      <c r="DS266" s="3">
        <f t="shared" si="44"/>
        <v>0.01</v>
      </c>
      <c r="DU266" s="3">
        <v>27125.02</v>
      </c>
    </row>
    <row r="267" spans="1:125" x14ac:dyDescent="0.2">
      <c r="C267" s="7" t="s">
        <v>2372</v>
      </c>
      <c r="D267" s="7" t="s">
        <v>2439</v>
      </c>
      <c r="E267" s="205" t="s">
        <v>2989</v>
      </c>
      <c r="F267" s="33" t="s">
        <v>2662</v>
      </c>
      <c r="G267" s="231">
        <f t="shared" si="40"/>
        <v>35301.96</v>
      </c>
      <c r="H267" s="207"/>
      <c r="I267" s="3" t="s">
        <v>2699</v>
      </c>
      <c r="J267" s="2" t="s">
        <v>3079</v>
      </c>
      <c r="K267" s="2"/>
      <c r="L267" s="2"/>
      <c r="M267" s="3"/>
      <c r="N267" s="3"/>
      <c r="O267" s="24"/>
      <c r="P267" s="3"/>
      <c r="Q267" s="3"/>
      <c r="R267" s="24"/>
      <c r="S267" s="24"/>
      <c r="T267" s="3"/>
      <c r="U267" s="3"/>
      <c r="V267" s="3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3"/>
      <c r="AJ267" s="24"/>
      <c r="AK267" s="284"/>
      <c r="AL267" s="24"/>
      <c r="AM267" s="3"/>
      <c r="AN267" s="3">
        <f>G267*0.2</f>
        <v>7060.39</v>
      </c>
      <c r="AO267" s="3"/>
      <c r="AP267" s="3"/>
      <c r="AQ267" s="3"/>
      <c r="AR267" s="3"/>
      <c r="AS267" s="24"/>
      <c r="AT267" s="24"/>
      <c r="AU267" s="24"/>
      <c r="AV267" s="24"/>
      <c r="AW267" s="24"/>
      <c r="AX267" s="24"/>
      <c r="AY267" s="3"/>
      <c r="AZ267" s="24"/>
      <c r="BA267" s="24"/>
      <c r="BB267" s="24"/>
      <c r="BC267" s="24"/>
      <c r="BD267" s="24"/>
      <c r="BE267" s="24"/>
      <c r="BF267" s="24"/>
      <c r="BG267" s="24"/>
      <c r="BH267" s="343"/>
      <c r="BI267" s="343"/>
      <c r="BJ267" s="24"/>
      <c r="BK267" s="3"/>
      <c r="BL267" s="3"/>
      <c r="BM267" s="24"/>
      <c r="BN267" s="3"/>
      <c r="BO267" s="3"/>
      <c r="BP267" s="3"/>
      <c r="BQ267" s="3"/>
      <c r="BR267" s="3"/>
      <c r="BS267" s="3"/>
      <c r="BT267" s="3"/>
      <c r="BU267" s="24"/>
      <c r="BV267" s="24"/>
      <c r="BW267" s="24"/>
      <c r="BX267" s="24"/>
      <c r="BY267" s="24"/>
      <c r="BZ267" s="3"/>
      <c r="CA267" s="3"/>
      <c r="CB267" s="24"/>
      <c r="CC267" s="24"/>
      <c r="CD267" s="24"/>
      <c r="CE267" s="24"/>
      <c r="CF267" s="24"/>
      <c r="CG267" s="24"/>
      <c r="CH267" s="24"/>
      <c r="CI267" s="3"/>
      <c r="CJ267" s="3"/>
      <c r="CK267" s="24"/>
      <c r="CL267" s="3"/>
      <c r="CM267" s="3"/>
      <c r="CN267" s="24">
        <f>G267*0.8</f>
        <v>28241.57</v>
      </c>
      <c r="CO267" s="24"/>
      <c r="CP267" s="24"/>
      <c r="CQ267" s="24"/>
      <c r="CR267" s="24"/>
      <c r="CS267" s="3"/>
      <c r="CT267" s="3"/>
      <c r="CU267" s="3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3"/>
      <c r="DR267" s="24">
        <f t="shared" si="43"/>
        <v>35301.96</v>
      </c>
      <c r="DS267" s="3">
        <f t="shared" si="44"/>
        <v>0</v>
      </c>
      <c r="DU267" s="3">
        <v>35301.96</v>
      </c>
    </row>
    <row r="268" spans="1:125" x14ac:dyDescent="0.2">
      <c r="C268" s="7" t="s">
        <v>2320</v>
      </c>
      <c r="D268" s="7" t="s">
        <v>2263</v>
      </c>
      <c r="E268" s="205" t="s">
        <v>1541</v>
      </c>
      <c r="F268" s="33" t="s">
        <v>2662</v>
      </c>
      <c r="G268" s="231">
        <f t="shared" si="40"/>
        <v>26769.66</v>
      </c>
      <c r="H268" s="207"/>
      <c r="I268" s="2" t="s">
        <v>2676</v>
      </c>
      <c r="J268" s="2"/>
      <c r="K268" s="2"/>
      <c r="L268" s="2"/>
      <c r="M268" s="3"/>
      <c r="N268" s="3"/>
      <c r="O268" s="24">
        <f>G268</f>
        <v>26769.66</v>
      </c>
      <c r="P268" s="3"/>
      <c r="Q268" s="3"/>
      <c r="R268" s="24"/>
      <c r="S268" s="24"/>
      <c r="T268" s="3"/>
      <c r="U268" s="3"/>
      <c r="V268" s="3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3"/>
      <c r="AJ268" s="24"/>
      <c r="AK268" s="284"/>
      <c r="AL268" s="24"/>
      <c r="AM268" s="3"/>
      <c r="AN268" s="3"/>
      <c r="AO268" s="3"/>
      <c r="AP268" s="3"/>
      <c r="AQ268" s="3"/>
      <c r="AR268" s="3"/>
      <c r="AS268" s="24"/>
      <c r="AT268" s="24"/>
      <c r="AU268" s="24"/>
      <c r="AV268" s="24"/>
      <c r="AW268" s="24"/>
      <c r="AX268" s="24"/>
      <c r="AY268" s="3"/>
      <c r="AZ268" s="24"/>
      <c r="BA268" s="24"/>
      <c r="BB268" s="24"/>
      <c r="BC268" s="24"/>
      <c r="BD268" s="24"/>
      <c r="BE268" s="24"/>
      <c r="BF268" s="24"/>
      <c r="BG268" s="24"/>
      <c r="BH268" s="343"/>
      <c r="BI268" s="343"/>
      <c r="BJ268" s="24"/>
      <c r="BK268" s="3"/>
      <c r="BL268" s="3"/>
      <c r="BM268" s="24"/>
      <c r="BN268" s="3"/>
      <c r="BO268" s="3"/>
      <c r="BP268" s="3"/>
      <c r="BQ268" s="3"/>
      <c r="BR268" s="3"/>
      <c r="BS268" s="3"/>
      <c r="BT268" s="3"/>
      <c r="BU268" s="24"/>
      <c r="BV268" s="24"/>
      <c r="BW268" s="24"/>
      <c r="BX268" s="24"/>
      <c r="BY268" s="24"/>
      <c r="BZ268" s="3"/>
      <c r="CA268" s="3"/>
      <c r="CB268" s="24"/>
      <c r="CC268" s="24"/>
      <c r="CD268" s="24"/>
      <c r="CE268" s="24"/>
      <c r="CF268" s="24"/>
      <c r="CG268" s="24"/>
      <c r="CH268" s="24"/>
      <c r="CI268" s="3"/>
      <c r="CJ268" s="3"/>
      <c r="CK268" s="24"/>
      <c r="CL268" s="3"/>
      <c r="CM268" s="3"/>
      <c r="CN268" s="24"/>
      <c r="CO268" s="24"/>
      <c r="CP268" s="24"/>
      <c r="CQ268" s="24"/>
      <c r="CR268" s="24"/>
      <c r="CS268" s="3"/>
      <c r="CT268" s="3"/>
      <c r="CU268" s="3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3"/>
      <c r="DR268" s="24">
        <f t="shared" si="43"/>
        <v>26769.66</v>
      </c>
      <c r="DS268" s="3">
        <f t="shared" si="44"/>
        <v>0</v>
      </c>
      <c r="DU268" s="3">
        <v>25989.96</v>
      </c>
    </row>
    <row r="269" spans="1:125" x14ac:dyDescent="0.2">
      <c r="C269" s="7" t="s">
        <v>2360</v>
      </c>
      <c r="D269" s="7" t="s">
        <v>2263</v>
      </c>
      <c r="E269" s="203" t="s">
        <v>1012</v>
      </c>
      <c r="F269" s="33" t="s">
        <v>2662</v>
      </c>
      <c r="G269" s="231">
        <f t="shared" si="40"/>
        <v>30062.61</v>
      </c>
      <c r="H269" s="207"/>
      <c r="I269" s="3" t="s">
        <v>2681</v>
      </c>
      <c r="J269" s="2"/>
      <c r="K269" s="2"/>
      <c r="L269" s="2"/>
      <c r="M269" s="3"/>
      <c r="N269" s="3"/>
      <c r="O269" s="24"/>
      <c r="P269" s="3"/>
      <c r="Q269" s="3"/>
      <c r="R269" s="24"/>
      <c r="S269" s="24"/>
      <c r="T269" s="3"/>
      <c r="U269" s="3"/>
      <c r="V269" s="3"/>
      <c r="W269" s="24"/>
      <c r="X269" s="24"/>
      <c r="Y269" s="24"/>
      <c r="Z269" s="24"/>
      <c r="AA269" s="24"/>
      <c r="AB269" s="24"/>
      <c r="AC269" s="24"/>
      <c r="AD269" s="24"/>
      <c r="AE269" s="24"/>
      <c r="AF269" s="24">
        <f>0.97*G269</f>
        <v>29160.73</v>
      </c>
      <c r="AG269" s="24"/>
      <c r="AH269" s="24"/>
      <c r="AI269" s="3"/>
      <c r="AJ269" s="24"/>
      <c r="AK269" s="284"/>
      <c r="AL269" s="24"/>
      <c r="AM269" s="3"/>
      <c r="AN269" s="3"/>
      <c r="AO269" s="3"/>
      <c r="AP269" s="3"/>
      <c r="AQ269" s="3"/>
      <c r="AR269" s="3"/>
      <c r="AS269" s="24"/>
      <c r="AT269" s="24"/>
      <c r="AU269" s="24"/>
      <c r="AV269" s="24"/>
      <c r="AW269" s="24"/>
      <c r="AX269" s="24"/>
      <c r="AY269" s="3"/>
      <c r="AZ269" s="24"/>
      <c r="BA269" s="24"/>
      <c r="BB269" s="24"/>
      <c r="BC269" s="24"/>
      <c r="BD269" s="24"/>
      <c r="BE269" s="24"/>
      <c r="BF269" s="24"/>
      <c r="BG269" s="24"/>
      <c r="BH269" s="343"/>
      <c r="BI269" s="343"/>
      <c r="BJ269" s="24"/>
      <c r="BK269" s="3"/>
      <c r="BL269" s="3"/>
      <c r="BM269" s="24"/>
      <c r="BN269" s="3"/>
      <c r="BO269" s="3"/>
      <c r="BP269" s="3"/>
      <c r="BQ269" s="3"/>
      <c r="BR269" s="3"/>
      <c r="BS269" s="3"/>
      <c r="BT269" s="3"/>
      <c r="BU269" s="24"/>
      <c r="BV269" s="24"/>
      <c r="BW269" s="24"/>
      <c r="BX269" s="24"/>
      <c r="BY269" s="24"/>
      <c r="BZ269" s="3"/>
      <c r="CA269" s="3"/>
      <c r="CB269" s="24"/>
      <c r="CC269" s="24"/>
      <c r="CD269" s="24"/>
      <c r="CE269" s="24"/>
      <c r="CF269" s="24"/>
      <c r="CG269" s="24"/>
      <c r="CH269" s="24"/>
      <c r="CI269" s="3"/>
      <c r="CJ269" s="3"/>
      <c r="CK269" s="24"/>
      <c r="CL269" s="3"/>
      <c r="CM269" s="3"/>
      <c r="CN269" s="24"/>
      <c r="CO269" s="24"/>
      <c r="CP269" s="24"/>
      <c r="CQ269" s="24"/>
      <c r="CR269" s="24">
        <f>0.03*G269</f>
        <v>901.88</v>
      </c>
      <c r="CS269" s="3"/>
      <c r="CT269" s="3"/>
      <c r="CU269" s="3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3"/>
      <c r="DR269" s="24">
        <f t="shared" si="43"/>
        <v>30062.61</v>
      </c>
      <c r="DS269" s="3">
        <f t="shared" si="44"/>
        <v>0</v>
      </c>
      <c r="DU269" s="3">
        <v>29187</v>
      </c>
    </row>
    <row r="270" spans="1:125" x14ac:dyDescent="0.2">
      <c r="C270" s="7" t="s">
        <v>2348</v>
      </c>
      <c r="D270" s="7" t="s">
        <v>2263</v>
      </c>
      <c r="E270" s="205" t="s">
        <v>2202</v>
      </c>
      <c r="F270" s="33" t="s">
        <v>2662</v>
      </c>
      <c r="G270" s="231">
        <f t="shared" si="40"/>
        <v>32649</v>
      </c>
      <c r="H270" s="207"/>
      <c r="I270" s="2" t="s">
        <v>2806</v>
      </c>
      <c r="J270" s="2"/>
      <c r="K270" s="2"/>
      <c r="L270" s="2"/>
      <c r="M270" s="3"/>
      <c r="N270" s="3"/>
      <c r="O270" s="24"/>
      <c r="P270" s="3"/>
      <c r="Q270" s="3"/>
      <c r="R270" s="24">
        <f>+G270</f>
        <v>32649</v>
      </c>
      <c r="S270" s="24"/>
      <c r="T270" s="3"/>
      <c r="U270" s="3"/>
      <c r="V270" s="3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3"/>
      <c r="AJ270" s="24"/>
      <c r="AK270" s="284"/>
      <c r="AL270" s="24"/>
      <c r="AM270" s="3"/>
      <c r="AN270" s="3"/>
      <c r="AO270" s="3"/>
      <c r="AP270" s="3"/>
      <c r="AQ270" s="3"/>
      <c r="AR270" s="3"/>
      <c r="AS270" s="24"/>
      <c r="AT270" s="24"/>
      <c r="AU270" s="24"/>
      <c r="AV270" s="24"/>
      <c r="AW270" s="24"/>
      <c r="AX270" s="24"/>
      <c r="AY270" s="3"/>
      <c r="AZ270" s="24"/>
      <c r="BA270" s="24"/>
      <c r="BB270" s="24"/>
      <c r="BC270" s="24"/>
      <c r="BD270" s="24"/>
      <c r="BE270" s="24"/>
      <c r="BF270" s="24"/>
      <c r="BG270" s="24"/>
      <c r="BH270" s="343"/>
      <c r="BI270" s="343"/>
      <c r="BJ270" s="24"/>
      <c r="BK270" s="3"/>
      <c r="BL270" s="3"/>
      <c r="BM270" s="24"/>
      <c r="BN270" s="3"/>
      <c r="BO270" s="3"/>
      <c r="BP270" s="3"/>
      <c r="BQ270" s="3"/>
      <c r="BR270" s="3"/>
      <c r="BS270" s="3"/>
      <c r="BT270" s="3"/>
      <c r="BU270" s="24"/>
      <c r="BV270" s="24"/>
      <c r="BW270" s="24"/>
      <c r="BX270" s="24"/>
      <c r="BY270" s="24"/>
      <c r="BZ270" s="3"/>
      <c r="CA270" s="3"/>
      <c r="CB270" s="24"/>
      <c r="CC270" s="24"/>
      <c r="CD270" s="24"/>
      <c r="CE270" s="24"/>
      <c r="CF270" s="24"/>
      <c r="CG270" s="24"/>
      <c r="CH270" s="24"/>
      <c r="CI270" s="3"/>
      <c r="CJ270" s="3"/>
      <c r="CK270" s="24"/>
      <c r="CL270" s="3"/>
      <c r="CM270" s="3"/>
      <c r="CN270" s="24"/>
      <c r="CO270" s="24"/>
      <c r="CP270" s="24"/>
      <c r="CQ270" s="24"/>
      <c r="CR270" s="24"/>
      <c r="CS270" s="3"/>
      <c r="CT270" s="3"/>
      <c r="CU270" s="3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3"/>
      <c r="DR270" s="24">
        <f t="shared" si="43"/>
        <v>32649</v>
      </c>
      <c r="DS270" s="3">
        <f t="shared" si="44"/>
        <v>0</v>
      </c>
      <c r="DU270" s="3">
        <v>32649</v>
      </c>
    </row>
    <row r="271" spans="1:125" x14ac:dyDescent="0.2">
      <c r="C271" s="7" t="s">
        <v>2365</v>
      </c>
      <c r="D271" s="7" t="s">
        <v>2366</v>
      </c>
      <c r="E271" s="203" t="s">
        <v>1540</v>
      </c>
      <c r="F271" s="33" t="s">
        <v>2662</v>
      </c>
      <c r="G271" s="231">
        <f t="shared" si="40"/>
        <v>28156.080000000002</v>
      </c>
      <c r="H271" s="207"/>
      <c r="I271" s="2" t="s">
        <v>2697</v>
      </c>
      <c r="J271" s="2"/>
      <c r="K271" s="2"/>
      <c r="L271" s="2"/>
      <c r="M271" s="3"/>
      <c r="N271" s="3"/>
      <c r="O271" s="24"/>
      <c r="P271" s="3"/>
      <c r="Q271" s="3"/>
      <c r="R271" s="3" t="s">
        <v>342</v>
      </c>
      <c r="S271" s="24"/>
      <c r="T271" s="3"/>
      <c r="U271" s="3"/>
      <c r="V271" s="3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3"/>
      <c r="AJ271" s="24"/>
      <c r="AK271" s="284"/>
      <c r="AL271" s="24"/>
      <c r="AM271" s="3"/>
      <c r="AN271" s="3"/>
      <c r="AO271" s="3"/>
      <c r="AP271" s="3"/>
      <c r="AQ271" s="3"/>
      <c r="AR271" s="3"/>
      <c r="AS271" s="24"/>
      <c r="AT271" s="24"/>
      <c r="AU271" s="24"/>
      <c r="AV271" s="24"/>
      <c r="AW271" s="24"/>
      <c r="AX271" s="24"/>
      <c r="AY271" s="3"/>
      <c r="AZ271" s="24"/>
      <c r="BA271" s="24"/>
      <c r="BB271" s="24"/>
      <c r="BC271" s="24"/>
      <c r="BD271" s="24"/>
      <c r="BE271" s="24"/>
      <c r="BF271" s="24"/>
      <c r="BG271" s="24"/>
      <c r="BH271" s="343"/>
      <c r="BI271" s="343"/>
      <c r="BJ271" s="24"/>
      <c r="BK271" s="3"/>
      <c r="BL271" s="3"/>
      <c r="BM271" s="24"/>
      <c r="BN271" s="3"/>
      <c r="BO271" s="3"/>
      <c r="BP271" s="3"/>
      <c r="BQ271" s="3"/>
      <c r="BR271" s="3"/>
      <c r="BS271" s="3"/>
      <c r="BT271" s="3"/>
      <c r="BU271" s="24"/>
      <c r="BV271" s="24"/>
      <c r="BW271" s="24"/>
      <c r="BX271" s="24"/>
      <c r="BY271" s="24"/>
      <c r="BZ271" s="3"/>
      <c r="CA271" s="3"/>
      <c r="CB271" s="24"/>
      <c r="CC271" s="24"/>
      <c r="CD271" s="24"/>
      <c r="CE271" s="24"/>
      <c r="CF271" s="24"/>
      <c r="CG271" s="24"/>
      <c r="CH271" s="24">
        <f>G271</f>
        <v>28156.080000000002</v>
      </c>
      <c r="CI271" s="3"/>
      <c r="CJ271" s="3"/>
      <c r="CK271" s="24"/>
      <c r="CL271" s="3"/>
      <c r="CM271" s="3"/>
      <c r="CN271" s="24"/>
      <c r="CO271" s="24"/>
      <c r="CP271" s="24"/>
      <c r="CQ271" s="24"/>
      <c r="CR271" s="24"/>
      <c r="CS271" s="3"/>
      <c r="CT271" s="3"/>
      <c r="CU271" s="3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3"/>
      <c r="DR271" s="24">
        <f t="shared" si="43"/>
        <v>28156.080000000002</v>
      </c>
      <c r="DS271" s="3">
        <f t="shared" si="44"/>
        <v>0</v>
      </c>
      <c r="DU271" s="3">
        <v>27336</v>
      </c>
    </row>
    <row r="272" spans="1:125" x14ac:dyDescent="0.2">
      <c r="C272" s="7" t="s">
        <v>2397</v>
      </c>
      <c r="D272" s="7" t="s">
        <v>2398</v>
      </c>
      <c r="E272" s="205" t="s">
        <v>2293</v>
      </c>
      <c r="F272" s="33" t="s">
        <v>2662</v>
      </c>
      <c r="G272" s="231">
        <f t="shared" si="40"/>
        <v>25498.68</v>
      </c>
      <c r="H272" s="207"/>
      <c r="I272" s="2" t="s">
        <v>2691</v>
      </c>
      <c r="J272" s="2"/>
      <c r="K272" s="2"/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8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24"/>
      <c r="BM272" s="3"/>
      <c r="BN272" s="3"/>
      <c r="BO272" s="3"/>
      <c r="BP272" s="3"/>
      <c r="BQ272" s="3">
        <f>G272</f>
        <v>25498.68</v>
      </c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24"/>
      <c r="CI272" s="3"/>
      <c r="CJ272" s="24"/>
      <c r="CK272" s="3"/>
      <c r="CL272" s="3"/>
      <c r="CM272" s="3"/>
      <c r="CN272" s="3"/>
      <c r="CO272" s="3"/>
      <c r="CP272" s="3"/>
      <c r="CQ272" s="3"/>
      <c r="CR272" s="24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24">
        <f t="shared" si="43"/>
        <v>25498.68</v>
      </c>
      <c r="DS272" s="3">
        <f t="shared" si="44"/>
        <v>0</v>
      </c>
      <c r="DU272" s="3">
        <v>24756</v>
      </c>
    </row>
    <row r="273" spans="1:125" x14ac:dyDescent="0.2">
      <c r="C273" s="7" t="s">
        <v>2373</v>
      </c>
      <c r="D273" s="7" t="s">
        <v>2374</v>
      </c>
      <c r="E273" s="203" t="s">
        <v>2295</v>
      </c>
      <c r="F273" s="33" t="s">
        <v>2662</v>
      </c>
      <c r="G273" s="231">
        <f t="shared" si="40"/>
        <v>25709.79</v>
      </c>
      <c r="H273" s="207"/>
      <c r="I273" s="2" t="s">
        <v>2697</v>
      </c>
      <c r="J273" s="2"/>
      <c r="K273" s="2"/>
      <c r="L273" s="2"/>
      <c r="M273" s="3"/>
      <c r="N273" s="3"/>
      <c r="O273" s="24"/>
      <c r="P273" s="3"/>
      <c r="Q273" s="3"/>
      <c r="R273" s="24"/>
      <c r="S273" s="24"/>
      <c r="T273" s="3"/>
      <c r="U273" s="3"/>
      <c r="V273" s="3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3"/>
      <c r="AJ273" s="24"/>
      <c r="AK273" s="284"/>
      <c r="AL273" s="24"/>
      <c r="AM273" s="3"/>
      <c r="AN273" s="3"/>
      <c r="AO273" s="3"/>
      <c r="AP273" s="3"/>
      <c r="AQ273" s="3"/>
      <c r="AR273" s="3"/>
      <c r="AS273" s="24"/>
      <c r="AT273" s="24"/>
      <c r="AU273" s="24"/>
      <c r="AV273" s="24"/>
      <c r="AW273" s="24"/>
      <c r="AX273" s="24"/>
      <c r="AY273" s="3"/>
      <c r="AZ273" s="24"/>
      <c r="BA273" s="24"/>
      <c r="BB273" s="24"/>
      <c r="BC273" s="24"/>
      <c r="BD273" s="24"/>
      <c r="BE273" s="24"/>
      <c r="BF273" s="24"/>
      <c r="BG273" s="24"/>
      <c r="BH273" s="343"/>
      <c r="BI273" s="343"/>
      <c r="BJ273" s="24"/>
      <c r="BK273" s="3"/>
      <c r="BL273" s="3"/>
      <c r="BM273" s="24"/>
      <c r="BN273" s="3"/>
      <c r="BO273" s="3"/>
      <c r="BP273" s="3"/>
      <c r="BQ273" s="3"/>
      <c r="BR273" s="3"/>
      <c r="BS273" s="3"/>
      <c r="BT273" s="3"/>
      <c r="BU273" s="24"/>
      <c r="BV273" s="24"/>
      <c r="BW273" s="24"/>
      <c r="BX273" s="24"/>
      <c r="BY273" s="24"/>
      <c r="BZ273" s="3"/>
      <c r="CA273" s="3"/>
      <c r="CB273" s="24"/>
      <c r="CC273" s="24"/>
      <c r="CD273" s="24"/>
      <c r="CE273" s="24"/>
      <c r="CF273" s="24"/>
      <c r="CG273" s="24"/>
      <c r="CH273" s="24"/>
      <c r="CI273" s="3"/>
      <c r="CJ273" s="3">
        <f>G273</f>
        <v>25709.79</v>
      </c>
      <c r="CK273" s="24"/>
      <c r="CL273" s="3"/>
      <c r="CM273" s="3"/>
      <c r="CN273" s="24"/>
      <c r="CO273" s="24"/>
      <c r="CP273" s="24"/>
      <c r="CQ273" s="24"/>
      <c r="CR273" s="24"/>
      <c r="CS273" s="3"/>
      <c r="CT273" s="3"/>
      <c r="CU273" s="3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3"/>
      <c r="DR273" s="24">
        <f t="shared" si="43"/>
        <v>25709.79</v>
      </c>
      <c r="DS273" s="3">
        <f t="shared" si="44"/>
        <v>0</v>
      </c>
      <c r="DU273" s="3">
        <v>24960.959999999999</v>
      </c>
    </row>
    <row r="274" spans="1:125" x14ac:dyDescent="0.2">
      <c r="A274" s="251" t="s">
        <v>3067</v>
      </c>
      <c r="E274" s="203" t="s">
        <v>3072</v>
      </c>
      <c r="F274" s="33" t="s">
        <v>2662</v>
      </c>
      <c r="G274" s="231">
        <f t="shared" si="40"/>
        <v>31554</v>
      </c>
      <c r="H274" s="207"/>
      <c r="I274" s="2" t="s">
        <v>2686</v>
      </c>
      <c r="J274" s="2"/>
      <c r="K274" s="2"/>
      <c r="L274" s="2"/>
      <c r="M274" s="3"/>
      <c r="N274" s="3"/>
      <c r="O274" s="3"/>
      <c r="P274" s="3"/>
      <c r="Q274" s="24"/>
      <c r="R274" s="24"/>
      <c r="S274" s="24"/>
      <c r="T274" s="3"/>
      <c r="U274" s="3"/>
      <c r="V274" s="3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3"/>
      <c r="AJ274" s="24"/>
      <c r="AK274" s="284"/>
      <c r="AL274" s="24"/>
      <c r="AM274" s="3"/>
      <c r="AN274" s="3"/>
      <c r="AO274" s="3"/>
      <c r="AP274" s="3"/>
      <c r="AQ274" s="3"/>
      <c r="AR274" s="3"/>
      <c r="AS274" s="24">
        <f>+G274</f>
        <v>31554</v>
      </c>
      <c r="AT274" s="24"/>
      <c r="AU274" s="24"/>
      <c r="AV274" s="24"/>
      <c r="AW274" s="24"/>
      <c r="AX274" s="24"/>
      <c r="AY274" s="3"/>
      <c r="AZ274" s="24"/>
      <c r="BA274" s="24"/>
      <c r="BB274" s="24"/>
      <c r="BC274" s="24"/>
      <c r="BD274" s="24"/>
      <c r="BE274" s="24"/>
      <c r="BF274" s="24"/>
      <c r="BG274" s="24"/>
      <c r="BH274" s="343"/>
      <c r="BI274" s="343"/>
      <c r="BJ274" s="24"/>
      <c r="BK274" s="3"/>
      <c r="BL274" s="3"/>
      <c r="BM274" s="24"/>
      <c r="BN274" s="3"/>
      <c r="BO274" s="3"/>
      <c r="BP274" s="3"/>
      <c r="BQ274" s="3"/>
      <c r="BR274" s="3"/>
      <c r="BS274" s="3"/>
      <c r="BT274" s="3"/>
      <c r="BU274" s="24"/>
      <c r="BV274" s="24"/>
      <c r="BW274" s="24"/>
      <c r="BX274" s="24"/>
      <c r="BY274" s="24"/>
      <c r="BZ274" s="3"/>
      <c r="CA274" s="3"/>
      <c r="CB274" s="24"/>
      <c r="CC274" s="24"/>
      <c r="CD274" s="24"/>
      <c r="CE274" s="24"/>
      <c r="CF274" s="24"/>
      <c r="CG274" s="24"/>
      <c r="CH274" s="24"/>
      <c r="CI274" s="3"/>
      <c r="CJ274" s="3"/>
      <c r="CK274" s="24"/>
      <c r="CL274" s="3"/>
      <c r="CM274" s="3"/>
      <c r="CN274" s="24"/>
      <c r="CO274" s="24"/>
      <c r="CP274" s="24"/>
      <c r="CQ274" s="24"/>
      <c r="CR274" s="24"/>
      <c r="CS274" s="3"/>
      <c r="CT274" s="3"/>
      <c r="CU274" s="3"/>
      <c r="CV274" s="3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3"/>
      <c r="DR274" s="24">
        <f t="shared" si="43"/>
        <v>31554</v>
      </c>
      <c r="DS274" s="3">
        <f t="shared" si="44"/>
        <v>0</v>
      </c>
      <c r="DU274" s="3">
        <v>31554</v>
      </c>
    </row>
    <row r="275" spans="1:125" ht="14.25" customHeight="1" x14ac:dyDescent="0.2">
      <c r="C275" s="7" t="s">
        <v>2369</v>
      </c>
      <c r="D275" s="7" t="s">
        <v>2370</v>
      </c>
      <c r="E275" s="205" t="s">
        <v>2296</v>
      </c>
      <c r="F275" s="33" t="s">
        <v>2662</v>
      </c>
      <c r="G275" s="231">
        <f t="shared" si="40"/>
        <v>26769.66</v>
      </c>
      <c r="H275" s="207"/>
      <c r="I275" s="7" t="s">
        <v>2971</v>
      </c>
      <c r="J275" s="2"/>
      <c r="K275" s="2"/>
      <c r="L275" s="2"/>
      <c r="M275" s="3"/>
      <c r="N275" s="3"/>
      <c r="O275" s="3"/>
      <c r="P275" s="3"/>
      <c r="Q275" s="3"/>
      <c r="R275" s="24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8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>
        <f>+G275</f>
        <v>26769.66</v>
      </c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24">
        <f t="shared" si="43"/>
        <v>26769.66</v>
      </c>
      <c r="DS275" s="3">
        <f t="shared" si="44"/>
        <v>0</v>
      </c>
      <c r="DU275" s="3">
        <v>25989.96</v>
      </c>
    </row>
    <row r="276" spans="1:125" x14ac:dyDescent="0.2">
      <c r="A276" s="251"/>
      <c r="C276" s="7" t="s">
        <v>2375</v>
      </c>
      <c r="D276" s="7" t="s">
        <v>2376</v>
      </c>
      <c r="E276" s="205" t="s">
        <v>2884</v>
      </c>
      <c r="F276" s="255" t="s">
        <v>2662</v>
      </c>
      <c r="G276" s="231">
        <f t="shared" si="40"/>
        <v>35725.26</v>
      </c>
      <c r="H276" s="207"/>
      <c r="I276" s="342" t="s">
        <v>2688</v>
      </c>
      <c r="J276" s="2"/>
      <c r="K276" s="2"/>
      <c r="L276" s="2"/>
      <c r="M276" s="3"/>
      <c r="N276" s="3"/>
      <c r="O276" s="24"/>
      <c r="P276" s="3"/>
      <c r="Q276" s="3"/>
      <c r="R276" s="24"/>
      <c r="S276" s="24"/>
      <c r="T276" s="3"/>
      <c r="U276" s="3"/>
      <c r="V276" s="3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3"/>
      <c r="AJ276" s="24"/>
      <c r="AK276" s="284"/>
      <c r="AL276" s="24"/>
      <c r="AM276" s="3"/>
      <c r="AN276" s="3"/>
      <c r="AO276" s="3"/>
      <c r="AP276" s="3"/>
      <c r="AQ276" s="3"/>
      <c r="AR276" s="3"/>
      <c r="AS276" s="24"/>
      <c r="AT276" s="24"/>
      <c r="AU276" s="24"/>
      <c r="AV276" s="24"/>
      <c r="AW276" s="24"/>
      <c r="AX276" s="24"/>
      <c r="AY276" s="3">
        <f>+G276</f>
        <v>35725.26</v>
      </c>
      <c r="AZ276" s="24"/>
      <c r="BA276" s="24"/>
      <c r="BB276" s="24"/>
      <c r="BC276" s="24"/>
      <c r="BD276" s="24"/>
      <c r="BE276" s="24"/>
      <c r="BF276" s="24"/>
      <c r="BG276" s="24"/>
      <c r="BH276" s="343"/>
      <c r="BI276" s="343"/>
      <c r="BJ276" s="24"/>
      <c r="BK276" s="3"/>
      <c r="BL276" s="3"/>
      <c r="BM276" s="24"/>
      <c r="BN276" s="3"/>
      <c r="BO276" s="3"/>
      <c r="BP276" s="3"/>
      <c r="BQ276" s="3"/>
      <c r="BR276" s="3"/>
      <c r="BS276" s="3"/>
      <c r="BT276" s="3"/>
      <c r="BU276" s="24"/>
      <c r="BV276" s="24"/>
      <c r="BW276" s="24"/>
      <c r="BX276" s="24"/>
      <c r="BY276" s="24"/>
      <c r="BZ276" s="3"/>
      <c r="CA276" s="3"/>
      <c r="CB276" s="24"/>
      <c r="CC276" s="24"/>
      <c r="CD276" s="24"/>
      <c r="CE276" s="24"/>
      <c r="CF276" s="24"/>
      <c r="CG276" s="24"/>
      <c r="CH276" s="24"/>
      <c r="CI276" s="3"/>
      <c r="CJ276" s="3"/>
      <c r="CK276" s="24"/>
      <c r="CL276" s="3"/>
      <c r="CM276" s="3"/>
      <c r="CN276" s="24"/>
      <c r="CO276" s="24"/>
      <c r="CP276" s="24"/>
      <c r="CQ276" s="24"/>
      <c r="CR276" s="24"/>
      <c r="CS276" s="3"/>
      <c r="CT276" s="3"/>
      <c r="CU276" s="3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3"/>
      <c r="DR276" s="24">
        <f t="shared" ref="DR276" si="45">SUM(M276:DQ276)</f>
        <v>35725.26</v>
      </c>
      <c r="DS276" s="3">
        <f t="shared" si="44"/>
        <v>0</v>
      </c>
      <c r="DU276" s="3">
        <v>35725.26</v>
      </c>
    </row>
    <row r="277" spans="1:125" x14ac:dyDescent="0.2">
      <c r="C277" s="7" t="s">
        <v>2377</v>
      </c>
      <c r="D277" s="7" t="s">
        <v>2376</v>
      </c>
      <c r="E277" s="203" t="s">
        <v>44</v>
      </c>
      <c r="F277" s="33" t="s">
        <v>2662</v>
      </c>
      <c r="G277" s="231">
        <f t="shared" si="40"/>
        <v>25709.79</v>
      </c>
      <c r="H277" s="207"/>
      <c r="I277" s="2" t="s">
        <v>2697</v>
      </c>
      <c r="J277" s="2"/>
      <c r="K277" s="2"/>
      <c r="L277" s="2"/>
      <c r="M277" s="3"/>
      <c r="N277" s="3"/>
      <c r="O277" s="24"/>
      <c r="P277" s="3"/>
      <c r="Q277" s="3"/>
      <c r="R277" s="24"/>
      <c r="S277" s="24"/>
      <c r="T277" s="3"/>
      <c r="U277" s="3"/>
      <c r="V277" s="3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3"/>
      <c r="AJ277" s="24"/>
      <c r="AK277" s="284"/>
      <c r="AL277" s="24"/>
      <c r="AM277" s="3"/>
      <c r="AN277" s="3"/>
      <c r="AO277" s="3"/>
      <c r="AP277" s="3"/>
      <c r="AQ277" s="3"/>
      <c r="AR277" s="3"/>
      <c r="AS277" s="24"/>
      <c r="AT277" s="24"/>
      <c r="AU277" s="24"/>
      <c r="AV277" s="24"/>
      <c r="AW277" s="24"/>
      <c r="AX277" s="24"/>
      <c r="AY277" s="3"/>
      <c r="AZ277" s="24"/>
      <c r="BA277" s="24"/>
      <c r="BB277" s="24"/>
      <c r="BC277" s="24"/>
      <c r="BD277" s="24"/>
      <c r="BE277" s="24"/>
      <c r="BF277" s="24"/>
      <c r="BG277" s="24"/>
      <c r="BH277" s="343"/>
      <c r="BI277" s="343"/>
      <c r="BJ277" s="24"/>
      <c r="BK277" s="3"/>
      <c r="BL277" s="3"/>
      <c r="BM277" s="24"/>
      <c r="BN277" s="3"/>
      <c r="BO277" s="3"/>
      <c r="BP277" s="3"/>
      <c r="BQ277" s="3"/>
      <c r="BR277" s="3"/>
      <c r="BS277" s="3"/>
      <c r="BT277" s="3"/>
      <c r="BU277" s="24"/>
      <c r="BV277" s="24"/>
      <c r="BW277" s="24"/>
      <c r="BX277" s="24"/>
      <c r="BY277" s="24"/>
      <c r="BZ277" s="3"/>
      <c r="CA277" s="3"/>
      <c r="CB277" s="24"/>
      <c r="CC277" s="24"/>
      <c r="CD277" s="24"/>
      <c r="CE277" s="24"/>
      <c r="CF277" s="24"/>
      <c r="CG277" s="24"/>
      <c r="CH277" s="24"/>
      <c r="CI277" s="3">
        <f>+G277</f>
        <v>25709.79</v>
      </c>
      <c r="CJ277" s="3"/>
      <c r="CK277" s="24"/>
      <c r="CL277" s="3"/>
      <c r="CM277" s="3"/>
      <c r="CN277" s="24"/>
      <c r="CO277" s="24"/>
      <c r="CP277" s="24"/>
      <c r="CQ277" s="24"/>
      <c r="CR277" s="24"/>
      <c r="CS277" s="3"/>
      <c r="CT277" s="3"/>
      <c r="CU277" s="3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3"/>
      <c r="DR277" s="24">
        <f t="shared" si="43"/>
        <v>25709.79</v>
      </c>
      <c r="DS277" s="3">
        <f t="shared" si="44"/>
        <v>0</v>
      </c>
      <c r="DU277" s="3">
        <v>24960.959999999999</v>
      </c>
    </row>
    <row r="278" spans="1:125" x14ac:dyDescent="0.2">
      <c r="C278" s="7" t="s">
        <v>2378</v>
      </c>
      <c r="D278" s="7" t="s">
        <v>2379</v>
      </c>
      <c r="E278" s="205" t="s">
        <v>2018</v>
      </c>
      <c r="F278" s="33" t="s">
        <v>2662</v>
      </c>
      <c r="G278" s="231">
        <f t="shared" si="40"/>
        <v>35835.96</v>
      </c>
      <c r="H278" s="207"/>
      <c r="I278" s="2" t="s">
        <v>2749</v>
      </c>
      <c r="J278" s="2" t="s">
        <v>3695</v>
      </c>
      <c r="K278" s="2"/>
      <c r="L278" s="2"/>
      <c r="M278" s="3"/>
      <c r="N278" s="3"/>
      <c r="O278" s="24"/>
      <c r="P278" s="3"/>
      <c r="Q278" s="3"/>
      <c r="R278" s="24"/>
      <c r="S278" s="24"/>
      <c r="T278" s="3"/>
      <c r="U278" s="3"/>
      <c r="V278" s="3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3"/>
      <c r="AJ278" s="24"/>
      <c r="AK278" s="284"/>
      <c r="AL278" s="24"/>
      <c r="AM278" s="3"/>
      <c r="AN278" s="3"/>
      <c r="AO278" s="3">
        <f>+G278*0.5</f>
        <v>17917.98</v>
      </c>
      <c r="AP278" s="3"/>
      <c r="AQ278" s="3"/>
      <c r="AR278" s="3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343"/>
      <c r="BI278" s="343"/>
      <c r="BJ278" s="24"/>
      <c r="BK278" s="3"/>
      <c r="BL278" s="3"/>
      <c r="BM278" s="24"/>
      <c r="BN278" s="3"/>
      <c r="BO278" s="3"/>
      <c r="BP278" s="3"/>
      <c r="BQ278" s="3"/>
      <c r="BR278" s="3"/>
      <c r="BS278" s="3"/>
      <c r="BT278" s="3"/>
      <c r="BU278" s="24"/>
      <c r="BV278" s="24"/>
      <c r="BW278" s="24"/>
      <c r="BX278" s="24"/>
      <c r="BY278" s="24">
        <f>+G278*0.5</f>
        <v>17917.98</v>
      </c>
      <c r="BZ278" s="3"/>
      <c r="CA278" s="3"/>
      <c r="CB278" s="24"/>
      <c r="CC278" s="24"/>
      <c r="CD278" s="24"/>
      <c r="CE278" s="24"/>
      <c r="CF278" s="24"/>
      <c r="CG278" s="24"/>
      <c r="CH278" s="24"/>
      <c r="CI278" s="3"/>
      <c r="CJ278" s="3"/>
      <c r="CK278" s="24"/>
      <c r="CL278" s="3"/>
      <c r="CM278" s="3"/>
      <c r="CN278" s="24"/>
      <c r="CO278" s="24"/>
      <c r="CP278" s="24"/>
      <c r="CQ278" s="24"/>
      <c r="CR278" s="24"/>
      <c r="CS278" s="3"/>
      <c r="CT278" s="3"/>
      <c r="CU278" s="3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3"/>
      <c r="DR278" s="24">
        <f t="shared" si="43"/>
        <v>35835.96</v>
      </c>
      <c r="DS278" s="3">
        <f t="shared" si="44"/>
        <v>0</v>
      </c>
      <c r="DU278" s="3">
        <v>35835.96</v>
      </c>
    </row>
    <row r="279" spans="1:125" x14ac:dyDescent="0.2">
      <c r="C279" s="7" t="s">
        <v>2371</v>
      </c>
      <c r="D279" s="7" t="s">
        <v>2380</v>
      </c>
      <c r="E279" s="205" t="s">
        <v>1405</v>
      </c>
      <c r="F279" s="33" t="s">
        <v>2662</v>
      </c>
      <c r="G279" s="231">
        <f t="shared" si="40"/>
        <v>35301.96</v>
      </c>
      <c r="H279" s="207"/>
      <c r="I279" s="342" t="s">
        <v>2797</v>
      </c>
      <c r="J279" s="2"/>
      <c r="K279" s="2"/>
      <c r="L279" s="2"/>
      <c r="M279" s="3"/>
      <c r="N279" s="3"/>
      <c r="O279" s="24"/>
      <c r="P279" s="3"/>
      <c r="Q279" s="3"/>
      <c r="R279" s="24"/>
      <c r="S279" s="24"/>
      <c r="T279" s="3"/>
      <c r="U279" s="3"/>
      <c r="V279" s="3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3"/>
      <c r="AJ279" s="24"/>
      <c r="AK279" s="284"/>
      <c r="AL279" s="24"/>
      <c r="AM279" s="3"/>
      <c r="AN279" s="3"/>
      <c r="AO279" s="3"/>
      <c r="AP279" s="3"/>
      <c r="AQ279" s="3"/>
      <c r="AR279" s="3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343"/>
      <c r="BI279" s="343"/>
      <c r="BJ279" s="24"/>
      <c r="BK279" s="3">
        <f>+G279-CQ279</f>
        <v>35301.96</v>
      </c>
      <c r="BL279" s="3"/>
      <c r="BM279" s="24"/>
      <c r="BN279" s="3"/>
      <c r="BO279" s="3"/>
      <c r="BP279" s="3"/>
      <c r="BQ279" s="3"/>
      <c r="BR279" s="3"/>
      <c r="BS279" s="3"/>
      <c r="BT279" s="3"/>
      <c r="BU279" s="24"/>
      <c r="BV279" s="24"/>
      <c r="BW279" s="24"/>
      <c r="BX279" s="24"/>
      <c r="BY279" s="24"/>
      <c r="BZ279" s="3"/>
      <c r="CA279" s="3"/>
      <c r="CB279" s="24"/>
      <c r="CC279" s="24"/>
      <c r="CD279" s="24"/>
      <c r="CE279" s="24"/>
      <c r="CF279" s="24"/>
      <c r="CG279" s="24"/>
      <c r="CH279" s="24"/>
      <c r="CI279" s="3"/>
      <c r="CJ279" s="3"/>
      <c r="CK279" s="24"/>
      <c r="CL279" s="3"/>
      <c r="CM279" s="3"/>
      <c r="CN279" s="24"/>
      <c r="CO279" s="24"/>
      <c r="CP279" s="24"/>
      <c r="CQ279" s="24">
        <v>0</v>
      </c>
      <c r="CR279" s="24"/>
      <c r="CS279" s="3"/>
      <c r="CT279" s="3"/>
      <c r="CU279" s="3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3"/>
      <c r="DR279" s="24">
        <f t="shared" si="43"/>
        <v>35301.96</v>
      </c>
      <c r="DS279" s="3">
        <f t="shared" si="44"/>
        <v>0</v>
      </c>
      <c r="DU279" s="3">
        <v>35301.96</v>
      </c>
    </row>
    <row r="280" spans="1:125" x14ac:dyDescent="0.2">
      <c r="C280" s="7" t="s">
        <v>2383</v>
      </c>
      <c r="D280" s="7" t="s">
        <v>2269</v>
      </c>
      <c r="E280" s="205" t="s">
        <v>1395</v>
      </c>
      <c r="F280" s="33" t="s">
        <v>2662</v>
      </c>
      <c r="G280" s="231">
        <f t="shared" si="40"/>
        <v>27093.119999999999</v>
      </c>
      <c r="H280" s="207"/>
      <c r="I280" s="2" t="s">
        <v>2694</v>
      </c>
      <c r="J280" s="2"/>
      <c r="K280" s="2"/>
      <c r="L280" s="2"/>
      <c r="M280" s="3"/>
      <c r="N280" s="3"/>
      <c r="O280" s="24"/>
      <c r="P280" s="3"/>
      <c r="Q280" s="3"/>
      <c r="R280" s="24"/>
      <c r="S280" s="24"/>
      <c r="T280" s="3"/>
      <c r="U280" s="3"/>
      <c r="V280" s="3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3"/>
      <c r="AJ280" s="24"/>
      <c r="AK280" s="284"/>
      <c r="AL280" s="24"/>
      <c r="AM280" s="3"/>
      <c r="AN280" s="3"/>
      <c r="AO280" s="3"/>
      <c r="AP280" s="3"/>
      <c r="AQ280" s="3"/>
      <c r="AR280" s="3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343"/>
      <c r="BI280" s="343"/>
      <c r="BJ280" s="24"/>
      <c r="BK280" s="3"/>
      <c r="BL280" s="3"/>
      <c r="BM280" s="24"/>
      <c r="BN280" s="3"/>
      <c r="BO280" s="3"/>
      <c r="BP280" s="3"/>
      <c r="BQ280" s="3"/>
      <c r="BR280" s="3"/>
      <c r="BS280" s="3"/>
      <c r="BT280" s="3"/>
      <c r="BU280" s="24"/>
      <c r="BV280" s="24"/>
      <c r="BW280" s="24"/>
      <c r="BX280" s="24"/>
      <c r="BY280" s="24"/>
      <c r="BZ280" s="3"/>
      <c r="CA280" s="3">
        <f>+G280</f>
        <v>27093.119999999999</v>
      </c>
      <c r="CB280" s="24"/>
      <c r="CC280" s="24"/>
      <c r="CD280" s="24"/>
      <c r="CE280" s="24"/>
      <c r="CF280" s="24"/>
      <c r="CG280" s="24"/>
      <c r="CH280" s="24"/>
      <c r="CI280" s="3"/>
      <c r="CJ280" s="3"/>
      <c r="CK280" s="24"/>
      <c r="CL280" s="3"/>
      <c r="CM280" s="3"/>
      <c r="CN280" s="24"/>
      <c r="CO280" s="24"/>
      <c r="CP280" s="24"/>
      <c r="CQ280" s="24"/>
      <c r="CR280" s="24"/>
      <c r="CS280" s="3"/>
      <c r="CT280" s="3"/>
      <c r="CU280" s="3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3"/>
      <c r="DR280" s="24">
        <f t="shared" si="43"/>
        <v>27093.119999999999</v>
      </c>
      <c r="DS280" s="3">
        <f t="shared" si="44"/>
        <v>0</v>
      </c>
      <c r="DU280" s="3">
        <v>26304</v>
      </c>
    </row>
    <row r="281" spans="1:125" x14ac:dyDescent="0.2">
      <c r="C281" s="7" t="s">
        <v>2384</v>
      </c>
      <c r="D281" s="7" t="s">
        <v>2385</v>
      </c>
      <c r="E281" s="205" t="s">
        <v>1397</v>
      </c>
      <c r="F281" s="33" t="s">
        <v>2662</v>
      </c>
      <c r="G281" s="231">
        <f t="shared" si="40"/>
        <v>46805.04</v>
      </c>
      <c r="H281" s="207"/>
      <c r="I281" s="2" t="s">
        <v>2675</v>
      </c>
      <c r="J281" s="3"/>
      <c r="K281" s="2"/>
      <c r="L281" s="2"/>
      <c r="M281" s="3">
        <f>+G281</f>
        <v>46805.04</v>
      </c>
      <c r="N281" s="3"/>
      <c r="O281" s="24"/>
      <c r="P281" s="3"/>
      <c r="Q281" s="3"/>
      <c r="R281" s="24"/>
      <c r="S281" s="24"/>
      <c r="T281" s="3"/>
      <c r="U281" s="3"/>
      <c r="V281" s="3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3"/>
      <c r="AJ281" s="24"/>
      <c r="AK281" s="284"/>
      <c r="AL281" s="24"/>
      <c r="AM281" s="3"/>
      <c r="AN281" s="3"/>
      <c r="AO281" s="3"/>
      <c r="AP281" s="3"/>
      <c r="AQ281" s="3"/>
      <c r="AR281" s="3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343"/>
      <c r="BI281" s="343"/>
      <c r="BJ281" s="24"/>
      <c r="BK281" s="3"/>
      <c r="BL281" s="3"/>
      <c r="BM281" s="24"/>
      <c r="BN281" s="3"/>
      <c r="BO281" s="3"/>
      <c r="BP281" s="3"/>
      <c r="BQ281" s="3"/>
      <c r="BR281" s="3"/>
      <c r="BS281" s="3"/>
      <c r="BT281" s="3"/>
      <c r="BU281" s="24"/>
      <c r="BV281" s="24"/>
      <c r="BW281" s="24"/>
      <c r="BX281" s="24"/>
      <c r="BY281" s="24"/>
      <c r="BZ281" s="3"/>
      <c r="CA281" s="3"/>
      <c r="CB281" s="24"/>
      <c r="CC281" s="24"/>
      <c r="CD281" s="24"/>
      <c r="CE281" s="24"/>
      <c r="CF281" s="24"/>
      <c r="CG281" s="24"/>
      <c r="CH281" s="24"/>
      <c r="CI281" s="3"/>
      <c r="CJ281" s="3"/>
      <c r="CK281" s="24"/>
      <c r="CL281" s="3"/>
      <c r="CM281" s="3"/>
      <c r="CN281" s="24"/>
      <c r="CO281" s="24"/>
      <c r="CP281" s="24"/>
      <c r="CQ281" s="24"/>
      <c r="CR281" s="24"/>
      <c r="CS281" s="3"/>
      <c r="CT281" s="3"/>
      <c r="CU281" s="3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3"/>
      <c r="DR281" s="24">
        <f t="shared" si="43"/>
        <v>46805.04</v>
      </c>
      <c r="DS281" s="3">
        <f t="shared" si="44"/>
        <v>0</v>
      </c>
      <c r="DU281" s="3">
        <v>46805.04</v>
      </c>
    </row>
    <row r="282" spans="1:125" x14ac:dyDescent="0.2">
      <c r="C282" s="7" t="s">
        <v>2408</v>
      </c>
      <c r="D282" s="7" t="s">
        <v>2273</v>
      </c>
      <c r="E282" s="203" t="s">
        <v>2294</v>
      </c>
      <c r="F282" s="33" t="s">
        <v>2662</v>
      </c>
      <c r="G282" s="231">
        <f t="shared" si="40"/>
        <v>27025.14</v>
      </c>
      <c r="H282" s="207"/>
      <c r="I282" s="2" t="s">
        <v>3077</v>
      </c>
      <c r="J282" s="2" t="s">
        <v>2985</v>
      </c>
      <c r="K282" s="2"/>
      <c r="L282" s="2"/>
      <c r="M282" s="3"/>
      <c r="N282" s="3"/>
      <c r="O282" s="24"/>
      <c r="P282" s="3"/>
      <c r="Q282" s="3"/>
      <c r="R282" s="24"/>
      <c r="S282" s="24"/>
      <c r="T282" s="3"/>
      <c r="U282" s="3"/>
      <c r="V282" s="3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3"/>
      <c r="AJ282" s="24"/>
      <c r="AK282" s="284"/>
      <c r="AL282" s="24"/>
      <c r="AM282" s="3"/>
      <c r="AN282" s="3"/>
      <c r="AO282" s="3"/>
      <c r="AP282" s="3"/>
      <c r="AQ282" s="3"/>
      <c r="AR282" s="3"/>
      <c r="AS282" s="24"/>
      <c r="AT282" s="24"/>
      <c r="AU282" s="24"/>
      <c r="AV282" s="24">
        <f>G282</f>
        <v>27025.14</v>
      </c>
      <c r="AW282" s="24"/>
      <c r="AX282" s="24"/>
      <c r="AY282" s="3"/>
      <c r="AZ282" s="24"/>
      <c r="BA282" s="24"/>
      <c r="BB282" s="24"/>
      <c r="BC282" s="24"/>
      <c r="BD282" s="24"/>
      <c r="BE282" s="24"/>
      <c r="BF282" s="24"/>
      <c r="BG282" s="24"/>
      <c r="BH282" s="343"/>
      <c r="BI282" s="343"/>
      <c r="BJ282" s="24"/>
      <c r="BK282" s="3"/>
      <c r="BL282" s="3"/>
      <c r="BM282" s="24"/>
      <c r="BN282" s="3"/>
      <c r="BO282" s="3"/>
      <c r="BP282" s="3"/>
      <c r="BQ282" s="3"/>
      <c r="BR282" s="3"/>
      <c r="BS282" s="3"/>
      <c r="BT282" s="3"/>
      <c r="BU282" s="24"/>
      <c r="BV282" s="24"/>
      <c r="BW282" s="24"/>
      <c r="BX282" s="24"/>
      <c r="BY282" s="24"/>
      <c r="BZ282" s="3"/>
      <c r="CA282" s="24"/>
      <c r="CB282" s="24"/>
      <c r="CC282" s="24"/>
      <c r="CD282" s="24"/>
      <c r="CE282" s="24"/>
      <c r="CF282" s="24"/>
      <c r="CG282" s="24"/>
      <c r="CH282" s="24"/>
      <c r="CI282" s="3"/>
      <c r="CJ282" s="3"/>
      <c r="CK282" s="24"/>
      <c r="CL282" s="3"/>
      <c r="CM282" s="3"/>
      <c r="CN282" s="24"/>
      <c r="CO282" s="24"/>
      <c r="CP282" s="24"/>
      <c r="CQ282" s="24"/>
      <c r="CR282" s="24"/>
      <c r="CS282" s="3"/>
      <c r="CT282" s="3"/>
      <c r="CU282" s="3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3"/>
      <c r="DR282" s="24">
        <f t="shared" si="43"/>
        <v>27025.14</v>
      </c>
      <c r="DS282" s="3">
        <f t="shared" si="44"/>
        <v>0</v>
      </c>
      <c r="DU282" s="3">
        <v>26238</v>
      </c>
    </row>
    <row r="283" spans="1:125" x14ac:dyDescent="0.2">
      <c r="C283" s="7" t="s">
        <v>2386</v>
      </c>
      <c r="D283" s="7" t="s">
        <v>2273</v>
      </c>
      <c r="E283" s="205" t="s">
        <v>1399</v>
      </c>
      <c r="F283" s="33" t="s">
        <v>2662</v>
      </c>
      <c r="G283" s="231">
        <f t="shared" si="40"/>
        <v>41307.839999999997</v>
      </c>
      <c r="H283" s="207"/>
      <c r="I283" s="342" t="s">
        <v>2806</v>
      </c>
      <c r="J283" s="2"/>
      <c r="K283" s="2"/>
      <c r="L283" s="2"/>
      <c r="M283" s="3"/>
      <c r="N283" s="3"/>
      <c r="O283" s="24"/>
      <c r="P283" s="3"/>
      <c r="Q283" s="3"/>
      <c r="R283" s="24">
        <f>+G283</f>
        <v>41307.839999999997</v>
      </c>
      <c r="S283" s="24"/>
      <c r="T283" s="3"/>
      <c r="U283" s="3"/>
      <c r="V283" s="3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3"/>
      <c r="AJ283" s="24"/>
      <c r="AK283" s="284"/>
      <c r="AL283" s="24"/>
      <c r="AM283" s="3"/>
      <c r="AN283" s="3"/>
      <c r="AO283" s="3"/>
      <c r="AP283" s="3"/>
      <c r="AQ283" s="3"/>
      <c r="AR283" s="3"/>
      <c r="AS283" s="24"/>
      <c r="AT283" s="24"/>
      <c r="AU283" s="24"/>
      <c r="AV283" s="24"/>
      <c r="AW283" s="24"/>
      <c r="AX283" s="24"/>
      <c r="AY283" s="3"/>
      <c r="AZ283" s="24"/>
      <c r="BA283" s="24"/>
      <c r="BB283" s="24"/>
      <c r="BC283" s="24"/>
      <c r="BD283" s="24"/>
      <c r="BE283" s="24"/>
      <c r="BF283" s="24"/>
      <c r="BG283" s="24"/>
      <c r="BH283" s="343"/>
      <c r="BI283" s="343"/>
      <c r="BJ283" s="24"/>
      <c r="BK283" s="3"/>
      <c r="BL283" s="3"/>
      <c r="BM283" s="24"/>
      <c r="BN283" s="3"/>
      <c r="BO283" s="3"/>
      <c r="BP283" s="3"/>
      <c r="BQ283" s="3"/>
      <c r="BR283" s="3"/>
      <c r="BS283" s="3"/>
      <c r="BT283" s="3"/>
      <c r="BU283" s="24"/>
      <c r="BV283" s="24"/>
      <c r="BW283" s="24"/>
      <c r="BX283" s="24"/>
      <c r="BY283" s="24"/>
      <c r="BZ283" s="3"/>
      <c r="CA283" s="24"/>
      <c r="CB283" s="24"/>
      <c r="CC283" s="24"/>
      <c r="CD283" s="24"/>
      <c r="CE283" s="24"/>
      <c r="CF283" s="24"/>
      <c r="CG283" s="24"/>
      <c r="CH283" s="24"/>
      <c r="CI283" s="3"/>
      <c r="CJ283" s="3"/>
      <c r="CK283" s="24"/>
      <c r="CL283" s="3"/>
      <c r="CM283" s="3"/>
      <c r="CN283" s="24"/>
      <c r="CO283" s="24"/>
      <c r="CP283" s="24"/>
      <c r="CQ283" s="24"/>
      <c r="CR283" s="24"/>
      <c r="CS283" s="3"/>
      <c r="CT283" s="3"/>
      <c r="CU283" s="3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3"/>
      <c r="DR283" s="24">
        <f t="shared" si="43"/>
        <v>41307.839999999997</v>
      </c>
      <c r="DS283" s="3">
        <f t="shared" si="44"/>
        <v>0</v>
      </c>
      <c r="DU283" s="3">
        <v>41307.839999999997</v>
      </c>
    </row>
    <row r="284" spans="1:125" x14ac:dyDescent="0.2">
      <c r="C284" s="7" t="s">
        <v>2387</v>
      </c>
      <c r="D284" s="7" t="s">
        <v>2388</v>
      </c>
      <c r="E284" s="205" t="s">
        <v>1400</v>
      </c>
      <c r="F284" s="33" t="s">
        <v>2662</v>
      </c>
      <c r="G284" s="231">
        <f t="shared" si="40"/>
        <v>28789.53</v>
      </c>
      <c r="H284" s="207"/>
      <c r="I284" s="2" t="s">
        <v>3082</v>
      </c>
      <c r="J284" s="2"/>
      <c r="K284" s="2"/>
      <c r="L284" s="2"/>
      <c r="M284" s="3"/>
      <c r="N284" s="3"/>
      <c r="O284" s="24"/>
      <c r="P284" s="3"/>
      <c r="Q284" s="3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3"/>
      <c r="AJ284" s="24"/>
      <c r="AK284" s="284"/>
      <c r="AL284" s="24">
        <f>+G284</f>
        <v>28789.53</v>
      </c>
      <c r="AM284" s="3"/>
      <c r="AN284" s="3"/>
      <c r="AO284" s="3"/>
      <c r="AP284" s="3"/>
      <c r="AQ284" s="3"/>
      <c r="AR284" s="3"/>
      <c r="AS284" s="24"/>
      <c r="AT284" s="24"/>
      <c r="AU284" s="24"/>
      <c r="AV284" s="24"/>
      <c r="AW284" s="24"/>
      <c r="AX284" s="24"/>
      <c r="AY284" s="3"/>
      <c r="AZ284" s="24"/>
      <c r="BA284" s="24"/>
      <c r="BB284" s="24"/>
      <c r="BC284" s="24"/>
      <c r="BD284" s="24"/>
      <c r="BE284" s="24"/>
      <c r="BF284" s="24"/>
      <c r="BG284" s="24"/>
      <c r="BH284" s="343"/>
      <c r="BI284" s="343"/>
      <c r="BJ284" s="24"/>
      <c r="BK284" s="3"/>
      <c r="BL284" s="3"/>
      <c r="BM284" s="24"/>
      <c r="BN284" s="3"/>
      <c r="BO284" s="3"/>
      <c r="BP284" s="3"/>
      <c r="BQ284" s="3"/>
      <c r="BR284" s="3"/>
      <c r="BS284" s="3"/>
      <c r="BT284" s="3"/>
      <c r="BU284" s="24"/>
      <c r="BV284" s="24"/>
      <c r="BW284" s="24"/>
      <c r="BX284" s="24"/>
      <c r="BY284" s="24"/>
      <c r="BZ284" s="3"/>
      <c r="CA284" s="3"/>
      <c r="CB284" s="24"/>
      <c r="CC284" s="24"/>
      <c r="CD284" s="24"/>
      <c r="CE284" s="24"/>
      <c r="CF284" s="24"/>
      <c r="CG284" s="24"/>
      <c r="CH284" s="24"/>
      <c r="CI284" s="3"/>
      <c r="CJ284" s="3"/>
      <c r="CK284" s="24"/>
      <c r="CL284" s="24" t="s">
        <v>342</v>
      </c>
      <c r="CM284" s="3"/>
      <c r="CN284" s="24"/>
      <c r="CO284" s="24"/>
      <c r="CP284" s="24"/>
      <c r="CQ284" s="24"/>
      <c r="CR284" s="24"/>
      <c r="CS284" s="3"/>
      <c r="CT284" s="3"/>
      <c r="CU284" s="3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3"/>
      <c r="DR284" s="24">
        <f t="shared" si="43"/>
        <v>28789.53</v>
      </c>
      <c r="DS284" s="3">
        <f t="shared" si="44"/>
        <v>0</v>
      </c>
      <c r="DU284" s="3">
        <v>27951</v>
      </c>
    </row>
    <row r="285" spans="1:125" x14ac:dyDescent="0.2">
      <c r="C285" s="7" t="s">
        <v>2389</v>
      </c>
      <c r="D285" s="7" t="s">
        <v>2388</v>
      </c>
      <c r="E285" s="205" t="s">
        <v>1401</v>
      </c>
      <c r="F285" s="33" t="s">
        <v>2662</v>
      </c>
      <c r="G285" s="231">
        <f t="shared" si="40"/>
        <v>44398.44</v>
      </c>
      <c r="H285" s="207"/>
      <c r="I285" s="2" t="s">
        <v>2944</v>
      </c>
      <c r="J285" s="3"/>
      <c r="K285" s="3"/>
      <c r="L285" s="3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8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>
        <f>+G285</f>
        <v>44398.44</v>
      </c>
      <c r="BD285" s="24"/>
      <c r="BE285" s="24"/>
      <c r="BF285" s="24"/>
      <c r="BG285" s="24"/>
      <c r="BH285" s="343"/>
      <c r="BI285" s="343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>
        <f t="shared" si="43"/>
        <v>44398.44</v>
      </c>
      <c r="DS285" s="3">
        <f t="shared" si="44"/>
        <v>0</v>
      </c>
      <c r="DU285" s="3">
        <v>44398.44</v>
      </c>
    </row>
    <row r="286" spans="1:125" x14ac:dyDescent="0.2">
      <c r="A286" s="251" t="s">
        <v>3067</v>
      </c>
      <c r="E286" s="203" t="s">
        <v>3073</v>
      </c>
      <c r="F286" s="33" t="s">
        <v>2662</v>
      </c>
      <c r="G286" s="231">
        <f t="shared" si="40"/>
        <v>26808.880000000001</v>
      </c>
      <c r="H286" s="207"/>
      <c r="I286" s="2" t="s">
        <v>3077</v>
      </c>
      <c r="K286" s="2"/>
      <c r="L286" s="2"/>
      <c r="M286" s="3"/>
      <c r="N286" s="3"/>
      <c r="O286" s="24"/>
      <c r="P286" s="3"/>
      <c r="Q286" s="3"/>
      <c r="R286" s="24"/>
      <c r="S286" s="24"/>
      <c r="T286" s="3"/>
      <c r="U286" s="3"/>
      <c r="V286" s="3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3"/>
      <c r="AJ286" s="24"/>
      <c r="AK286" s="284"/>
      <c r="AL286" s="24"/>
      <c r="AM286" s="24"/>
      <c r="AN286" s="24"/>
      <c r="AO286" s="3"/>
      <c r="AP286" s="3"/>
      <c r="AQ286" s="3"/>
      <c r="AR286" s="3"/>
      <c r="AS286" s="24"/>
      <c r="AT286" s="24"/>
      <c r="AU286" s="24">
        <f>+G286</f>
        <v>26808.880000000001</v>
      </c>
      <c r="AV286" s="24"/>
      <c r="AW286" s="24"/>
      <c r="AX286" s="24"/>
      <c r="AY286" s="3"/>
      <c r="AZ286" s="24"/>
      <c r="BA286" s="24"/>
      <c r="BB286" s="24"/>
      <c r="BC286" s="24"/>
      <c r="BD286" s="24"/>
      <c r="BE286" s="24"/>
      <c r="BF286" s="24"/>
      <c r="BG286" s="24"/>
      <c r="BH286" s="343"/>
      <c r="BI286" s="343"/>
      <c r="BJ286" s="24"/>
      <c r="BK286" s="3"/>
      <c r="BL286" s="3"/>
      <c r="BM286" s="24"/>
      <c r="BN286" s="3"/>
      <c r="BO286" s="3"/>
      <c r="BP286" s="3"/>
      <c r="BQ286" s="3"/>
      <c r="BR286" s="3"/>
      <c r="BS286" s="3"/>
      <c r="BT286" s="3"/>
      <c r="BU286" s="24"/>
      <c r="BV286" s="24"/>
      <c r="BW286" s="24"/>
      <c r="BX286" s="24"/>
      <c r="BY286" s="24"/>
      <c r="BZ286" s="3"/>
      <c r="CA286" s="3"/>
      <c r="CB286" s="24"/>
      <c r="CC286" s="24"/>
      <c r="CD286" s="24"/>
      <c r="CE286" s="24"/>
      <c r="CF286" s="24"/>
      <c r="CG286" s="24"/>
      <c r="CH286" s="24"/>
      <c r="CI286" s="3"/>
      <c r="CJ286" s="3"/>
      <c r="CK286" s="24"/>
      <c r="CL286" s="3"/>
      <c r="CM286" s="3"/>
      <c r="CN286" s="24"/>
      <c r="CO286" s="24"/>
      <c r="CP286" s="24"/>
      <c r="CQ286" s="24"/>
      <c r="CR286" s="24"/>
      <c r="CS286" s="3"/>
      <c r="CT286" s="3"/>
      <c r="CU286" s="3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3"/>
      <c r="DR286" s="24">
        <f t="shared" si="43"/>
        <v>26808.880000000001</v>
      </c>
      <c r="DS286" s="3">
        <f t="shared" si="44"/>
        <v>0</v>
      </c>
      <c r="DU286" s="3">
        <v>26028.04</v>
      </c>
    </row>
    <row r="287" spans="1:125" x14ac:dyDescent="0.2">
      <c r="C287" s="7" t="s">
        <v>2384</v>
      </c>
      <c r="D287" s="7" t="s">
        <v>2222</v>
      </c>
      <c r="E287" s="205" t="s">
        <v>2020</v>
      </c>
      <c r="F287" s="33" t="s">
        <v>2662</v>
      </c>
      <c r="G287" s="231">
        <f t="shared" si="40"/>
        <v>25289.55</v>
      </c>
      <c r="H287" s="207"/>
      <c r="I287" s="2" t="s">
        <v>2676</v>
      </c>
      <c r="J287" s="2"/>
      <c r="K287" s="2"/>
      <c r="L287" s="2"/>
      <c r="M287" s="3"/>
      <c r="N287" s="3"/>
      <c r="O287" s="24">
        <f>+G287</f>
        <v>25289.55</v>
      </c>
      <c r="P287" s="3"/>
      <c r="Q287" s="3"/>
      <c r="R287" s="24"/>
      <c r="S287" s="24"/>
      <c r="T287" s="3"/>
      <c r="U287" s="3"/>
      <c r="V287" s="3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3"/>
      <c r="AJ287" s="24"/>
      <c r="AK287" s="284"/>
      <c r="AL287" s="24"/>
      <c r="AM287" s="3"/>
      <c r="AN287" s="3"/>
      <c r="AO287" s="3"/>
      <c r="AP287" s="3"/>
      <c r="AQ287" s="3"/>
      <c r="AR287" s="3"/>
      <c r="AS287" s="24"/>
      <c r="AT287" s="24"/>
      <c r="AU287" s="24"/>
      <c r="AV287" s="24"/>
      <c r="AW287" s="24"/>
      <c r="AX287" s="24"/>
      <c r="AY287" s="3"/>
      <c r="AZ287" s="24"/>
      <c r="BA287" s="24"/>
      <c r="BB287" s="24"/>
      <c r="BC287" s="24"/>
      <c r="BD287" s="24"/>
      <c r="BE287" s="24"/>
      <c r="BF287" s="24"/>
      <c r="BG287" s="24"/>
      <c r="BH287" s="343"/>
      <c r="BI287" s="343"/>
      <c r="BJ287" s="24"/>
      <c r="BK287" s="3"/>
      <c r="BL287" s="3"/>
      <c r="BM287" s="24"/>
      <c r="BN287" s="3"/>
      <c r="BO287" s="3"/>
      <c r="BP287" s="3"/>
      <c r="BQ287" s="3"/>
      <c r="BR287" s="3"/>
      <c r="BS287" s="3"/>
      <c r="BT287" s="3"/>
      <c r="BU287" s="24"/>
      <c r="BV287" s="24"/>
      <c r="BW287" s="24"/>
      <c r="BX287" s="24"/>
      <c r="BY287" s="24"/>
      <c r="BZ287" s="3"/>
      <c r="CA287" s="3"/>
      <c r="CB287" s="24"/>
      <c r="CC287" s="24"/>
      <c r="CD287" s="24"/>
      <c r="CE287" s="24"/>
      <c r="CF287" s="24"/>
      <c r="CG287" s="24"/>
      <c r="CH287" s="24"/>
      <c r="CI287" s="3"/>
      <c r="CJ287" s="3"/>
      <c r="CK287" s="24"/>
      <c r="CL287" s="3"/>
      <c r="CM287" s="3"/>
      <c r="CN287" s="24"/>
      <c r="CO287" s="24"/>
      <c r="CP287" s="24"/>
      <c r="CQ287" s="24"/>
      <c r="CR287" s="24"/>
      <c r="CS287" s="3"/>
      <c r="CT287" s="3"/>
      <c r="CU287" s="3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3"/>
      <c r="DR287" s="24">
        <f t="shared" si="43"/>
        <v>25289.55</v>
      </c>
      <c r="DS287" s="3">
        <f t="shared" si="44"/>
        <v>0</v>
      </c>
      <c r="DU287" s="3">
        <v>24552.959999999999</v>
      </c>
    </row>
    <row r="288" spans="1:125" x14ac:dyDescent="0.2">
      <c r="A288" s="251"/>
      <c r="C288" s="7" t="s">
        <v>3054</v>
      </c>
      <c r="D288" s="7" t="s">
        <v>2280</v>
      </c>
      <c r="E288" s="205" t="s">
        <v>3055</v>
      </c>
      <c r="F288" s="255" t="s">
        <v>2662</v>
      </c>
      <c r="G288" s="231">
        <f t="shared" si="40"/>
        <v>12644.28</v>
      </c>
      <c r="H288" s="207"/>
      <c r="I288" s="2" t="s">
        <v>2951</v>
      </c>
      <c r="J288" s="2" t="s">
        <v>2948</v>
      </c>
      <c r="K288" s="2"/>
      <c r="L288" s="2"/>
      <c r="M288" s="3"/>
      <c r="N288" s="3"/>
      <c r="O288" s="24"/>
      <c r="P288" s="3"/>
      <c r="Q288" s="3"/>
      <c r="R288" s="24"/>
      <c r="S288" s="24"/>
      <c r="T288" s="3">
        <f>+G288*0.5</f>
        <v>6322.14</v>
      </c>
      <c r="U288" s="3"/>
      <c r="V288" s="3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3"/>
      <c r="AJ288" s="24"/>
      <c r="AK288" s="284"/>
      <c r="AL288" s="24"/>
      <c r="AM288" s="3"/>
      <c r="AN288" s="3"/>
      <c r="AO288" s="3"/>
      <c r="AP288" s="3">
        <f>+G288*0.5</f>
        <v>6322.14</v>
      </c>
      <c r="AQ288" s="3"/>
      <c r="AR288" s="3"/>
      <c r="AS288" s="24"/>
      <c r="AT288" s="24"/>
      <c r="AU288" s="24"/>
      <c r="AV288" s="24"/>
      <c r="AW288" s="24"/>
      <c r="AX288" s="24"/>
      <c r="AY288" s="3"/>
      <c r="AZ288" s="24"/>
      <c r="BA288" s="24"/>
      <c r="BB288" s="24"/>
      <c r="BC288" s="24"/>
      <c r="BD288" s="24"/>
      <c r="BE288" s="24"/>
      <c r="BF288" s="24"/>
      <c r="BG288" s="24"/>
      <c r="BH288" s="343"/>
      <c r="BI288" s="343"/>
      <c r="BJ288" s="24"/>
      <c r="BK288" s="3"/>
      <c r="BL288" s="3"/>
      <c r="BM288" s="24"/>
      <c r="BN288" s="3"/>
      <c r="BO288" s="3"/>
      <c r="BP288" s="3"/>
      <c r="BQ288" s="3"/>
      <c r="BR288" s="3"/>
      <c r="BS288" s="3"/>
      <c r="BT288" s="3"/>
      <c r="BU288" s="24"/>
      <c r="BV288" s="24"/>
      <c r="BW288" s="24"/>
      <c r="BX288" s="24"/>
      <c r="BY288" s="24"/>
      <c r="BZ288" s="3"/>
      <c r="CA288" s="3"/>
      <c r="CB288" s="24"/>
      <c r="CC288" s="24"/>
      <c r="CD288" s="24"/>
      <c r="CE288" s="24"/>
      <c r="CF288" s="24"/>
      <c r="CG288" s="24"/>
      <c r="CH288" s="24"/>
      <c r="CI288" s="3"/>
      <c r="CJ288" s="3"/>
      <c r="CK288" s="24"/>
      <c r="CL288" s="3"/>
      <c r="CM288" s="3"/>
      <c r="CN288" s="24"/>
      <c r="CO288" s="24"/>
      <c r="CP288" s="24"/>
      <c r="CQ288" s="24"/>
      <c r="CR288" s="24"/>
      <c r="CS288" s="3"/>
      <c r="CT288" s="3"/>
      <c r="CU288" s="3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3"/>
      <c r="DR288" s="24">
        <f t="shared" ref="DR288" si="46">SUM(M288:DQ288)</f>
        <v>12644.28</v>
      </c>
      <c r="DS288" s="3">
        <f t="shared" si="44"/>
        <v>0</v>
      </c>
      <c r="DU288" s="3">
        <v>12276</v>
      </c>
    </row>
    <row r="289" spans="1:125" x14ac:dyDescent="0.2">
      <c r="C289" s="7" t="s">
        <v>2391</v>
      </c>
      <c r="D289" s="7" t="s">
        <v>2392</v>
      </c>
      <c r="E289" s="203" t="s">
        <v>99</v>
      </c>
      <c r="F289" s="33" t="s">
        <v>2662</v>
      </c>
      <c r="G289" s="231">
        <f t="shared" si="40"/>
        <v>26769.66</v>
      </c>
      <c r="H289" s="207"/>
      <c r="I289" s="342" t="s">
        <v>2697</v>
      </c>
      <c r="J289" s="2"/>
      <c r="K289" s="2"/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83"/>
      <c r="AL289" s="24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>
        <f>+G289</f>
        <v>26769.66</v>
      </c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24">
        <f t="shared" ref="DR289:DR306" si="47">SUM(M289:DQ289)</f>
        <v>26769.66</v>
      </c>
      <c r="DS289" s="3">
        <f t="shared" si="44"/>
        <v>0</v>
      </c>
      <c r="DU289" s="3">
        <v>25989.96</v>
      </c>
    </row>
    <row r="290" spans="1:125" x14ac:dyDescent="0.2">
      <c r="C290" s="7" t="s">
        <v>2394</v>
      </c>
      <c r="D290" s="7" t="s">
        <v>2395</v>
      </c>
      <c r="E290" s="205" t="s">
        <v>1407</v>
      </c>
      <c r="F290" s="33" t="s">
        <v>2662</v>
      </c>
      <c r="G290" s="231">
        <f t="shared" si="40"/>
        <v>24862.14</v>
      </c>
      <c r="H290" s="207"/>
      <c r="I290" s="3" t="s">
        <v>2700</v>
      </c>
      <c r="J290" s="2"/>
      <c r="K290" s="2"/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24"/>
      <c r="AJ290" s="3"/>
      <c r="AK290" s="28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>
        <f>+G290</f>
        <v>24862.14</v>
      </c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24">
        <f t="shared" si="47"/>
        <v>24862.14</v>
      </c>
      <c r="DS290" s="3">
        <f t="shared" si="44"/>
        <v>0</v>
      </c>
      <c r="DU290" s="3">
        <v>24138</v>
      </c>
    </row>
    <row r="291" spans="1:125" x14ac:dyDescent="0.2">
      <c r="C291" s="7" t="s">
        <v>2383</v>
      </c>
      <c r="D291" s="7" t="s">
        <v>2396</v>
      </c>
      <c r="E291" s="205" t="s">
        <v>598</v>
      </c>
      <c r="F291" s="33" t="s">
        <v>2662</v>
      </c>
      <c r="G291" s="231">
        <f t="shared" si="40"/>
        <v>25289.55</v>
      </c>
      <c r="H291" s="207"/>
      <c r="I291" s="2" t="s">
        <v>2694</v>
      </c>
      <c r="J291" s="2"/>
      <c r="K291" s="2"/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24"/>
      <c r="AJ291" s="3"/>
      <c r="AK291" s="28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>
        <f>+G291</f>
        <v>25289.55</v>
      </c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24">
        <f t="shared" si="47"/>
        <v>25289.55</v>
      </c>
      <c r="DS291" s="3">
        <f t="shared" si="44"/>
        <v>0</v>
      </c>
      <c r="DU291" s="3">
        <v>24552.959999999999</v>
      </c>
    </row>
    <row r="292" spans="1:125" x14ac:dyDescent="0.2">
      <c r="C292" s="7" t="s">
        <v>2407</v>
      </c>
      <c r="D292" s="7" t="s">
        <v>2399</v>
      </c>
      <c r="E292" s="205" t="s">
        <v>2301</v>
      </c>
      <c r="F292" s="255" t="s">
        <v>2662</v>
      </c>
      <c r="G292" s="231">
        <f t="shared" ref="G292:G306" si="48">IF(DU292&lt;30000,DU292*1.03,+DU292)</f>
        <v>37289.040000000001</v>
      </c>
      <c r="H292" s="207"/>
      <c r="I292" s="2" t="s">
        <v>2676</v>
      </c>
      <c r="J292" s="2" t="s">
        <v>2945</v>
      </c>
      <c r="K292" s="2"/>
      <c r="L292" s="2"/>
      <c r="M292" s="3"/>
      <c r="N292" s="3">
        <f>0.5*G292</f>
        <v>18644.52</v>
      </c>
      <c r="O292" s="3">
        <f>+G292*0.5</f>
        <v>18644.52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24"/>
      <c r="AJ292" s="3"/>
      <c r="AK292" s="28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24">
        <f t="shared" si="47"/>
        <v>37289.040000000001</v>
      </c>
      <c r="DS292" s="3">
        <f t="shared" ref="DS292:DS306" si="49">DR292-G292</f>
        <v>0</v>
      </c>
      <c r="DU292" s="3">
        <v>37289.040000000001</v>
      </c>
    </row>
    <row r="293" spans="1:125" x14ac:dyDescent="0.2">
      <c r="A293" s="251"/>
      <c r="C293" s="7" t="s">
        <v>2318</v>
      </c>
      <c r="D293" s="7" t="s">
        <v>2319</v>
      </c>
      <c r="E293" s="205" t="s">
        <v>2299</v>
      </c>
      <c r="F293" s="33" t="s">
        <v>2662</v>
      </c>
      <c r="G293" s="231">
        <f t="shared" si="48"/>
        <v>24227.7</v>
      </c>
      <c r="H293" s="207"/>
      <c r="I293" s="2" t="s">
        <v>2680</v>
      </c>
      <c r="J293" s="2"/>
      <c r="K293" s="2"/>
      <c r="L293" s="2"/>
      <c r="M293" s="3"/>
      <c r="N293" s="3"/>
      <c r="O293" s="3">
        <f>+G293</f>
        <v>24227.7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24"/>
      <c r="AJ293" s="3"/>
      <c r="AK293" s="28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24">
        <f t="shared" si="47"/>
        <v>24227.7</v>
      </c>
      <c r="DS293" s="3">
        <f t="shared" si="49"/>
        <v>0</v>
      </c>
      <c r="DU293" s="3">
        <v>23522.04</v>
      </c>
    </row>
    <row r="294" spans="1:125" x14ac:dyDescent="0.2">
      <c r="C294" s="7" t="s">
        <v>2400</v>
      </c>
      <c r="D294" s="7" t="s">
        <v>2401</v>
      </c>
      <c r="E294" s="205" t="s">
        <v>202</v>
      </c>
      <c r="F294" s="33" t="s">
        <v>2662</v>
      </c>
      <c r="G294" s="231">
        <f t="shared" si="48"/>
        <v>27938.79</v>
      </c>
      <c r="H294" s="207"/>
      <c r="I294" s="3" t="s">
        <v>2815</v>
      </c>
      <c r="J294" s="2"/>
      <c r="K294" s="2"/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8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24"/>
      <c r="BM294" s="3">
        <f>+G294</f>
        <v>27938.79</v>
      </c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24" t="s">
        <v>342</v>
      </c>
      <c r="CI294" s="3"/>
      <c r="CJ294" s="24"/>
      <c r="CK294" s="3"/>
      <c r="CL294" s="3"/>
      <c r="CM294" s="3"/>
      <c r="CN294" s="3"/>
      <c r="CO294" s="3"/>
      <c r="CP294" s="3"/>
      <c r="CQ294" s="3"/>
      <c r="CR294" s="24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24">
        <f t="shared" si="47"/>
        <v>27938.79</v>
      </c>
      <c r="DS294" s="3">
        <f t="shared" si="49"/>
        <v>0</v>
      </c>
      <c r="DU294" s="3">
        <v>27125.040000000001</v>
      </c>
    </row>
    <row r="295" spans="1:125" x14ac:dyDescent="0.2">
      <c r="C295" s="7" t="s">
        <v>2272</v>
      </c>
      <c r="D295" s="7" t="s">
        <v>2333</v>
      </c>
      <c r="E295" s="220" t="s">
        <v>2208</v>
      </c>
      <c r="F295" s="33" t="s">
        <v>2662</v>
      </c>
      <c r="G295" s="231">
        <f t="shared" si="48"/>
        <v>24862.14</v>
      </c>
      <c r="H295" s="207"/>
      <c r="I295" s="3" t="s">
        <v>2698</v>
      </c>
      <c r="J295" s="2"/>
      <c r="K295" s="2"/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8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24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24"/>
      <c r="CI295" s="3"/>
      <c r="CJ295" s="24"/>
      <c r="CK295" s="3">
        <f>+G295</f>
        <v>24862.14</v>
      </c>
      <c r="CL295" s="3"/>
      <c r="CM295" s="3"/>
      <c r="CN295" s="3"/>
      <c r="CO295" s="3"/>
      <c r="CP295" s="3"/>
      <c r="CQ295" s="3"/>
      <c r="CR295" s="24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24">
        <f t="shared" si="47"/>
        <v>24862.14</v>
      </c>
      <c r="DS295" s="3">
        <f t="shared" si="49"/>
        <v>0</v>
      </c>
      <c r="DU295" s="3">
        <v>24138</v>
      </c>
    </row>
    <row r="296" spans="1:125" x14ac:dyDescent="0.2">
      <c r="C296" s="7" t="s">
        <v>2403</v>
      </c>
      <c r="D296" s="7" t="s">
        <v>2404</v>
      </c>
      <c r="E296" s="205" t="s">
        <v>602</v>
      </c>
      <c r="F296" s="33" t="s">
        <v>2662</v>
      </c>
      <c r="G296" s="231">
        <f t="shared" si="48"/>
        <v>26877.81</v>
      </c>
      <c r="H296" s="207"/>
      <c r="I296" s="2" t="s">
        <v>2964</v>
      </c>
      <c r="J296" s="2" t="s">
        <v>2949</v>
      </c>
      <c r="K296" s="2"/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8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24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>
        <f>+G296*0.5</f>
        <v>13438.91</v>
      </c>
      <c r="BY296" s="3"/>
      <c r="BZ296" s="3">
        <f>+G296*0.5</f>
        <v>13438.91</v>
      </c>
      <c r="CA296" s="3"/>
      <c r="CB296" s="3"/>
      <c r="CC296" s="3"/>
      <c r="CD296" s="3"/>
      <c r="CE296" s="3"/>
      <c r="CF296" s="3"/>
      <c r="CG296" s="3"/>
      <c r="CH296" s="24"/>
      <c r="CI296" s="3"/>
      <c r="CJ296" s="24"/>
      <c r="CK296" s="3"/>
      <c r="CL296" s="3"/>
      <c r="CM296" s="3"/>
      <c r="CN296" s="3"/>
      <c r="CO296" s="3"/>
      <c r="CP296" s="3"/>
      <c r="CQ296" s="3"/>
      <c r="CR296" s="24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24">
        <f t="shared" si="47"/>
        <v>26877.82</v>
      </c>
      <c r="DS296" s="3">
        <f t="shared" si="49"/>
        <v>0.01</v>
      </c>
      <c r="DU296" s="3">
        <v>26094.959999999999</v>
      </c>
    </row>
    <row r="297" spans="1:125" x14ac:dyDescent="0.2">
      <c r="A297" s="251"/>
      <c r="C297" s="7" t="s">
        <v>2830</v>
      </c>
      <c r="D297" s="7" t="s">
        <v>2831</v>
      </c>
      <c r="E297" s="205" t="s">
        <v>2829</v>
      </c>
      <c r="F297" s="255" t="s">
        <v>2662</v>
      </c>
      <c r="G297" s="231">
        <f t="shared" si="48"/>
        <v>24440.91</v>
      </c>
      <c r="H297" s="207"/>
      <c r="I297" s="342" t="s">
        <v>2771</v>
      </c>
      <c r="J297" s="2"/>
      <c r="K297" s="2"/>
      <c r="L297" s="2"/>
      <c r="M297" s="3"/>
      <c r="N297" s="3"/>
      <c r="O297" s="3"/>
      <c r="P297" s="3"/>
      <c r="Q297" s="24"/>
      <c r="R297" s="24"/>
      <c r="S297" s="24"/>
      <c r="T297" s="3"/>
      <c r="U297" s="3"/>
      <c r="V297" s="3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3"/>
      <c r="AJ297" s="24"/>
      <c r="AK297" s="284"/>
      <c r="AL297" s="24"/>
      <c r="AM297" s="3"/>
      <c r="AN297" s="3"/>
      <c r="AO297" s="3"/>
      <c r="AP297" s="3"/>
      <c r="AQ297" s="3"/>
      <c r="AR297" s="3"/>
      <c r="AS297" s="24"/>
      <c r="AT297" s="24"/>
      <c r="AU297" s="24"/>
      <c r="AV297" s="24"/>
      <c r="AW297" s="24"/>
      <c r="AX297" s="24"/>
      <c r="AY297" s="3"/>
      <c r="AZ297" s="24"/>
      <c r="BA297" s="24"/>
      <c r="BB297" s="24"/>
      <c r="BC297" s="24"/>
      <c r="BD297" s="24"/>
      <c r="BE297" s="24"/>
      <c r="BF297" s="24"/>
      <c r="BG297" s="24"/>
      <c r="BH297" s="343"/>
      <c r="BI297" s="343"/>
      <c r="BJ297" s="24"/>
      <c r="BK297" s="3"/>
      <c r="BL297" s="3"/>
      <c r="BM297" s="24"/>
      <c r="BN297" s="3"/>
      <c r="BO297" s="3"/>
      <c r="BP297" s="3"/>
      <c r="BQ297" s="3"/>
      <c r="BR297" s="3"/>
      <c r="BS297" s="3"/>
      <c r="BT297" s="3"/>
      <c r="BU297" s="24"/>
      <c r="BV297" s="24"/>
      <c r="BW297" s="24"/>
      <c r="BX297" s="24"/>
      <c r="BY297" s="24"/>
      <c r="BZ297" s="3"/>
      <c r="CA297" s="3"/>
      <c r="CB297" s="24"/>
      <c r="CC297" s="24"/>
      <c r="CD297" s="24"/>
      <c r="CE297" s="24"/>
      <c r="CF297" s="24"/>
      <c r="CG297" s="24"/>
      <c r="CH297" s="24"/>
      <c r="CI297" s="3"/>
      <c r="CJ297" s="3"/>
      <c r="CK297" s="24"/>
      <c r="CL297" s="3">
        <f>+G297</f>
        <v>24440.91</v>
      </c>
      <c r="CM297" s="3"/>
      <c r="CN297" s="24"/>
      <c r="CO297" s="24"/>
      <c r="CP297" s="24"/>
      <c r="CQ297" s="24"/>
      <c r="CR297" s="24"/>
      <c r="CS297" s="3"/>
      <c r="CT297" s="3"/>
      <c r="CU297" s="3"/>
      <c r="CV297" s="3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3"/>
      <c r="DR297" s="24">
        <f t="shared" si="47"/>
        <v>24440.91</v>
      </c>
      <c r="DS297" s="3">
        <f t="shared" si="49"/>
        <v>0</v>
      </c>
      <c r="DU297" s="3">
        <v>23729.040000000001</v>
      </c>
    </row>
    <row r="298" spans="1:125" x14ac:dyDescent="0.2">
      <c r="A298" s="251"/>
      <c r="C298" s="7" t="s">
        <v>2383</v>
      </c>
      <c r="D298" s="7" t="s">
        <v>2831</v>
      </c>
      <c r="E298" s="205" t="s">
        <v>2832</v>
      </c>
      <c r="F298" s="255" t="s">
        <v>2662</v>
      </c>
      <c r="G298" s="231">
        <f t="shared" si="48"/>
        <v>25498.68</v>
      </c>
      <c r="H298" s="207"/>
      <c r="I298" s="2" t="s">
        <v>2678</v>
      </c>
      <c r="J298" s="2"/>
      <c r="K298" s="2"/>
      <c r="L298" s="2"/>
      <c r="M298" s="3"/>
      <c r="N298" s="3"/>
      <c r="O298" s="3"/>
      <c r="P298" s="3"/>
      <c r="Q298" s="24"/>
      <c r="R298" s="24"/>
      <c r="S298" s="24"/>
      <c r="T298" s="3"/>
      <c r="U298" s="3"/>
      <c r="V298" s="3"/>
      <c r="W298" s="24"/>
      <c r="X298" s="24"/>
      <c r="Y298" s="24"/>
      <c r="Z298" s="24">
        <f>+G298</f>
        <v>25498.68</v>
      </c>
      <c r="AA298" s="24"/>
      <c r="AB298" s="24"/>
      <c r="AC298" s="24"/>
      <c r="AD298" s="24"/>
      <c r="AE298" s="24"/>
      <c r="AF298" s="24"/>
      <c r="AG298" s="24"/>
      <c r="AH298" s="24"/>
      <c r="AI298" s="3"/>
      <c r="AJ298" s="24"/>
      <c r="AK298" s="284"/>
      <c r="AL298" s="24"/>
      <c r="AM298" s="3"/>
      <c r="AN298" s="3"/>
      <c r="AO298" s="3"/>
      <c r="AP298" s="3"/>
      <c r="AQ298" s="3"/>
      <c r="AR298" s="3"/>
      <c r="AS298" s="24"/>
      <c r="AT298" s="24"/>
      <c r="AU298" s="24"/>
      <c r="AV298" s="24"/>
      <c r="AW298" s="24"/>
      <c r="AX298" s="24"/>
      <c r="AY298" s="3"/>
      <c r="AZ298" s="24"/>
      <c r="BA298" s="24"/>
      <c r="BB298" s="24"/>
      <c r="BC298" s="24"/>
      <c r="BD298" s="24"/>
      <c r="BE298" s="24"/>
      <c r="BF298" s="24"/>
      <c r="BG298" s="24"/>
      <c r="BH298" s="343"/>
      <c r="BI298" s="343"/>
      <c r="BJ298" s="24"/>
      <c r="BK298" s="3"/>
      <c r="BL298" s="3"/>
      <c r="BM298" s="24"/>
      <c r="BN298" s="3"/>
      <c r="BO298" s="3"/>
      <c r="BP298" s="3"/>
      <c r="BQ298" s="3"/>
      <c r="BR298" s="3"/>
      <c r="BS298" s="3"/>
      <c r="BT298" s="3"/>
      <c r="BU298" s="24"/>
      <c r="BV298" s="24"/>
      <c r="BW298" s="24"/>
      <c r="BX298" s="24"/>
      <c r="BY298" s="24"/>
      <c r="BZ298" s="3"/>
      <c r="CA298" s="3"/>
      <c r="CB298" s="24"/>
      <c r="CC298" s="24"/>
      <c r="CD298" s="24"/>
      <c r="CE298" s="24"/>
      <c r="CF298" s="24"/>
      <c r="CG298" s="24"/>
      <c r="CH298" s="24"/>
      <c r="CI298" s="3"/>
      <c r="CJ298" s="3"/>
      <c r="CK298" s="24"/>
      <c r="CL298" s="3"/>
      <c r="CM298" s="3"/>
      <c r="CN298" s="24"/>
      <c r="CO298" s="24"/>
      <c r="CP298" s="24"/>
      <c r="CQ298" s="24"/>
      <c r="CR298" s="24"/>
      <c r="CS298" s="3"/>
      <c r="CT298" s="3"/>
      <c r="CU298" s="3"/>
      <c r="CV298" s="3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3"/>
      <c r="DR298" s="24">
        <f t="shared" si="47"/>
        <v>25498.68</v>
      </c>
      <c r="DS298" s="3">
        <f t="shared" si="49"/>
        <v>0</v>
      </c>
      <c r="DU298" s="3">
        <v>24756</v>
      </c>
    </row>
    <row r="299" spans="1:125" x14ac:dyDescent="0.2">
      <c r="A299" s="251"/>
      <c r="C299" s="7" t="s">
        <v>3034</v>
      </c>
      <c r="D299" s="7" t="s">
        <v>3035</v>
      </c>
      <c r="E299" s="205" t="s">
        <v>3036</v>
      </c>
      <c r="F299" s="255" t="s">
        <v>2662</v>
      </c>
      <c r="G299" s="231">
        <f t="shared" si="48"/>
        <v>25924.07</v>
      </c>
      <c r="H299" s="207"/>
      <c r="I299" s="3" t="s">
        <v>3037</v>
      </c>
      <c r="J299" s="2"/>
      <c r="K299" s="2"/>
      <c r="L299" s="2"/>
      <c r="M299" s="3"/>
      <c r="N299" s="3"/>
      <c r="O299" s="3"/>
      <c r="P299" s="3"/>
      <c r="Q299" s="24"/>
      <c r="R299" s="24"/>
      <c r="S299" s="24"/>
      <c r="T299" s="3"/>
      <c r="U299" s="3"/>
      <c r="V299" s="3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3"/>
      <c r="AJ299" s="24"/>
      <c r="AK299" s="284"/>
      <c r="AL299" s="24"/>
      <c r="AM299" s="3"/>
      <c r="AN299" s="3"/>
      <c r="AO299" s="3"/>
      <c r="AP299" s="3"/>
      <c r="AQ299" s="3"/>
      <c r="AR299" s="3"/>
      <c r="AS299" s="24"/>
      <c r="AT299" s="24"/>
      <c r="AU299" s="24"/>
      <c r="AV299" s="24"/>
      <c r="AW299" s="24"/>
      <c r="AX299" s="24"/>
      <c r="AY299" s="3"/>
      <c r="AZ299" s="24"/>
      <c r="BA299" s="24"/>
      <c r="BB299" s="24"/>
      <c r="BC299" s="24"/>
      <c r="BD299" s="24"/>
      <c r="BE299" s="24"/>
      <c r="BF299" s="24"/>
      <c r="BG299" s="24"/>
      <c r="BH299" s="343"/>
      <c r="BI299" s="343"/>
      <c r="BJ299" s="24"/>
      <c r="BK299" s="3"/>
      <c r="BL299" s="3"/>
      <c r="BM299" s="24"/>
      <c r="BN299" s="3">
        <f>+G299</f>
        <v>25924.07</v>
      </c>
      <c r="BO299" s="3"/>
      <c r="BP299" s="3"/>
      <c r="BQ299" s="3"/>
      <c r="BR299" s="3"/>
      <c r="BS299" s="3"/>
      <c r="BT299" s="3"/>
      <c r="BU299" s="24"/>
      <c r="BV299" s="24"/>
      <c r="BW299" s="24"/>
      <c r="BX299" s="24"/>
      <c r="BY299" s="24"/>
      <c r="BZ299" s="3"/>
      <c r="CA299" s="3"/>
      <c r="CB299" s="24"/>
      <c r="CC299" s="24"/>
      <c r="CD299" s="24"/>
      <c r="CE299" s="24"/>
      <c r="CF299" s="24"/>
      <c r="CG299" s="24"/>
      <c r="CH299" s="24"/>
      <c r="CI299" s="3"/>
      <c r="CJ299" s="3"/>
      <c r="CK299" s="24"/>
      <c r="CL299" s="3"/>
      <c r="CM299" s="3"/>
      <c r="CN299" s="24"/>
      <c r="CO299" s="24"/>
      <c r="CP299" s="24"/>
      <c r="CQ299" s="24"/>
      <c r="CR299" s="24"/>
      <c r="CS299" s="3"/>
      <c r="CT299" s="3"/>
      <c r="CU299" s="3"/>
      <c r="CV299" s="3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3"/>
      <c r="DR299" s="24">
        <f t="shared" ref="DR299" si="50">SUM(M299:DQ299)</f>
        <v>25924.07</v>
      </c>
      <c r="DS299" s="3">
        <f t="shared" si="49"/>
        <v>0</v>
      </c>
      <c r="DU299" s="3">
        <v>25169</v>
      </c>
    </row>
    <row r="300" spans="1:125" x14ac:dyDescent="0.2">
      <c r="C300" s="7" t="s">
        <v>2405</v>
      </c>
      <c r="D300" s="7" t="s">
        <v>2291</v>
      </c>
      <c r="E300" s="203" t="s">
        <v>203</v>
      </c>
      <c r="F300" s="33" t="s">
        <v>2662</v>
      </c>
      <c r="G300" s="231">
        <f t="shared" si="48"/>
        <v>28156.080000000002</v>
      </c>
      <c r="H300" s="207"/>
      <c r="I300" s="2" t="s">
        <v>2697</v>
      </c>
      <c r="J300" s="2"/>
      <c r="K300" s="2"/>
      <c r="L300" s="2"/>
      <c r="M300" s="3"/>
      <c r="N300" s="3"/>
      <c r="O300" s="24"/>
      <c r="P300" s="3"/>
      <c r="Q300" s="3"/>
      <c r="R300" s="24"/>
      <c r="S300" s="24"/>
      <c r="T300" s="3"/>
      <c r="U300" s="3"/>
      <c r="V300" s="3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3"/>
      <c r="AJ300" s="24"/>
      <c r="AK300" s="284"/>
      <c r="AL300" s="24"/>
      <c r="AM300" s="3"/>
      <c r="AN300" s="3"/>
      <c r="AO300" s="3"/>
      <c r="AP300" s="3"/>
      <c r="AQ300" s="3"/>
      <c r="AR300" s="3"/>
      <c r="AS300" s="24"/>
      <c r="AT300" s="24"/>
      <c r="AU300" s="24"/>
      <c r="AV300" s="24"/>
      <c r="AW300" s="24"/>
      <c r="AX300" s="24"/>
      <c r="AY300" s="3"/>
      <c r="AZ300" s="24"/>
      <c r="BA300" s="24"/>
      <c r="BB300" s="24"/>
      <c r="BC300" s="24"/>
      <c r="BD300" s="24"/>
      <c r="BE300" s="24"/>
      <c r="BF300" s="24"/>
      <c r="BG300" s="24"/>
      <c r="BH300" s="343"/>
      <c r="BI300" s="343"/>
      <c r="BJ300" s="24"/>
      <c r="BK300" s="3"/>
      <c r="BL300" s="3"/>
      <c r="BM300" s="24"/>
      <c r="BN300" s="3"/>
      <c r="BO300" s="3"/>
      <c r="BP300" s="3"/>
      <c r="BQ300" s="3"/>
      <c r="BR300" s="3"/>
      <c r="BS300" s="3"/>
      <c r="BT300" s="3"/>
      <c r="BU300" s="24"/>
      <c r="BV300" s="24"/>
      <c r="BW300" s="24"/>
      <c r="BX300" s="24"/>
      <c r="BY300" s="24"/>
      <c r="BZ300" s="3"/>
      <c r="CA300" s="3"/>
      <c r="CB300" s="24"/>
      <c r="CC300" s="24"/>
      <c r="CD300" s="24"/>
      <c r="CE300" s="24"/>
      <c r="CF300" s="24"/>
      <c r="CG300" s="24"/>
      <c r="CH300" s="24">
        <f>+G300</f>
        <v>28156.080000000002</v>
      </c>
      <c r="CI300" s="3"/>
      <c r="CJ300" s="3"/>
      <c r="CK300" s="24"/>
      <c r="CL300" s="3"/>
      <c r="CM300" s="3"/>
      <c r="CN300" s="24"/>
      <c r="CO300" s="24"/>
      <c r="CP300" s="24"/>
      <c r="CQ300" s="24"/>
      <c r="CR300" s="24"/>
      <c r="CS300" s="3"/>
      <c r="CT300" s="3"/>
      <c r="CU300" s="3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3"/>
      <c r="DR300" s="24">
        <f t="shared" si="47"/>
        <v>28156.080000000002</v>
      </c>
      <c r="DS300" s="3">
        <f t="shared" si="49"/>
        <v>0</v>
      </c>
      <c r="DU300" s="3">
        <v>27336</v>
      </c>
    </row>
    <row r="301" spans="1:125" x14ac:dyDescent="0.2">
      <c r="C301" s="7" t="s">
        <v>2328</v>
      </c>
      <c r="D301" s="7" t="s">
        <v>2291</v>
      </c>
      <c r="E301" s="205" t="s">
        <v>603</v>
      </c>
      <c r="F301" s="33" t="s">
        <v>2662</v>
      </c>
      <c r="G301" s="231">
        <f t="shared" si="48"/>
        <v>30273.69</v>
      </c>
      <c r="H301" s="207"/>
      <c r="I301" s="3" t="s">
        <v>2701</v>
      </c>
      <c r="J301" s="2"/>
      <c r="K301" s="2"/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8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>
        <f>+G301</f>
        <v>30273.69</v>
      </c>
      <c r="CT301" s="3"/>
      <c r="CU301" s="3"/>
      <c r="CV301" s="3"/>
      <c r="CW301" s="3"/>
      <c r="CX301" s="24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24">
        <f t="shared" si="47"/>
        <v>30273.69</v>
      </c>
      <c r="DS301" s="3">
        <f t="shared" si="49"/>
        <v>0</v>
      </c>
      <c r="DU301" s="3">
        <v>29391.93</v>
      </c>
    </row>
    <row r="302" spans="1:125" x14ac:dyDescent="0.2">
      <c r="C302" s="7" t="s">
        <v>2316</v>
      </c>
      <c r="D302" s="7" t="s">
        <v>2406</v>
      </c>
      <c r="E302" s="205" t="s">
        <v>490</v>
      </c>
      <c r="F302" s="33" t="s">
        <v>2662</v>
      </c>
      <c r="G302" s="231">
        <f t="shared" si="48"/>
        <v>26347.439999999999</v>
      </c>
      <c r="H302" s="207"/>
      <c r="I302" s="2" t="s">
        <v>2688</v>
      </c>
      <c r="J302" s="3"/>
      <c r="K302" s="3"/>
      <c r="L302" s="3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3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8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>
        <f>+G302</f>
        <v>26347.439999999999</v>
      </c>
      <c r="AZ302" s="24"/>
      <c r="BA302" s="24"/>
      <c r="BB302" s="24"/>
      <c r="BC302" s="24"/>
      <c r="BD302" s="24"/>
      <c r="BE302" s="24"/>
      <c r="BF302" s="24"/>
      <c r="BG302" s="24"/>
      <c r="BH302" s="343"/>
      <c r="BI302" s="343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3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3" t="s">
        <v>342</v>
      </c>
      <c r="CM302" s="24" t="s">
        <v>342</v>
      </c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>
        <f t="shared" si="47"/>
        <v>26347.439999999999</v>
      </c>
      <c r="DS302" s="3">
        <f t="shared" si="49"/>
        <v>0</v>
      </c>
      <c r="DU302" s="3">
        <v>25580.04</v>
      </c>
    </row>
    <row r="303" spans="1:125" x14ac:dyDescent="0.2">
      <c r="C303" s="7" t="s">
        <v>2361</v>
      </c>
      <c r="D303" s="7" t="s">
        <v>2362</v>
      </c>
      <c r="E303" s="205" t="s">
        <v>2218</v>
      </c>
      <c r="F303" s="33" t="s">
        <v>2662</v>
      </c>
      <c r="G303" s="231">
        <f t="shared" si="48"/>
        <v>27304.23</v>
      </c>
      <c r="H303" s="207"/>
      <c r="I303" s="7" t="s">
        <v>2971</v>
      </c>
      <c r="J303" s="2"/>
      <c r="K303" s="2"/>
      <c r="L303" s="2"/>
      <c r="M303" s="3"/>
      <c r="N303" s="3"/>
      <c r="O303" s="24"/>
      <c r="P303" s="3"/>
      <c r="Q303" s="3"/>
      <c r="R303" s="24"/>
      <c r="S303" s="24"/>
      <c r="T303" s="3"/>
      <c r="U303" s="3"/>
      <c r="V303" s="3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3"/>
      <c r="AJ303" s="24"/>
      <c r="AK303" s="284"/>
      <c r="AL303" s="24"/>
      <c r="AM303" s="3"/>
      <c r="AN303" s="3"/>
      <c r="AO303" s="3"/>
      <c r="AP303" s="3"/>
      <c r="AQ303" s="3"/>
      <c r="AR303" s="3"/>
      <c r="AS303" s="24"/>
      <c r="AT303" s="24"/>
      <c r="AU303" s="24"/>
      <c r="AV303" s="24"/>
      <c r="AW303" s="24"/>
      <c r="AX303" s="24"/>
      <c r="AY303" s="3"/>
      <c r="AZ303" s="24"/>
      <c r="BA303" s="24"/>
      <c r="BB303" s="24"/>
      <c r="BC303" s="24"/>
      <c r="BD303" s="24"/>
      <c r="BE303" s="24"/>
      <c r="BF303" s="24"/>
      <c r="BG303" s="24">
        <f>+G303</f>
        <v>27304.23</v>
      </c>
      <c r="BH303" s="343"/>
      <c r="BI303" s="343"/>
      <c r="BJ303" s="24"/>
      <c r="BK303" s="3"/>
      <c r="BL303" s="3"/>
      <c r="BM303" s="24"/>
      <c r="BN303" s="3"/>
      <c r="BO303" s="3"/>
      <c r="BP303" s="3"/>
      <c r="BQ303" s="3"/>
      <c r="BR303" s="3"/>
      <c r="BS303" s="3"/>
      <c r="BT303" s="3"/>
      <c r="BU303" s="24"/>
      <c r="BV303" s="24"/>
      <c r="BW303" s="24"/>
      <c r="BX303" s="24"/>
      <c r="BY303" s="24"/>
      <c r="BZ303" s="3"/>
      <c r="CA303" s="3"/>
      <c r="CB303" s="24"/>
      <c r="CC303" s="24"/>
      <c r="CD303" s="24"/>
      <c r="CE303" s="24"/>
      <c r="CF303" s="24"/>
      <c r="CG303" s="24"/>
      <c r="CH303" s="24"/>
      <c r="CI303" s="3"/>
      <c r="CJ303" s="3"/>
      <c r="CK303" s="24"/>
      <c r="CL303" s="3"/>
      <c r="CM303" s="3"/>
      <c r="CN303" s="24"/>
      <c r="CO303" s="24"/>
      <c r="CP303" s="24"/>
      <c r="CQ303" s="24"/>
      <c r="CR303" s="24"/>
      <c r="CS303" s="3"/>
      <c r="CT303" s="3"/>
      <c r="CU303" s="3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3"/>
      <c r="DR303" s="24">
        <f t="shared" si="47"/>
        <v>27304.23</v>
      </c>
      <c r="DS303" s="3">
        <f t="shared" si="49"/>
        <v>0</v>
      </c>
      <c r="DU303" s="3">
        <v>26508.959999999999</v>
      </c>
    </row>
    <row r="304" spans="1:125" x14ac:dyDescent="0.2">
      <c r="A304" s="251" t="s">
        <v>3067</v>
      </c>
      <c r="E304" s="205" t="s">
        <v>3198</v>
      </c>
      <c r="F304" s="255" t="s">
        <v>2662</v>
      </c>
      <c r="G304" s="206">
        <f t="shared" si="48"/>
        <v>25750</v>
      </c>
      <c r="H304" s="207"/>
      <c r="I304" s="3" t="s">
        <v>2698</v>
      </c>
      <c r="J304" s="2"/>
      <c r="K304" s="2"/>
      <c r="L304" s="2"/>
      <c r="M304" s="3"/>
      <c r="N304" s="3"/>
      <c r="O304" s="343"/>
      <c r="P304" s="3"/>
      <c r="Q304" s="3"/>
      <c r="R304" s="343"/>
      <c r="S304" s="343"/>
      <c r="T304" s="3"/>
      <c r="U304" s="3"/>
      <c r="V304" s="3"/>
      <c r="W304" s="343"/>
      <c r="X304" s="343"/>
      <c r="Y304" s="343"/>
      <c r="Z304" s="343"/>
      <c r="AA304" s="343"/>
      <c r="AB304" s="343"/>
      <c r="AC304" s="343"/>
      <c r="AD304" s="343"/>
      <c r="AE304" s="343"/>
      <c r="AF304" s="343"/>
      <c r="AG304" s="343"/>
      <c r="AH304" s="343"/>
      <c r="AI304" s="3"/>
      <c r="AJ304" s="343"/>
      <c r="AK304" s="284"/>
      <c r="AL304" s="343"/>
      <c r="AM304" s="3"/>
      <c r="AN304" s="3"/>
      <c r="AO304" s="3"/>
      <c r="AP304" s="3"/>
      <c r="AQ304" s="3"/>
      <c r="AR304" s="3"/>
      <c r="AS304" s="343"/>
      <c r="AT304" s="343"/>
      <c r="AU304" s="343"/>
      <c r="AV304" s="343"/>
      <c r="AW304" s="343"/>
      <c r="AX304" s="343"/>
      <c r="AY304" s="3"/>
      <c r="AZ304" s="343"/>
      <c r="BA304" s="343"/>
      <c r="BB304" s="343"/>
      <c r="BC304" s="343"/>
      <c r="BD304" s="343"/>
      <c r="BE304" s="343"/>
      <c r="BF304" s="343"/>
      <c r="BG304" s="343"/>
      <c r="BH304" s="343"/>
      <c r="BI304" s="343"/>
      <c r="BJ304" s="343"/>
      <c r="BK304" s="3"/>
      <c r="BL304" s="3"/>
      <c r="BM304" s="343"/>
      <c r="BN304" s="3"/>
      <c r="BO304" s="3"/>
      <c r="BP304" s="3"/>
      <c r="BQ304" s="3"/>
      <c r="BR304" s="3"/>
      <c r="BS304" s="3"/>
      <c r="BT304" s="3"/>
      <c r="BU304" s="343"/>
      <c r="BV304" s="343"/>
      <c r="BW304" s="343"/>
      <c r="BX304" s="343"/>
      <c r="BY304" s="343"/>
      <c r="BZ304" s="3"/>
      <c r="CA304" s="3"/>
      <c r="CB304" s="343"/>
      <c r="CC304" s="343"/>
      <c r="CD304" s="343"/>
      <c r="CE304" s="343"/>
      <c r="CF304" s="343"/>
      <c r="CG304" s="343"/>
      <c r="CH304" s="343"/>
      <c r="CI304" s="3"/>
      <c r="CJ304" s="3"/>
      <c r="CK304" s="343">
        <f>+G304</f>
        <v>25750</v>
      </c>
      <c r="CL304" s="3"/>
      <c r="CM304" s="3"/>
      <c r="CN304" s="343"/>
      <c r="CO304" s="343"/>
      <c r="CP304" s="343"/>
      <c r="CQ304" s="343"/>
      <c r="CR304" s="343"/>
      <c r="CS304" s="3"/>
      <c r="CT304" s="3"/>
      <c r="CU304" s="3"/>
      <c r="CV304" s="343"/>
      <c r="CW304" s="343"/>
      <c r="CX304" s="343"/>
      <c r="CY304" s="343"/>
      <c r="CZ304" s="343"/>
      <c r="DA304" s="343"/>
      <c r="DB304" s="343"/>
      <c r="DC304" s="343"/>
      <c r="DD304" s="343"/>
      <c r="DE304" s="343"/>
      <c r="DF304" s="343"/>
      <c r="DG304" s="343"/>
      <c r="DH304" s="343"/>
      <c r="DI304" s="343"/>
      <c r="DJ304" s="343"/>
      <c r="DK304" s="343"/>
      <c r="DL304" s="343"/>
      <c r="DM304" s="343"/>
      <c r="DN304" s="343"/>
      <c r="DO304" s="343"/>
      <c r="DP304" s="343"/>
      <c r="DQ304" s="3"/>
      <c r="DR304" s="343">
        <f t="shared" ref="DR304" si="51">SUM(M304:DQ304)</f>
        <v>25750</v>
      </c>
      <c r="DS304" s="3">
        <f>DR304-G304</f>
        <v>0</v>
      </c>
      <c r="DU304" s="3">
        <v>25000</v>
      </c>
    </row>
    <row r="305" spans="1:125" x14ac:dyDescent="0.2">
      <c r="A305" s="251"/>
      <c r="E305" s="493" t="s">
        <v>3723</v>
      </c>
      <c r="F305" s="255" t="s">
        <v>2662</v>
      </c>
      <c r="G305" s="491">
        <v>-40000</v>
      </c>
      <c r="H305" s="207"/>
      <c r="I305" s="2" t="s">
        <v>2796</v>
      </c>
      <c r="J305" s="2"/>
      <c r="K305" s="2"/>
      <c r="L305" s="2"/>
      <c r="M305" s="3"/>
      <c r="N305" s="3"/>
      <c r="O305" s="343"/>
      <c r="P305" s="3"/>
      <c r="Q305" s="334">
        <v>-40000</v>
      </c>
      <c r="R305" s="343"/>
      <c r="S305" s="343"/>
      <c r="T305" s="3"/>
      <c r="U305" s="3"/>
      <c r="V305" s="3"/>
      <c r="W305" s="343"/>
      <c r="X305" s="343"/>
      <c r="Y305" s="343"/>
      <c r="Z305" s="343"/>
      <c r="AA305" s="343"/>
      <c r="AB305" s="343"/>
      <c r="AC305" s="343"/>
      <c r="AD305" s="343"/>
      <c r="AE305" s="343"/>
      <c r="AF305" s="343"/>
      <c r="AG305" s="343"/>
      <c r="AH305" s="343"/>
      <c r="AI305" s="3"/>
      <c r="AJ305" s="343"/>
      <c r="AK305" s="284"/>
      <c r="AL305" s="343"/>
      <c r="AM305" s="3"/>
      <c r="AN305" s="3"/>
      <c r="AO305" s="3"/>
      <c r="AP305" s="3"/>
      <c r="AQ305" s="3"/>
      <c r="AR305" s="3"/>
      <c r="AS305" s="343"/>
      <c r="AT305" s="343"/>
      <c r="AU305" s="343"/>
      <c r="AV305" s="343"/>
      <c r="AW305" s="343"/>
      <c r="AX305" s="343"/>
      <c r="AY305" s="3"/>
      <c r="AZ305" s="343"/>
      <c r="BA305" s="343"/>
      <c r="BB305" s="343"/>
      <c r="BC305" s="343"/>
      <c r="BD305" s="343"/>
      <c r="BE305" s="343"/>
      <c r="BF305" s="343"/>
      <c r="BG305" s="343"/>
      <c r="BH305" s="343"/>
      <c r="BI305" s="343"/>
      <c r="BJ305" s="343"/>
      <c r="BK305" s="3"/>
      <c r="BL305" s="3"/>
      <c r="BM305" s="343"/>
      <c r="BN305" s="3"/>
      <c r="BO305" s="3"/>
      <c r="BP305" s="3"/>
      <c r="BQ305" s="3"/>
      <c r="BR305" s="3"/>
      <c r="BS305" s="3"/>
      <c r="BT305" s="3"/>
      <c r="BU305" s="343"/>
      <c r="BV305" s="343"/>
      <c r="BW305" s="343"/>
      <c r="BX305" s="343"/>
      <c r="BY305" s="343"/>
      <c r="BZ305" s="3"/>
      <c r="CA305" s="3"/>
      <c r="CB305" s="343"/>
      <c r="CC305" s="343"/>
      <c r="CD305" s="343"/>
      <c r="CE305" s="343"/>
      <c r="CF305" s="343"/>
      <c r="CG305" s="343"/>
      <c r="CH305" s="343"/>
      <c r="CI305" s="3"/>
      <c r="CJ305" s="3"/>
      <c r="CK305" s="343"/>
      <c r="CL305" s="3"/>
      <c r="CM305" s="3"/>
      <c r="CN305" s="343"/>
      <c r="CO305" s="343"/>
      <c r="CP305" s="343"/>
      <c r="CQ305" s="343"/>
      <c r="CR305" s="343"/>
      <c r="CS305" s="3"/>
      <c r="CT305" s="3"/>
      <c r="CU305" s="3"/>
      <c r="CV305" s="343"/>
      <c r="CW305" s="343"/>
      <c r="CX305" s="343"/>
      <c r="CY305" s="343"/>
      <c r="CZ305" s="343"/>
      <c r="DA305" s="343"/>
      <c r="DB305" s="343"/>
      <c r="DC305" s="343"/>
      <c r="DD305" s="343"/>
      <c r="DE305" s="343"/>
      <c r="DF305" s="343"/>
      <c r="DG305" s="343"/>
      <c r="DH305" s="343"/>
      <c r="DI305" s="343"/>
      <c r="DJ305" s="343"/>
      <c r="DK305" s="343"/>
      <c r="DL305" s="343"/>
      <c r="DM305" s="343"/>
      <c r="DN305" s="343"/>
      <c r="DO305" s="343"/>
      <c r="DP305" s="343"/>
      <c r="DQ305" s="3"/>
      <c r="DR305" s="388">
        <f t="shared" ref="DR305" si="52">SUM(M305:DQ305)</f>
        <v>-40000</v>
      </c>
      <c r="DS305" s="3">
        <f>DR305-G305</f>
        <v>0</v>
      </c>
      <c r="DU305" s="334">
        <v>-40000</v>
      </c>
    </row>
    <row r="306" spans="1:125" ht="16.5" customHeight="1" x14ac:dyDescent="0.2">
      <c r="A306" s="251" t="s">
        <v>3067</v>
      </c>
      <c r="E306" s="205" t="s">
        <v>3070</v>
      </c>
      <c r="F306" s="255" t="s">
        <v>2662</v>
      </c>
      <c r="G306" s="206">
        <f t="shared" si="48"/>
        <v>28840</v>
      </c>
      <c r="H306" s="207"/>
      <c r="I306" s="2" t="s">
        <v>2796</v>
      </c>
      <c r="M306" s="3"/>
      <c r="N306" s="3"/>
      <c r="O306" s="24"/>
      <c r="P306" s="3"/>
      <c r="Q306" s="3">
        <f>+G306</f>
        <v>28840</v>
      </c>
      <c r="R306" s="24"/>
      <c r="S306" s="24"/>
      <c r="T306" s="3"/>
      <c r="U306" s="3"/>
      <c r="V306" s="3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3"/>
      <c r="AJ306" s="24"/>
      <c r="AK306" s="284"/>
      <c r="AL306" s="24"/>
      <c r="AM306" s="3"/>
      <c r="AN306" s="3"/>
      <c r="AO306" s="3"/>
      <c r="AP306" s="3"/>
      <c r="AQ306" s="3"/>
      <c r="AR306" s="3"/>
      <c r="AS306" s="24"/>
      <c r="AT306" s="24"/>
      <c r="AU306" s="24"/>
      <c r="AV306" s="24"/>
      <c r="AW306" s="24"/>
      <c r="AX306" s="24"/>
      <c r="AY306" s="3"/>
      <c r="AZ306" s="24"/>
      <c r="BA306" s="24"/>
      <c r="BB306" s="24"/>
      <c r="BC306" s="24"/>
      <c r="BD306" s="24"/>
      <c r="BE306" s="24"/>
      <c r="BF306" s="24"/>
      <c r="BG306" s="24"/>
      <c r="BH306" s="343"/>
      <c r="BI306" s="343"/>
      <c r="BJ306" s="24"/>
      <c r="BK306" s="3"/>
      <c r="BL306" s="3"/>
      <c r="BM306" s="24"/>
      <c r="BN306" s="3"/>
      <c r="BO306" s="3"/>
      <c r="BP306" s="3"/>
      <c r="BQ306" s="3"/>
      <c r="BR306" s="3"/>
      <c r="BS306" s="3"/>
      <c r="BT306" s="3"/>
      <c r="BU306" s="24"/>
      <c r="BV306" s="24"/>
      <c r="BW306" s="24"/>
      <c r="BX306" s="24"/>
      <c r="BY306" s="24"/>
      <c r="BZ306" s="3"/>
      <c r="CA306" s="3"/>
      <c r="CB306" s="24"/>
      <c r="CC306" s="24"/>
      <c r="CD306" s="24"/>
      <c r="CE306" s="24"/>
      <c r="CF306" s="24"/>
      <c r="CG306" s="24"/>
      <c r="CH306" s="24"/>
      <c r="CI306" s="3"/>
      <c r="CJ306" s="3"/>
      <c r="CK306" s="24"/>
      <c r="CL306" s="3"/>
      <c r="CM306" s="3"/>
      <c r="CN306" s="24"/>
      <c r="CO306" s="24"/>
      <c r="CP306" s="24"/>
      <c r="CQ306" s="24"/>
      <c r="CR306" s="24"/>
      <c r="CS306" s="3"/>
      <c r="CT306" s="3"/>
      <c r="CU306" s="3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3"/>
      <c r="DI306" s="24"/>
      <c r="DJ306" s="24"/>
      <c r="DK306" s="24"/>
      <c r="DL306" s="24"/>
      <c r="DM306" s="24"/>
      <c r="DN306" s="24"/>
      <c r="DO306" s="24"/>
      <c r="DP306" s="24"/>
      <c r="DQ306" s="3"/>
      <c r="DR306" s="24">
        <f t="shared" si="47"/>
        <v>28840</v>
      </c>
      <c r="DS306" s="3">
        <f t="shared" si="49"/>
        <v>0</v>
      </c>
      <c r="DU306" s="3">
        <v>28000</v>
      </c>
    </row>
    <row r="307" spans="1:125" x14ac:dyDescent="0.2">
      <c r="E307" s="160"/>
      <c r="F307" s="33"/>
      <c r="G307" s="171">
        <f>SUM(G228:G306)</f>
        <v>2302915.21</v>
      </c>
      <c r="H307" s="207"/>
      <c r="I307" s="2"/>
      <c r="J307" s="2"/>
      <c r="K307" s="2"/>
      <c r="L307" s="2"/>
      <c r="M307" s="3"/>
      <c r="N307" s="3"/>
      <c r="O307" s="24"/>
      <c r="P307" s="3"/>
      <c r="Q307" s="3"/>
      <c r="R307" s="24"/>
      <c r="S307" s="24"/>
      <c r="T307" s="3"/>
      <c r="U307" s="3"/>
      <c r="V307" s="3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3"/>
      <c r="AJ307" s="24"/>
      <c r="AK307" s="284"/>
      <c r="AL307" s="24"/>
      <c r="AM307" s="24"/>
      <c r="AN307" s="24"/>
      <c r="AO307" s="3"/>
      <c r="AP307" s="3"/>
      <c r="AQ307" s="3"/>
      <c r="AR307" s="3"/>
      <c r="AS307" s="24"/>
      <c r="AT307" s="24"/>
      <c r="AU307" s="24"/>
      <c r="AV307" s="24"/>
      <c r="AW307" s="24"/>
      <c r="AX307" s="24"/>
      <c r="AY307" s="3"/>
      <c r="AZ307" s="24"/>
      <c r="BA307" s="24"/>
      <c r="BB307" s="24"/>
      <c r="BC307" s="24"/>
      <c r="BD307" s="24"/>
      <c r="BE307" s="24"/>
      <c r="BF307" s="24"/>
      <c r="BG307" s="24"/>
      <c r="BH307" s="343"/>
      <c r="BI307" s="343"/>
      <c r="BJ307" s="24"/>
      <c r="BK307" s="3"/>
      <c r="BL307" s="3"/>
      <c r="BM307" s="24"/>
      <c r="BN307" s="3"/>
      <c r="BO307" s="3"/>
      <c r="BP307" s="3"/>
      <c r="BQ307" s="3"/>
      <c r="BR307" s="3"/>
      <c r="BS307" s="3"/>
      <c r="BT307" s="3"/>
      <c r="BU307" s="24"/>
      <c r="BV307" s="24"/>
      <c r="BW307" s="24"/>
      <c r="BX307" s="24"/>
      <c r="BY307" s="24"/>
      <c r="BZ307" s="3"/>
      <c r="CA307" s="3"/>
      <c r="CB307" s="24"/>
      <c r="CC307" s="24"/>
      <c r="CD307" s="24"/>
      <c r="CE307" s="24"/>
      <c r="CF307" s="24"/>
      <c r="CG307" s="24"/>
      <c r="CH307" s="24"/>
      <c r="CI307" s="3"/>
      <c r="CJ307" s="3"/>
      <c r="CK307" s="24"/>
      <c r="CL307" s="3"/>
      <c r="CM307" s="3"/>
      <c r="CN307" s="24"/>
      <c r="CO307" s="24"/>
      <c r="CP307" s="24"/>
      <c r="CQ307" s="24"/>
      <c r="CR307" s="24"/>
      <c r="CS307" s="3"/>
      <c r="CT307" s="3"/>
      <c r="CU307" s="3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3"/>
      <c r="DR307" s="24"/>
      <c r="DS307" s="3"/>
    </row>
    <row r="308" spans="1:125" x14ac:dyDescent="0.2">
      <c r="E308" s="160" t="s">
        <v>342</v>
      </c>
      <c r="F308" s="33"/>
      <c r="G308" s="171"/>
      <c r="H308" s="207"/>
      <c r="M308" s="3"/>
      <c r="N308" s="3"/>
      <c r="O308" s="24"/>
      <c r="P308" s="3"/>
      <c r="Q308" s="3"/>
      <c r="R308" s="24"/>
      <c r="S308" s="24"/>
      <c r="T308" s="3"/>
      <c r="U308" s="3"/>
      <c r="V308" s="3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3"/>
      <c r="AJ308" s="24"/>
      <c r="AK308" s="284"/>
      <c r="AL308" s="24"/>
      <c r="AM308" s="3"/>
      <c r="AN308" s="3"/>
      <c r="AO308" s="3"/>
      <c r="AP308" s="3"/>
      <c r="AQ308" s="3"/>
      <c r="AR308" s="3"/>
      <c r="AS308" s="24"/>
      <c r="AT308" s="24"/>
      <c r="AU308" s="24"/>
      <c r="AV308" s="24"/>
      <c r="AW308" s="24"/>
      <c r="AX308" s="24"/>
      <c r="AY308" s="3"/>
      <c r="AZ308" s="24"/>
      <c r="BA308" s="24"/>
      <c r="BB308" s="24"/>
      <c r="BC308" s="24"/>
      <c r="BD308" s="24"/>
      <c r="BE308" s="24"/>
      <c r="BF308" s="24"/>
      <c r="BG308" s="24"/>
      <c r="BH308" s="343"/>
      <c r="BI308" s="343"/>
      <c r="BJ308" s="24"/>
      <c r="BK308" s="3"/>
      <c r="BL308" s="3"/>
      <c r="BM308" s="24"/>
      <c r="BN308" s="3"/>
      <c r="BO308" s="3"/>
      <c r="BP308" s="3"/>
      <c r="BQ308" s="3"/>
      <c r="BR308" s="3"/>
      <c r="BS308" s="3"/>
      <c r="BT308" s="3"/>
      <c r="BU308" s="24"/>
      <c r="BV308" s="24"/>
      <c r="BW308" s="24"/>
      <c r="BX308" s="24"/>
      <c r="BY308" s="24"/>
      <c r="BZ308" s="3"/>
      <c r="CA308" s="3"/>
      <c r="CB308" s="24"/>
      <c r="CC308" s="24"/>
      <c r="CD308" s="24"/>
      <c r="CE308" s="24"/>
      <c r="CF308" s="24"/>
      <c r="CG308" s="24"/>
      <c r="CH308" s="24"/>
      <c r="CI308" s="3"/>
      <c r="CJ308" s="3"/>
      <c r="CK308" s="24"/>
      <c r="CL308" s="3"/>
      <c r="CM308" s="3"/>
      <c r="CN308" s="24"/>
      <c r="CO308" s="24"/>
      <c r="CP308" s="24"/>
      <c r="CQ308" s="24"/>
      <c r="CR308" s="24"/>
      <c r="CS308" s="3"/>
      <c r="CT308" s="3"/>
      <c r="CU308" s="3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3"/>
      <c r="DR308" s="24"/>
      <c r="DS308" s="3"/>
    </row>
    <row r="309" spans="1:125" ht="15.75" x14ac:dyDescent="0.25">
      <c r="E309" s="508" t="s">
        <v>314</v>
      </c>
      <c r="F309" s="508"/>
      <c r="G309" s="508"/>
      <c r="H309" s="207"/>
      <c r="M309" s="3"/>
      <c r="N309" s="3"/>
      <c r="O309" s="24"/>
      <c r="P309" s="3"/>
      <c r="Q309" s="3"/>
      <c r="R309" s="24"/>
      <c r="S309" s="24"/>
      <c r="T309" s="3"/>
      <c r="U309" s="3"/>
      <c r="V309" s="3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3"/>
      <c r="AJ309" s="24"/>
      <c r="AK309" s="284"/>
      <c r="AL309" s="24"/>
      <c r="AM309" s="3"/>
      <c r="AN309" s="3"/>
      <c r="AO309" s="3"/>
      <c r="AP309" s="3"/>
      <c r="AQ309" s="3"/>
      <c r="AR309" s="3"/>
      <c r="AS309" s="24"/>
      <c r="AT309" s="24"/>
      <c r="AU309" s="24"/>
      <c r="AV309" s="24"/>
      <c r="AW309" s="24"/>
      <c r="AX309" s="24"/>
      <c r="AY309" s="3"/>
      <c r="AZ309" s="24"/>
      <c r="BA309" s="24"/>
      <c r="BB309" s="24"/>
      <c r="BC309" s="24"/>
      <c r="BD309" s="24"/>
      <c r="BE309" s="24"/>
      <c r="BF309" s="24"/>
      <c r="BG309" s="24"/>
      <c r="BH309" s="343"/>
      <c r="BI309" s="343"/>
      <c r="BJ309" s="24"/>
      <c r="BK309" s="3"/>
      <c r="BL309" s="3"/>
      <c r="BM309" s="24"/>
      <c r="BN309" s="3"/>
      <c r="BO309" s="3"/>
      <c r="BP309" s="3"/>
      <c r="BQ309" s="3"/>
      <c r="BR309" s="3"/>
      <c r="BS309" s="3"/>
      <c r="BT309" s="3"/>
      <c r="BU309" s="24"/>
      <c r="BV309" s="24"/>
      <c r="BW309" s="24"/>
      <c r="BX309" s="24"/>
      <c r="BY309" s="24"/>
      <c r="BZ309" s="3"/>
      <c r="CA309" s="3"/>
      <c r="CB309" s="24"/>
      <c r="CC309" s="24"/>
      <c r="CD309" s="24"/>
      <c r="CE309" s="24"/>
      <c r="CF309" s="24"/>
      <c r="CG309" s="24"/>
      <c r="CH309" s="24"/>
      <c r="CI309" s="3"/>
      <c r="CJ309" s="3"/>
      <c r="CK309" s="24"/>
      <c r="CL309" s="3"/>
      <c r="CM309" s="3"/>
      <c r="CN309" s="24"/>
      <c r="CO309" s="24"/>
      <c r="CP309" s="24"/>
      <c r="CQ309" s="24"/>
      <c r="CR309" s="24"/>
      <c r="CS309" s="3"/>
      <c r="CT309" s="3"/>
      <c r="CU309" s="3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3"/>
      <c r="DR309" s="24"/>
      <c r="DS309" s="3"/>
    </row>
    <row r="310" spans="1:125" x14ac:dyDescent="0.2">
      <c r="E310" s="160"/>
      <c r="F310" s="33"/>
      <c r="G310" s="171"/>
      <c r="H310" s="207"/>
      <c r="M310" s="3"/>
      <c r="N310" s="3"/>
      <c r="O310" s="24"/>
      <c r="P310" s="3"/>
      <c r="Q310" s="3"/>
      <c r="R310" s="24"/>
      <c r="S310" s="24"/>
      <c r="T310" s="3"/>
      <c r="U310" s="3"/>
      <c r="V310" s="3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3"/>
      <c r="AJ310" s="24"/>
      <c r="AK310" s="284"/>
      <c r="AL310" s="24"/>
      <c r="AM310" s="3"/>
      <c r="AN310" s="3"/>
      <c r="AO310" s="3"/>
      <c r="AP310" s="3"/>
      <c r="AQ310" s="3"/>
      <c r="AR310" s="3"/>
      <c r="AS310" s="24"/>
      <c r="AT310" s="24"/>
      <c r="AU310" s="24"/>
      <c r="AV310" s="24"/>
      <c r="AW310" s="24"/>
      <c r="AX310" s="24"/>
      <c r="AY310" s="3"/>
      <c r="AZ310" s="24"/>
      <c r="BA310" s="24"/>
      <c r="BB310" s="24"/>
      <c r="BC310" s="24"/>
      <c r="BD310" s="24"/>
      <c r="BE310" s="24"/>
      <c r="BF310" s="24"/>
      <c r="BG310" s="24"/>
      <c r="BH310" s="343"/>
      <c r="BI310" s="343"/>
      <c r="BJ310" s="24"/>
      <c r="BK310" s="3"/>
      <c r="BL310" s="3"/>
      <c r="BM310" s="24"/>
      <c r="BN310" s="3"/>
      <c r="BO310" s="3"/>
      <c r="BP310" s="3"/>
      <c r="BQ310" s="3"/>
      <c r="BR310" s="3"/>
      <c r="BS310" s="3"/>
      <c r="BT310" s="3"/>
      <c r="BU310" s="24"/>
      <c r="BV310" s="24"/>
      <c r="BW310" s="24"/>
      <c r="BX310" s="24"/>
      <c r="BY310" s="24"/>
      <c r="BZ310" s="3"/>
      <c r="CA310" s="3"/>
      <c r="CB310" s="24"/>
      <c r="CC310" s="24"/>
      <c r="CD310" s="24"/>
      <c r="CE310" s="24"/>
      <c r="CF310" s="24"/>
      <c r="CG310" s="24"/>
      <c r="CH310" s="24"/>
      <c r="CI310" s="3"/>
      <c r="CJ310" s="3"/>
      <c r="CK310" s="24"/>
      <c r="CL310" s="3"/>
      <c r="CM310" s="3"/>
      <c r="CN310" s="24"/>
      <c r="CO310" s="24"/>
      <c r="CP310" s="24"/>
      <c r="CQ310" s="24"/>
      <c r="CR310" s="24"/>
      <c r="CS310" s="3"/>
      <c r="CT310" s="3"/>
      <c r="CU310" s="3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3"/>
      <c r="DR310" s="24"/>
      <c r="DS310" s="3"/>
    </row>
    <row r="311" spans="1:125" x14ac:dyDescent="0.2">
      <c r="C311" s="7" t="s">
        <v>2222</v>
      </c>
      <c r="D311" s="7" t="s">
        <v>2223</v>
      </c>
      <c r="E311" s="228" t="s">
        <v>1202</v>
      </c>
      <c r="F311" s="33" t="s">
        <v>2663</v>
      </c>
      <c r="G311" s="231">
        <f t="shared" ref="G311:G349" si="53">IF(DU311&lt;30000,DU311*1.03,+DU311)</f>
        <v>23715.87</v>
      </c>
      <c r="H311" s="207"/>
      <c r="I311" s="343" t="s">
        <v>2710</v>
      </c>
      <c r="J311" s="26"/>
      <c r="K311" s="26"/>
      <c r="L311" s="252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8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343"/>
      <c r="BI311" s="343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>
        <f>G311</f>
        <v>23715.87</v>
      </c>
      <c r="DP311" s="24"/>
      <c r="DQ311" s="24"/>
      <c r="DR311" s="24">
        <f t="shared" ref="DR311:DR350" si="54">SUM(M311:DQ311)</f>
        <v>23715.87</v>
      </c>
      <c r="DS311" s="3">
        <f t="shared" ref="DS311:DS351" si="55">DR311-G311</f>
        <v>0</v>
      </c>
      <c r="DU311" s="3">
        <v>23025.119999999999</v>
      </c>
    </row>
    <row r="312" spans="1:125" x14ac:dyDescent="0.2">
      <c r="C312" s="7" t="s">
        <v>2224</v>
      </c>
      <c r="D312" s="7" t="s">
        <v>2225</v>
      </c>
      <c r="E312" s="228" t="s">
        <v>1129</v>
      </c>
      <c r="F312" s="33" t="s">
        <v>2663</v>
      </c>
      <c r="G312" s="231">
        <f t="shared" si="53"/>
        <v>26051.58</v>
      </c>
      <c r="H312" s="207"/>
      <c r="I312" s="252" t="s">
        <v>2705</v>
      </c>
      <c r="J312" s="26"/>
      <c r="K312" s="26"/>
      <c r="L312" s="252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8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343"/>
      <c r="BI312" s="343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>
        <f>G312</f>
        <v>26051.58</v>
      </c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>
        <f t="shared" si="54"/>
        <v>26051.58</v>
      </c>
      <c r="DS312" s="3">
        <f t="shared" si="55"/>
        <v>0</v>
      </c>
      <c r="DU312" s="3">
        <v>25292.799999999999</v>
      </c>
    </row>
    <row r="313" spans="1:125" x14ac:dyDescent="0.2">
      <c r="A313" s="7"/>
      <c r="C313" s="7" t="s">
        <v>2229</v>
      </c>
      <c r="D313" s="7" t="s">
        <v>2230</v>
      </c>
      <c r="E313" s="228" t="s">
        <v>1612</v>
      </c>
      <c r="F313" s="33" t="s">
        <v>2663</v>
      </c>
      <c r="G313" s="231">
        <f t="shared" si="53"/>
        <v>23416.43</v>
      </c>
      <c r="H313" s="207"/>
      <c r="I313" s="252" t="s">
        <v>2704</v>
      </c>
      <c r="J313" s="2"/>
      <c r="K313" s="2"/>
      <c r="L313" s="2"/>
      <c r="M313" s="3"/>
      <c r="N313" s="3"/>
      <c r="O313" s="3"/>
      <c r="P313" s="2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8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DA313" s="3">
        <f>G313</f>
        <v>23416.43</v>
      </c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24">
        <f t="shared" si="54"/>
        <v>23416.43</v>
      </c>
      <c r="DS313" s="3">
        <f t="shared" si="55"/>
        <v>0</v>
      </c>
      <c r="DU313" s="3">
        <v>22734.400000000001</v>
      </c>
    </row>
    <row r="314" spans="1:125" x14ac:dyDescent="0.2">
      <c r="A314" s="7"/>
      <c r="C314" s="7" t="s">
        <v>2231</v>
      </c>
      <c r="D314" s="7" t="s">
        <v>2232</v>
      </c>
      <c r="E314" s="228" t="s">
        <v>2221</v>
      </c>
      <c r="F314" s="33" t="s">
        <v>2663</v>
      </c>
      <c r="G314" s="231">
        <f t="shared" si="53"/>
        <v>26051.58</v>
      </c>
      <c r="H314" s="207"/>
      <c r="I314" s="2" t="s">
        <v>2703</v>
      </c>
      <c r="J314" s="2"/>
      <c r="K314" s="2"/>
      <c r="L314" s="2"/>
      <c r="M314" s="3"/>
      <c r="N314" s="3"/>
      <c r="O314" s="24"/>
      <c r="P314" s="3"/>
      <c r="Q314" s="3"/>
      <c r="R314" s="24"/>
      <c r="S314" s="24"/>
      <c r="T314" s="3"/>
      <c r="U314" s="3"/>
      <c r="V314" s="3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3"/>
      <c r="AJ314" s="24"/>
      <c r="AK314" s="284"/>
      <c r="AL314" s="24"/>
      <c r="AM314" s="3"/>
      <c r="AN314" s="3"/>
      <c r="AO314" s="3"/>
      <c r="AP314" s="3"/>
      <c r="AQ314" s="3"/>
      <c r="AR314" s="3"/>
      <c r="AS314" s="24"/>
      <c r="AT314" s="24"/>
      <c r="AU314" s="24"/>
      <c r="AV314" s="24"/>
      <c r="AW314" s="24"/>
      <c r="AX314" s="24"/>
      <c r="AY314" s="3"/>
      <c r="AZ314" s="24"/>
      <c r="BA314" s="24"/>
      <c r="BB314" s="24"/>
      <c r="BC314" s="24"/>
      <c r="BD314" s="24"/>
      <c r="BE314" s="24"/>
      <c r="BF314" s="24"/>
      <c r="BG314" s="24"/>
      <c r="BH314" s="343"/>
      <c r="BI314" s="343"/>
      <c r="BJ314" s="24"/>
      <c r="BK314" s="3"/>
      <c r="BL314" s="3"/>
      <c r="BM314" s="24"/>
      <c r="BN314" s="3"/>
      <c r="BO314" s="3"/>
      <c r="BP314" s="3"/>
      <c r="BQ314" s="3"/>
      <c r="BR314" s="3"/>
      <c r="BS314" s="3"/>
      <c r="BT314" s="3"/>
      <c r="BU314" s="24"/>
      <c r="BV314" s="24"/>
      <c r="BW314" s="24"/>
      <c r="BX314" s="24"/>
      <c r="BY314" s="24"/>
      <c r="BZ314" s="3"/>
      <c r="CA314" s="3"/>
      <c r="CB314" s="24"/>
      <c r="CC314" s="24"/>
      <c r="CD314" s="24"/>
      <c r="CE314" s="24"/>
      <c r="CF314" s="24"/>
      <c r="CG314" s="24"/>
      <c r="CH314" s="24"/>
      <c r="CI314" s="3"/>
      <c r="CJ314" s="3"/>
      <c r="CK314" s="24"/>
      <c r="CL314" s="3"/>
      <c r="CM314" s="3"/>
      <c r="CN314" s="24"/>
      <c r="CO314" s="24"/>
      <c r="CP314" s="24"/>
      <c r="CQ314" s="24"/>
      <c r="CR314" s="24"/>
      <c r="CS314" s="3"/>
      <c r="CT314" s="3"/>
      <c r="CU314" s="3"/>
      <c r="CV314" s="24"/>
      <c r="CW314" s="24"/>
      <c r="CX314" s="24"/>
      <c r="CY314" s="24">
        <f>G314</f>
        <v>26051.58</v>
      </c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3"/>
      <c r="DR314" s="24">
        <f t="shared" si="54"/>
        <v>26051.58</v>
      </c>
      <c r="DS314" s="3">
        <f t="shared" si="55"/>
        <v>0</v>
      </c>
      <c r="DU314" s="3">
        <v>25292.799999999999</v>
      </c>
    </row>
    <row r="315" spans="1:125" x14ac:dyDescent="0.2">
      <c r="A315" s="7"/>
      <c r="C315" s="7" t="s">
        <v>2233</v>
      </c>
      <c r="D315" s="7" t="s">
        <v>2234</v>
      </c>
      <c r="E315" s="228" t="s">
        <v>1207</v>
      </c>
      <c r="F315" s="33" t="s">
        <v>2663</v>
      </c>
      <c r="G315" s="231">
        <f t="shared" si="53"/>
        <v>23416.43</v>
      </c>
      <c r="H315" s="207"/>
      <c r="I315" s="252" t="s">
        <v>2704</v>
      </c>
      <c r="J315" s="2"/>
      <c r="K315" s="2"/>
      <c r="L315" s="2"/>
      <c r="M315" s="3"/>
      <c r="N315" s="3"/>
      <c r="O315" s="24"/>
      <c r="P315" s="3"/>
      <c r="Q315" s="3"/>
      <c r="R315" s="24"/>
      <c r="S315" s="24"/>
      <c r="T315" s="3"/>
      <c r="U315" s="3"/>
      <c r="V315" s="3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3"/>
      <c r="AJ315" s="24"/>
      <c r="AK315" s="284"/>
      <c r="AL315" s="24"/>
      <c r="AM315" s="3"/>
      <c r="AN315" s="3"/>
      <c r="AO315" s="3"/>
      <c r="AP315" s="3"/>
      <c r="AQ315" s="3"/>
      <c r="AR315" s="3"/>
      <c r="AS315" s="24"/>
      <c r="AT315" s="24"/>
      <c r="AU315" s="24"/>
      <c r="AV315" s="24"/>
      <c r="AW315" s="24"/>
      <c r="AX315" s="24"/>
      <c r="AY315" s="3"/>
      <c r="AZ315" s="24"/>
      <c r="BA315" s="24"/>
      <c r="BB315" s="24"/>
      <c r="BC315" s="24"/>
      <c r="BD315" s="24"/>
      <c r="BE315" s="24"/>
      <c r="BF315" s="24"/>
      <c r="BG315" s="24"/>
      <c r="BH315" s="343"/>
      <c r="BI315" s="343"/>
      <c r="BJ315" s="24"/>
      <c r="BK315" s="3"/>
      <c r="BL315" s="3"/>
      <c r="BM315" s="24"/>
      <c r="BN315" s="3"/>
      <c r="BO315" s="3"/>
      <c r="BP315" s="3"/>
      <c r="BQ315" s="3"/>
      <c r="BR315" s="3"/>
      <c r="BS315" s="3"/>
      <c r="BT315" s="3"/>
      <c r="BU315" s="24"/>
      <c r="BV315" s="24"/>
      <c r="BW315" s="24"/>
      <c r="BX315" s="24"/>
      <c r="BY315" s="24"/>
      <c r="BZ315" s="3"/>
      <c r="CA315" s="3"/>
      <c r="CB315" s="24"/>
      <c r="CC315" s="24"/>
      <c r="CD315" s="24"/>
      <c r="CE315" s="24"/>
      <c r="CF315" s="24"/>
      <c r="CG315" s="24"/>
      <c r="CH315" s="24"/>
      <c r="CI315" s="3"/>
      <c r="CJ315" s="3"/>
      <c r="CK315" s="24"/>
      <c r="CL315" s="3"/>
      <c r="CM315" s="3"/>
      <c r="CN315" s="24"/>
      <c r="CO315" s="24"/>
      <c r="CP315" s="24"/>
      <c r="CQ315" s="24"/>
      <c r="CR315" s="24"/>
      <c r="CS315" s="3"/>
      <c r="CT315" s="3"/>
      <c r="CU315" s="3"/>
      <c r="CV315" s="24"/>
      <c r="CW315" s="24"/>
      <c r="CX315" s="24"/>
      <c r="CY315" s="24"/>
      <c r="CZ315" s="24">
        <f>G315</f>
        <v>23416.43</v>
      </c>
      <c r="DA315" s="24"/>
      <c r="DB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3"/>
      <c r="DR315" s="24">
        <f t="shared" si="54"/>
        <v>23416.43</v>
      </c>
      <c r="DS315" s="3">
        <f t="shared" si="55"/>
        <v>0</v>
      </c>
      <c r="DU315" s="3">
        <v>22734.400000000001</v>
      </c>
    </row>
    <row r="316" spans="1:125" x14ac:dyDescent="0.2">
      <c r="A316" s="7"/>
      <c r="C316" s="7" t="s">
        <v>2235</v>
      </c>
      <c r="D316" s="7" t="s">
        <v>2236</v>
      </c>
      <c r="E316" s="222" t="s">
        <v>1210</v>
      </c>
      <c r="F316" s="33" t="s">
        <v>2663</v>
      </c>
      <c r="G316" s="231">
        <f t="shared" si="53"/>
        <v>42452.800000000003</v>
      </c>
      <c r="H316" s="207"/>
      <c r="I316" s="2" t="s">
        <v>2703</v>
      </c>
      <c r="J316" s="3"/>
      <c r="K316" s="3"/>
      <c r="L316" s="3"/>
      <c r="M316" s="24"/>
      <c r="N316" s="3"/>
      <c r="O316" s="24"/>
      <c r="P316" s="3"/>
      <c r="Q316" s="3"/>
      <c r="R316" s="24"/>
      <c r="S316" s="24"/>
      <c r="T316" s="3"/>
      <c r="U316" s="3"/>
      <c r="V316" s="3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3"/>
      <c r="AJ316" s="24"/>
      <c r="AK316" s="284"/>
      <c r="AL316" s="24"/>
      <c r="AM316" s="24"/>
      <c r="AN316" s="24"/>
      <c r="AO316" s="3"/>
      <c r="AP316" s="3"/>
      <c r="AQ316" s="3"/>
      <c r="AR316" s="3"/>
      <c r="AS316" s="24"/>
      <c r="AT316" s="24"/>
      <c r="AU316" s="24"/>
      <c r="AV316" s="24"/>
      <c r="AW316" s="24"/>
      <c r="AX316" s="24"/>
      <c r="AY316" s="3"/>
      <c r="AZ316" s="24"/>
      <c r="BA316" s="24"/>
      <c r="BB316" s="24"/>
      <c r="BC316" s="24"/>
      <c r="BD316" s="24"/>
      <c r="BE316" s="24"/>
      <c r="BF316" s="24"/>
      <c r="BG316" s="24"/>
      <c r="BH316" s="343"/>
      <c r="BI316" s="343"/>
      <c r="BJ316" s="24"/>
      <c r="BK316" s="3"/>
      <c r="BL316" s="3"/>
      <c r="BM316" s="24"/>
      <c r="BN316" s="3"/>
      <c r="BO316" s="3"/>
      <c r="BP316" s="3"/>
      <c r="BQ316" s="3"/>
      <c r="BR316" s="3"/>
      <c r="BS316" s="3"/>
      <c r="BT316" s="3"/>
      <c r="BU316" s="24"/>
      <c r="BV316" s="24"/>
      <c r="BW316" s="24"/>
      <c r="BX316" s="24"/>
      <c r="BY316" s="24"/>
      <c r="BZ316" s="3"/>
      <c r="CA316" s="3"/>
      <c r="CB316" s="24"/>
      <c r="CC316" s="24"/>
      <c r="CD316" s="24"/>
      <c r="CE316" s="24"/>
      <c r="CF316" s="24"/>
      <c r="CG316" s="24"/>
      <c r="CH316" s="24"/>
      <c r="CI316" s="3"/>
      <c r="CJ316" s="3"/>
      <c r="CK316" s="24"/>
      <c r="CL316" s="24"/>
      <c r="CM316" s="24"/>
      <c r="CN316" s="24"/>
      <c r="CO316" s="24"/>
      <c r="CP316" s="24"/>
      <c r="CQ316" s="24"/>
      <c r="CR316" s="24"/>
      <c r="CS316" s="3"/>
      <c r="CT316" s="3"/>
      <c r="CU316" s="3"/>
      <c r="CV316" s="24"/>
      <c r="CW316" s="24"/>
      <c r="CX316" s="24"/>
      <c r="CY316" s="24">
        <f>G316</f>
        <v>42452.800000000003</v>
      </c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>
        <f t="shared" si="54"/>
        <v>42452.800000000003</v>
      </c>
      <c r="DS316" s="3">
        <f t="shared" si="55"/>
        <v>0</v>
      </c>
      <c r="DU316" s="3">
        <v>42452.800000000003</v>
      </c>
    </row>
    <row r="317" spans="1:125" x14ac:dyDescent="0.2">
      <c r="A317" s="7"/>
      <c r="C317" s="7" t="s">
        <v>2237</v>
      </c>
      <c r="D317" s="7" t="s">
        <v>2238</v>
      </c>
      <c r="E317" s="228" t="s">
        <v>1348</v>
      </c>
      <c r="F317" s="33" t="s">
        <v>2663</v>
      </c>
      <c r="G317" s="231">
        <f t="shared" si="53"/>
        <v>23416.43</v>
      </c>
      <c r="H317" s="207"/>
      <c r="I317" s="252" t="s">
        <v>2704</v>
      </c>
      <c r="J317" s="3"/>
      <c r="K317" s="3"/>
      <c r="L317" s="3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8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343"/>
      <c r="BI317" s="343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>
        <f>G317</f>
        <v>23416.43</v>
      </c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>
        <f t="shared" si="54"/>
        <v>23416.43</v>
      </c>
      <c r="DS317" s="3">
        <f t="shared" si="55"/>
        <v>0</v>
      </c>
      <c r="DU317" s="3">
        <v>22734.400000000001</v>
      </c>
    </row>
    <row r="318" spans="1:125" x14ac:dyDescent="0.2">
      <c r="A318" s="7"/>
      <c r="C318" s="7" t="s">
        <v>2288</v>
      </c>
      <c r="D318" s="7" t="s">
        <v>2289</v>
      </c>
      <c r="E318" s="228" t="s">
        <v>2204</v>
      </c>
      <c r="F318" s="33" t="s">
        <v>2663</v>
      </c>
      <c r="G318" s="231">
        <f t="shared" si="53"/>
        <v>23180.77</v>
      </c>
      <c r="H318" s="207"/>
      <c r="I318" s="252" t="s">
        <v>2704</v>
      </c>
      <c r="J318" s="2"/>
      <c r="K318" s="2"/>
      <c r="L318" s="2"/>
      <c r="M318" s="3"/>
      <c r="N318" s="3"/>
      <c r="O318" s="24"/>
      <c r="P318" s="3"/>
      <c r="Q318" s="3"/>
      <c r="R318" s="24"/>
      <c r="S318" s="24"/>
      <c r="T318" s="3"/>
      <c r="U318" s="3"/>
      <c r="V318" s="3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3"/>
      <c r="AJ318" s="24"/>
      <c r="AK318" s="284"/>
      <c r="AL318" s="24"/>
      <c r="AM318" s="3"/>
      <c r="AN318" s="3"/>
      <c r="AO318" s="3"/>
      <c r="AP318" s="3"/>
      <c r="AQ318" s="3"/>
      <c r="AR318" s="3"/>
      <c r="AS318" s="24"/>
      <c r="AT318" s="24"/>
      <c r="AU318" s="24"/>
      <c r="AV318" s="24"/>
      <c r="AW318" s="24"/>
      <c r="AX318" s="24"/>
      <c r="AY318" s="3"/>
      <c r="AZ318" s="24"/>
      <c r="BA318" s="24"/>
      <c r="BB318" s="24"/>
      <c r="BC318" s="24"/>
      <c r="BD318" s="24"/>
      <c r="BE318" s="24"/>
      <c r="BF318" s="24"/>
      <c r="BG318" s="24"/>
      <c r="BH318" s="343"/>
      <c r="BI318" s="343"/>
      <c r="BJ318" s="24"/>
      <c r="BK318" s="3"/>
      <c r="BL318" s="3"/>
      <c r="BM318" s="24"/>
      <c r="BN318" s="3"/>
      <c r="BO318" s="3"/>
      <c r="BP318" s="3"/>
      <c r="BQ318" s="3"/>
      <c r="BR318" s="3"/>
      <c r="BS318" s="3"/>
      <c r="BT318" s="3"/>
      <c r="BU318" s="24"/>
      <c r="BV318" s="24"/>
      <c r="BW318" s="24"/>
      <c r="BX318" s="24"/>
      <c r="BY318" s="24"/>
      <c r="BZ318" s="3"/>
      <c r="CA318" s="3"/>
      <c r="CB318" s="24"/>
      <c r="CC318" s="24"/>
      <c r="CD318" s="24"/>
      <c r="CE318" s="24"/>
      <c r="CF318" s="24"/>
      <c r="CG318" s="24"/>
      <c r="CH318" s="24"/>
      <c r="CI318" s="3"/>
      <c r="CJ318" s="3"/>
      <c r="CK318" s="24"/>
      <c r="CL318" s="3"/>
      <c r="CM318" s="3"/>
      <c r="CN318" s="24"/>
      <c r="CO318" s="24"/>
      <c r="CP318" s="24"/>
      <c r="CQ318" s="24"/>
      <c r="CR318" s="24"/>
      <c r="CS318" s="3"/>
      <c r="CT318" s="3"/>
      <c r="CU318" s="3"/>
      <c r="CV318" s="24"/>
      <c r="CW318" s="24"/>
      <c r="CX318" s="24"/>
      <c r="CY318" s="24"/>
      <c r="CZ318" s="24"/>
      <c r="DA318" s="24">
        <f>+G318</f>
        <v>23180.77</v>
      </c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3"/>
      <c r="DR318" s="24">
        <f t="shared" si="54"/>
        <v>23180.77</v>
      </c>
      <c r="DS318" s="3">
        <f t="shared" si="55"/>
        <v>0</v>
      </c>
      <c r="DU318" s="3">
        <v>22505.599999999999</v>
      </c>
    </row>
    <row r="319" spans="1:125" x14ac:dyDescent="0.2">
      <c r="A319" s="7"/>
      <c r="C319" s="7" t="s">
        <v>2240</v>
      </c>
      <c r="D319" s="7" t="s">
        <v>2239</v>
      </c>
      <c r="E319" s="228" t="s">
        <v>1294</v>
      </c>
      <c r="F319" s="33" t="s">
        <v>2663</v>
      </c>
      <c r="G319" s="231">
        <f t="shared" si="53"/>
        <v>22880.83</v>
      </c>
      <c r="H319" s="207"/>
      <c r="I319" s="252" t="s">
        <v>2704</v>
      </c>
      <c r="J319" s="251"/>
      <c r="K319" s="251"/>
      <c r="L319" s="251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8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24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24"/>
      <c r="CZ319" s="3">
        <f>G319</f>
        <v>22880.83</v>
      </c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24">
        <f t="shared" si="54"/>
        <v>22880.83</v>
      </c>
      <c r="DS319" s="3">
        <f t="shared" si="55"/>
        <v>0</v>
      </c>
      <c r="DU319" s="3">
        <v>22214.400000000001</v>
      </c>
    </row>
    <row r="320" spans="1:125" x14ac:dyDescent="0.2">
      <c r="A320" s="7"/>
      <c r="C320" s="7" t="s">
        <v>2286</v>
      </c>
      <c r="D320" s="7" t="s">
        <v>2287</v>
      </c>
      <c r="E320" s="228" t="s">
        <v>2207</v>
      </c>
      <c r="F320" s="255" t="s">
        <v>2663</v>
      </c>
      <c r="G320" s="231">
        <f t="shared" si="53"/>
        <v>30100.720000000001</v>
      </c>
      <c r="H320" s="207"/>
      <c r="I320" s="2" t="s">
        <v>2703</v>
      </c>
      <c r="J320" s="3"/>
      <c r="K320" s="3"/>
      <c r="L320" s="3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8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343"/>
      <c r="BI320" s="343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>
        <f>+G320</f>
        <v>30100.720000000001</v>
      </c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>
        <f t="shared" si="54"/>
        <v>30100.720000000001</v>
      </c>
      <c r="DS320" s="3">
        <f t="shared" si="55"/>
        <v>0</v>
      </c>
      <c r="DU320" s="3">
        <v>29224</v>
      </c>
    </row>
    <row r="321" spans="1:125" x14ac:dyDescent="0.2">
      <c r="A321" s="7"/>
      <c r="C321" s="7" t="s">
        <v>2243</v>
      </c>
      <c r="D321" s="7" t="s">
        <v>2244</v>
      </c>
      <c r="E321" s="228" t="s">
        <v>1357</v>
      </c>
      <c r="F321" s="33" t="s">
        <v>2663</v>
      </c>
      <c r="G321" s="231">
        <f t="shared" si="53"/>
        <v>26051.58</v>
      </c>
      <c r="H321" s="207"/>
      <c r="I321" s="2" t="s">
        <v>2703</v>
      </c>
      <c r="J321" s="2"/>
      <c r="K321" s="2"/>
      <c r="L321" s="2"/>
      <c r="M321" s="3"/>
      <c r="N321" s="3"/>
      <c r="O321" s="24"/>
      <c r="P321" s="3"/>
      <c r="Q321" s="3"/>
      <c r="R321" s="24"/>
      <c r="S321" s="24"/>
      <c r="T321" s="3"/>
      <c r="U321" s="3"/>
      <c r="V321" s="3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3"/>
      <c r="AJ321" s="24"/>
      <c r="AK321" s="284"/>
      <c r="AL321" s="24"/>
      <c r="AM321" s="3"/>
      <c r="AN321" s="3"/>
      <c r="AO321" s="3"/>
      <c r="AP321" s="3"/>
      <c r="AQ321" s="3"/>
      <c r="AR321" s="3"/>
      <c r="AS321" s="24"/>
      <c r="AT321" s="24"/>
      <c r="AU321" s="24"/>
      <c r="AV321" s="24"/>
      <c r="AW321" s="24"/>
      <c r="AX321" s="24"/>
      <c r="AY321" s="3"/>
      <c r="AZ321" s="24"/>
      <c r="BA321" s="24"/>
      <c r="BB321" s="24"/>
      <c r="BC321" s="24"/>
      <c r="BD321" s="24"/>
      <c r="BE321" s="24"/>
      <c r="BF321" s="24"/>
      <c r="BG321" s="24"/>
      <c r="BH321" s="343"/>
      <c r="BI321" s="343"/>
      <c r="BJ321" s="24"/>
      <c r="BK321" s="3"/>
      <c r="BL321" s="3"/>
      <c r="BM321" s="24"/>
      <c r="BN321" s="3"/>
      <c r="BO321" s="3"/>
      <c r="BP321" s="3"/>
      <c r="BQ321" s="3"/>
      <c r="BR321" s="3"/>
      <c r="BS321" s="3"/>
      <c r="BT321" s="3"/>
      <c r="BU321" s="24"/>
      <c r="BV321" s="24"/>
      <c r="BW321" s="24"/>
      <c r="BX321" s="24"/>
      <c r="BY321" s="24"/>
      <c r="BZ321" s="3"/>
      <c r="CA321" s="3"/>
      <c r="CB321" s="24"/>
      <c r="CC321" s="24"/>
      <c r="CD321" s="24"/>
      <c r="CE321" s="24"/>
      <c r="CF321" s="24"/>
      <c r="CG321" s="24"/>
      <c r="CH321" s="24"/>
      <c r="CI321" s="3"/>
      <c r="CJ321" s="3"/>
      <c r="CK321" s="24"/>
      <c r="CL321" s="3"/>
      <c r="CM321" s="3"/>
      <c r="CN321" s="24"/>
      <c r="CO321" s="24"/>
      <c r="CP321" s="24"/>
      <c r="CQ321" s="24"/>
      <c r="CR321" s="24"/>
      <c r="CS321" s="3"/>
      <c r="CT321" s="3"/>
      <c r="CU321" s="3"/>
      <c r="CV321" s="24"/>
      <c r="CW321" s="24"/>
      <c r="CX321" s="24"/>
      <c r="CY321" s="24">
        <f>G321</f>
        <v>26051.58</v>
      </c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3"/>
      <c r="DR321" s="24">
        <f t="shared" si="54"/>
        <v>26051.58</v>
      </c>
      <c r="DS321" s="3">
        <f t="shared" si="55"/>
        <v>0</v>
      </c>
      <c r="DU321" s="3">
        <v>25292.799999999999</v>
      </c>
    </row>
    <row r="322" spans="1:125" x14ac:dyDescent="0.2">
      <c r="A322" s="7"/>
      <c r="C322" s="7" t="s">
        <v>2245</v>
      </c>
      <c r="D322" s="7" t="s">
        <v>2246</v>
      </c>
      <c r="E322" s="228" t="s">
        <v>1125</v>
      </c>
      <c r="F322" s="33" t="s">
        <v>2663</v>
      </c>
      <c r="G322" s="231">
        <f t="shared" si="53"/>
        <v>27079.94</v>
      </c>
      <c r="H322" s="207"/>
      <c r="I322" s="2" t="s">
        <v>2703</v>
      </c>
      <c r="J322" s="251"/>
      <c r="K322" s="251"/>
      <c r="L322" s="251"/>
      <c r="M322" s="3"/>
      <c r="N322" s="3"/>
      <c r="O322" s="24"/>
      <c r="P322" s="3"/>
      <c r="Q322" s="3"/>
      <c r="R322" s="24"/>
      <c r="S322" s="24"/>
      <c r="T322" s="3"/>
      <c r="U322" s="3"/>
      <c r="V322" s="3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3"/>
      <c r="AJ322" s="24"/>
      <c r="AK322" s="284"/>
      <c r="AL322" s="24"/>
      <c r="AM322" s="3"/>
      <c r="AN322" s="3"/>
      <c r="AO322" s="3"/>
      <c r="AP322" s="3"/>
      <c r="AQ322" s="3"/>
      <c r="AR322" s="3"/>
      <c r="AS322" s="24"/>
      <c r="AT322" s="24"/>
      <c r="AU322" s="24"/>
      <c r="AV322" s="24"/>
      <c r="AW322" s="24"/>
      <c r="AX322" s="24"/>
      <c r="AY322" s="3"/>
      <c r="AZ322" s="24"/>
      <c r="BA322" s="24"/>
      <c r="BB322" s="24"/>
      <c r="BC322" s="24"/>
      <c r="BD322" s="24"/>
      <c r="BE322" s="24"/>
      <c r="BF322" s="24"/>
      <c r="BG322" s="24"/>
      <c r="BH322" s="343"/>
      <c r="BI322" s="343"/>
      <c r="BJ322" s="24"/>
      <c r="BK322" s="3"/>
      <c r="BL322" s="3"/>
      <c r="BM322" s="24"/>
      <c r="BN322" s="3"/>
      <c r="BO322" s="3"/>
      <c r="BP322" s="3"/>
      <c r="BQ322" s="3"/>
      <c r="BR322" s="3"/>
      <c r="BS322" s="3"/>
      <c r="BT322" s="3"/>
      <c r="BU322" s="24"/>
      <c r="BV322" s="24"/>
      <c r="BW322" s="24"/>
      <c r="BX322" s="24"/>
      <c r="BY322" s="24"/>
      <c r="BZ322" s="3"/>
      <c r="CA322" s="3"/>
      <c r="CB322" s="24"/>
      <c r="CC322" s="24"/>
      <c r="CD322" s="24"/>
      <c r="CE322" s="24"/>
      <c r="CF322" s="24"/>
      <c r="CG322" s="24"/>
      <c r="CH322" s="24"/>
      <c r="CI322" s="3"/>
      <c r="CJ322" s="3"/>
      <c r="CK322" s="24"/>
      <c r="CL322" s="3"/>
      <c r="CM322" s="3"/>
      <c r="CN322" s="24"/>
      <c r="CO322" s="24"/>
      <c r="CP322" s="24"/>
      <c r="CQ322" s="24"/>
      <c r="CR322" s="24"/>
      <c r="CS322" s="3"/>
      <c r="CT322" s="3"/>
      <c r="CU322" s="3"/>
      <c r="CV322" s="24"/>
      <c r="CW322" s="24"/>
      <c r="CX322" s="24"/>
      <c r="CY322" s="24">
        <f>G322</f>
        <v>27079.94</v>
      </c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3"/>
      <c r="DR322" s="24">
        <f t="shared" si="54"/>
        <v>27079.94</v>
      </c>
      <c r="DS322" s="3">
        <f t="shared" si="55"/>
        <v>0</v>
      </c>
      <c r="DU322" s="3">
        <v>26291.200000000001</v>
      </c>
    </row>
    <row r="323" spans="1:125" x14ac:dyDescent="0.2">
      <c r="A323" s="7"/>
      <c r="C323" s="7" t="s">
        <v>2247</v>
      </c>
      <c r="D323" s="7" t="s">
        <v>2246</v>
      </c>
      <c r="E323" s="168" t="s">
        <v>352</v>
      </c>
      <c r="F323" s="33" t="s">
        <v>2663</v>
      </c>
      <c r="G323" s="231">
        <f t="shared" si="53"/>
        <v>23416.43</v>
      </c>
      <c r="H323" s="207"/>
      <c r="I323" s="252" t="s">
        <v>2704</v>
      </c>
      <c r="J323" s="2"/>
      <c r="K323" s="2"/>
      <c r="L323" s="2"/>
      <c r="M323" s="3"/>
      <c r="N323" s="3"/>
      <c r="O323" s="24"/>
      <c r="P323" s="3"/>
      <c r="Q323" s="3"/>
      <c r="R323" s="24"/>
      <c r="S323" s="24"/>
      <c r="T323" s="3"/>
      <c r="U323" s="3"/>
      <c r="V323" s="3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3"/>
      <c r="AJ323" s="24"/>
      <c r="AK323" s="284"/>
      <c r="AL323" s="24"/>
      <c r="AM323" s="3"/>
      <c r="AN323" s="3"/>
      <c r="AO323" s="3"/>
      <c r="AP323" s="3"/>
      <c r="AQ323" s="3"/>
      <c r="AR323" s="3"/>
      <c r="AS323" s="24"/>
      <c r="AT323" s="24"/>
      <c r="AU323" s="24"/>
      <c r="AV323" s="24"/>
      <c r="AW323" s="24"/>
      <c r="AX323" s="24"/>
      <c r="AY323" s="3"/>
      <c r="AZ323" s="24"/>
      <c r="BA323" s="24"/>
      <c r="BB323" s="24"/>
      <c r="BC323" s="24"/>
      <c r="BD323" s="24"/>
      <c r="BE323" s="24"/>
      <c r="BF323" s="24"/>
      <c r="BG323" s="24"/>
      <c r="BH323" s="343"/>
      <c r="BI323" s="343"/>
      <c r="BJ323" s="24"/>
      <c r="BK323" s="3"/>
      <c r="BL323" s="3"/>
      <c r="BM323" s="24"/>
      <c r="BN323" s="3"/>
      <c r="BO323" s="3"/>
      <c r="BP323" s="3"/>
      <c r="BQ323" s="3"/>
      <c r="BR323" s="3"/>
      <c r="BS323" s="24"/>
      <c r="BT323" s="3"/>
      <c r="BU323" s="24"/>
      <c r="BV323" s="24"/>
      <c r="BW323" s="24"/>
      <c r="BX323" s="24"/>
      <c r="BY323" s="24"/>
      <c r="BZ323" s="3"/>
      <c r="CA323" s="3"/>
      <c r="CB323" s="24"/>
      <c r="CC323" s="24"/>
      <c r="CD323" s="24"/>
      <c r="CE323" s="24"/>
      <c r="CF323" s="24"/>
      <c r="CG323" s="24"/>
      <c r="CH323" s="24"/>
      <c r="CI323" s="3"/>
      <c r="CJ323" s="3"/>
      <c r="CK323" s="24"/>
      <c r="CL323" s="3"/>
      <c r="CM323" s="3"/>
      <c r="CN323" s="24"/>
      <c r="CO323" s="24"/>
      <c r="CP323" s="24"/>
      <c r="CQ323" s="24"/>
      <c r="CR323" s="24"/>
      <c r="CS323" s="3"/>
      <c r="CT323" s="3"/>
      <c r="CU323" s="3"/>
      <c r="CV323" s="24"/>
      <c r="CW323" s="24"/>
      <c r="CX323" s="24"/>
      <c r="CY323" s="24"/>
      <c r="CZ323" s="3"/>
      <c r="DA323" s="3">
        <f>G323</f>
        <v>23416.43</v>
      </c>
      <c r="DB323" s="3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3"/>
      <c r="DR323" s="24">
        <f t="shared" si="54"/>
        <v>23416.43</v>
      </c>
      <c r="DS323" s="3">
        <f t="shared" si="55"/>
        <v>0</v>
      </c>
      <c r="DU323" s="3">
        <v>22734.400000000001</v>
      </c>
    </row>
    <row r="324" spans="1:125" x14ac:dyDescent="0.2">
      <c r="A324" s="7"/>
      <c r="C324" s="7" t="s">
        <v>2248</v>
      </c>
      <c r="D324" s="7" t="s">
        <v>2249</v>
      </c>
      <c r="E324" s="168" t="s">
        <v>1530</v>
      </c>
      <c r="F324" s="33" t="s">
        <v>2663</v>
      </c>
      <c r="G324" s="231">
        <f t="shared" si="53"/>
        <v>16263.29</v>
      </c>
      <c r="H324" s="207"/>
      <c r="I324" s="3" t="s">
        <v>2706</v>
      </c>
      <c r="J324" s="3"/>
      <c r="K324" s="3"/>
      <c r="L324" s="3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8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343"/>
      <c r="BI324" s="343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>
        <f>G324</f>
        <v>16263.29</v>
      </c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>
        <f t="shared" si="54"/>
        <v>16263.29</v>
      </c>
      <c r="DS324" s="3">
        <f t="shared" si="55"/>
        <v>0</v>
      </c>
      <c r="DU324" s="3">
        <v>15789.6</v>
      </c>
    </row>
    <row r="325" spans="1:125" x14ac:dyDescent="0.2">
      <c r="A325" s="7"/>
      <c r="C325" s="7" t="s">
        <v>2252</v>
      </c>
      <c r="D325" s="7" t="s">
        <v>2253</v>
      </c>
      <c r="E325" s="168" t="s">
        <v>36</v>
      </c>
      <c r="F325" s="33" t="s">
        <v>2663</v>
      </c>
      <c r="G325" s="231">
        <f t="shared" si="53"/>
        <v>23715.87</v>
      </c>
      <c r="H325" s="207"/>
      <c r="I325" s="252" t="s">
        <v>2704</v>
      </c>
      <c r="J325" s="2"/>
      <c r="K325" s="2"/>
      <c r="L325" s="2"/>
      <c r="M325" s="3"/>
      <c r="N325" s="3"/>
      <c r="O325" s="24"/>
      <c r="P325" s="3"/>
      <c r="Q325" s="3"/>
      <c r="R325" s="24"/>
      <c r="S325" s="24"/>
      <c r="T325" s="3"/>
      <c r="U325" s="3"/>
      <c r="V325" s="3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3"/>
      <c r="AJ325" s="24"/>
      <c r="AK325" s="284"/>
      <c r="AL325" s="24"/>
      <c r="AM325" s="3"/>
      <c r="AN325" s="3"/>
      <c r="AO325" s="3"/>
      <c r="AP325" s="3"/>
      <c r="AQ325" s="3"/>
      <c r="AR325" s="3"/>
      <c r="AS325" s="24"/>
      <c r="AT325" s="24"/>
      <c r="AU325" s="24"/>
      <c r="AV325" s="24"/>
      <c r="AW325" s="24"/>
      <c r="AX325" s="24"/>
      <c r="AY325" s="3"/>
      <c r="AZ325" s="24"/>
      <c r="BA325" s="24"/>
      <c r="BB325" s="24"/>
      <c r="BC325" s="24"/>
      <c r="BD325" s="24"/>
      <c r="BE325" s="24"/>
      <c r="BF325" s="24"/>
      <c r="BG325" s="24"/>
      <c r="BH325" s="343"/>
      <c r="BI325" s="343"/>
      <c r="BJ325" s="24"/>
      <c r="BK325" s="3"/>
      <c r="BL325" s="3"/>
      <c r="BM325" s="24"/>
      <c r="BN325" s="3"/>
      <c r="BO325" s="3"/>
      <c r="BP325" s="3"/>
      <c r="BQ325" s="3"/>
      <c r="BR325" s="3"/>
      <c r="BS325" s="3"/>
      <c r="BT325" s="3"/>
      <c r="BU325" s="24"/>
      <c r="BV325" s="24"/>
      <c r="BW325" s="24"/>
      <c r="BX325" s="24"/>
      <c r="BY325" s="24"/>
      <c r="BZ325" s="3"/>
      <c r="CA325" s="3"/>
      <c r="CB325" s="24"/>
      <c r="CC325" s="24"/>
      <c r="CD325" s="24"/>
      <c r="CE325" s="24"/>
      <c r="CF325" s="24"/>
      <c r="CG325" s="24"/>
      <c r="CH325" s="24"/>
      <c r="CI325" s="3"/>
      <c r="CJ325" s="3"/>
      <c r="CK325" s="24"/>
      <c r="CL325" s="3"/>
      <c r="CM325" s="3"/>
      <c r="CN325" s="24"/>
      <c r="CO325" s="24"/>
      <c r="CP325" s="24"/>
      <c r="CQ325" s="24"/>
      <c r="CR325" s="24"/>
      <c r="CS325" s="3"/>
      <c r="CT325" s="3"/>
      <c r="CU325" s="3"/>
      <c r="CV325" s="24"/>
      <c r="CW325" s="24"/>
      <c r="CX325" s="24"/>
      <c r="CY325" s="24"/>
      <c r="CZ325" s="24">
        <f>G325</f>
        <v>23715.87</v>
      </c>
      <c r="DA325" s="24"/>
      <c r="DB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3"/>
      <c r="DR325" s="24">
        <f t="shared" si="54"/>
        <v>23715.87</v>
      </c>
      <c r="DS325" s="3">
        <f t="shared" si="55"/>
        <v>0</v>
      </c>
      <c r="DU325" s="3">
        <v>23025.119999999999</v>
      </c>
    </row>
    <row r="326" spans="1:125" x14ac:dyDescent="0.2">
      <c r="A326" s="7"/>
      <c r="C326" s="7" t="s">
        <v>2992</v>
      </c>
      <c r="D326" s="7" t="s">
        <v>3048</v>
      </c>
      <c r="E326" s="164" t="s">
        <v>3049</v>
      </c>
      <c r="F326" s="255" t="s">
        <v>2663</v>
      </c>
      <c r="G326" s="231">
        <f t="shared" si="53"/>
        <v>29329.46</v>
      </c>
      <c r="H326" s="207"/>
      <c r="I326" s="2" t="s">
        <v>2703</v>
      </c>
      <c r="J326" s="2"/>
      <c r="K326" s="2"/>
      <c r="L326" s="2"/>
      <c r="M326" s="3"/>
      <c r="N326" s="3"/>
      <c r="O326" s="24"/>
      <c r="P326" s="3"/>
      <c r="Q326" s="3"/>
      <c r="R326" s="24"/>
      <c r="S326" s="24"/>
      <c r="T326" s="3"/>
      <c r="U326" s="3"/>
      <c r="V326" s="3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3"/>
      <c r="AJ326" s="24"/>
      <c r="AK326" s="284"/>
      <c r="AL326" s="24"/>
      <c r="AM326" s="3"/>
      <c r="AN326" s="3"/>
      <c r="AO326" s="3"/>
      <c r="AP326" s="3"/>
      <c r="AQ326" s="3"/>
      <c r="AR326" s="3"/>
      <c r="AS326" s="24"/>
      <c r="AT326" s="24"/>
      <c r="AU326" s="24"/>
      <c r="AV326" s="24"/>
      <c r="AW326" s="24"/>
      <c r="AX326" s="24"/>
      <c r="AY326" s="3"/>
      <c r="AZ326" s="24"/>
      <c r="BA326" s="24"/>
      <c r="BB326" s="24"/>
      <c r="BC326" s="24"/>
      <c r="BD326" s="24"/>
      <c r="BE326" s="24"/>
      <c r="BF326" s="24"/>
      <c r="BG326" s="24"/>
      <c r="BH326" s="343"/>
      <c r="BI326" s="343"/>
      <c r="BJ326" s="24"/>
      <c r="BK326" s="3"/>
      <c r="BL326" s="3"/>
      <c r="BM326" s="24"/>
      <c r="BN326" s="3"/>
      <c r="BO326" s="3"/>
      <c r="BP326" s="3"/>
      <c r="BQ326" s="3"/>
      <c r="BR326" s="3"/>
      <c r="BS326" s="3"/>
      <c r="BT326" s="3"/>
      <c r="BU326" s="24"/>
      <c r="BV326" s="24"/>
      <c r="BW326" s="24"/>
      <c r="BX326" s="24"/>
      <c r="BY326" s="24"/>
      <c r="BZ326" s="3"/>
      <c r="CA326" s="3"/>
      <c r="CB326" s="24"/>
      <c r="CC326" s="24"/>
      <c r="CD326" s="24"/>
      <c r="CE326" s="24"/>
      <c r="CF326" s="24"/>
      <c r="CG326" s="24"/>
      <c r="CH326" s="24"/>
      <c r="CI326" s="3"/>
      <c r="CJ326" s="3"/>
      <c r="CK326" s="24"/>
      <c r="CL326" s="3"/>
      <c r="CM326" s="3"/>
      <c r="CN326" s="24"/>
      <c r="CO326" s="24"/>
      <c r="CP326" s="24"/>
      <c r="CQ326" s="24"/>
      <c r="CR326" s="24"/>
      <c r="CS326" s="3"/>
      <c r="CT326" s="3"/>
      <c r="CU326" s="3"/>
      <c r="CV326" s="24"/>
      <c r="CW326" s="24"/>
      <c r="CX326" s="24"/>
      <c r="CY326" s="24">
        <f>+G326</f>
        <v>29329.46</v>
      </c>
      <c r="CZ326" s="24"/>
      <c r="DA326" s="24"/>
      <c r="DB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3"/>
      <c r="DR326" s="24">
        <f t="shared" ref="DR326" si="56">SUM(M326:DQ326)</f>
        <v>29329.46</v>
      </c>
      <c r="DS326" s="3">
        <f t="shared" si="55"/>
        <v>0</v>
      </c>
      <c r="DU326" s="3">
        <v>28475.200000000001</v>
      </c>
    </row>
    <row r="327" spans="1:125" x14ac:dyDescent="0.2">
      <c r="A327" s="7"/>
      <c r="C327" s="7" t="s">
        <v>2254</v>
      </c>
      <c r="D327" s="7" t="s">
        <v>2255</v>
      </c>
      <c r="E327" s="168" t="s">
        <v>1534</v>
      </c>
      <c r="F327" s="255" t="s">
        <v>2663</v>
      </c>
      <c r="G327" s="231">
        <f t="shared" si="53"/>
        <v>23416.43</v>
      </c>
      <c r="H327" s="207"/>
      <c r="I327" s="252" t="s">
        <v>2704</v>
      </c>
      <c r="J327" s="2"/>
      <c r="K327" s="2"/>
      <c r="L327" s="2"/>
      <c r="M327" s="24"/>
      <c r="N327" s="3"/>
      <c r="O327" s="24"/>
      <c r="P327" s="3"/>
      <c r="Q327" s="3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3"/>
      <c r="AJ327" s="24"/>
      <c r="AK327" s="284"/>
      <c r="AL327" s="24"/>
      <c r="AM327" s="24"/>
      <c r="AN327" s="24"/>
      <c r="AO327" s="3"/>
      <c r="AP327" s="3"/>
      <c r="AQ327" s="3"/>
      <c r="AR327" s="3"/>
      <c r="AS327" s="24"/>
      <c r="AT327" s="24"/>
      <c r="AU327" s="24"/>
      <c r="AV327" s="24"/>
      <c r="AW327" s="24"/>
      <c r="AX327" s="24"/>
      <c r="AY327" s="3"/>
      <c r="AZ327" s="24"/>
      <c r="BA327" s="24"/>
      <c r="BB327" s="24"/>
      <c r="BC327" s="24"/>
      <c r="BD327" s="24"/>
      <c r="BE327" s="24"/>
      <c r="BF327" s="24"/>
      <c r="BG327" s="24"/>
      <c r="BH327" s="343"/>
      <c r="BI327" s="343"/>
      <c r="BJ327" s="24"/>
      <c r="BK327" s="3"/>
      <c r="BL327" s="3"/>
      <c r="BM327" s="24"/>
      <c r="BN327" s="3"/>
      <c r="BO327" s="3"/>
      <c r="BP327" s="3"/>
      <c r="BQ327" s="3"/>
      <c r="BR327" s="3"/>
      <c r="BS327" s="24"/>
      <c r="BT327" s="24"/>
      <c r="BU327" s="24"/>
      <c r="BV327" s="24"/>
      <c r="BW327" s="24"/>
      <c r="BX327" s="24"/>
      <c r="BY327" s="24"/>
      <c r="BZ327" s="3"/>
      <c r="CA327" s="3"/>
      <c r="CB327" s="24"/>
      <c r="CC327" s="24"/>
      <c r="CD327" s="24"/>
      <c r="CE327" s="24"/>
      <c r="CF327" s="24"/>
      <c r="CG327" s="24"/>
      <c r="CH327" s="24"/>
      <c r="CI327" s="3"/>
      <c r="CJ327" s="3"/>
      <c r="CK327" s="24"/>
      <c r="CL327" s="24"/>
      <c r="CM327" s="24"/>
      <c r="CN327" s="24"/>
      <c r="CO327" s="24"/>
      <c r="CP327" s="24"/>
      <c r="CQ327" s="24"/>
      <c r="CR327" s="24"/>
      <c r="CS327" s="3"/>
      <c r="CT327" s="3"/>
      <c r="CU327" s="3"/>
      <c r="CV327" s="24"/>
      <c r="CW327" s="24"/>
      <c r="CX327" s="24"/>
      <c r="CY327" s="24"/>
      <c r="CZ327" s="24"/>
      <c r="DA327" s="24"/>
      <c r="DB327" s="24">
        <f>G327</f>
        <v>23416.43</v>
      </c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>
        <f t="shared" si="54"/>
        <v>23416.43</v>
      </c>
      <c r="DS327" s="3">
        <f t="shared" si="55"/>
        <v>0</v>
      </c>
      <c r="DU327" s="3">
        <v>22734.400000000001</v>
      </c>
    </row>
    <row r="328" spans="1:125" x14ac:dyDescent="0.2">
      <c r="A328" s="7"/>
      <c r="C328" s="7" t="s">
        <v>2256</v>
      </c>
      <c r="D328" s="7" t="s">
        <v>2257</v>
      </c>
      <c r="E328" s="168" t="s">
        <v>1128</v>
      </c>
      <c r="F328" s="33" t="s">
        <v>2663</v>
      </c>
      <c r="G328" s="231">
        <f t="shared" si="53"/>
        <v>16025.15</v>
      </c>
      <c r="H328" s="207"/>
      <c r="I328" s="3" t="s">
        <v>2706</v>
      </c>
      <c r="J328" s="2"/>
      <c r="K328" s="2"/>
      <c r="L328" s="2"/>
      <c r="M328" s="3"/>
      <c r="N328" s="3"/>
      <c r="O328" s="24"/>
      <c r="P328" s="3"/>
      <c r="Q328" s="3"/>
      <c r="R328" s="24"/>
      <c r="S328" s="24"/>
      <c r="T328" s="3"/>
      <c r="U328" s="3"/>
      <c r="V328" s="3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3"/>
      <c r="AJ328" s="24"/>
      <c r="AK328" s="284"/>
      <c r="AL328" s="24"/>
      <c r="AM328" s="3"/>
      <c r="AN328" s="3"/>
      <c r="AO328" s="3"/>
      <c r="AP328" s="3"/>
      <c r="AQ328" s="3"/>
      <c r="AR328" s="3"/>
      <c r="AS328" s="24"/>
      <c r="AT328" s="24"/>
      <c r="AU328" s="24"/>
      <c r="AV328" s="24"/>
      <c r="AW328" s="24"/>
      <c r="AX328" s="24"/>
      <c r="AY328" s="3"/>
      <c r="AZ328" s="24"/>
      <c r="BA328" s="24"/>
      <c r="BB328" s="24"/>
      <c r="BC328" s="24"/>
      <c r="BD328" s="24"/>
      <c r="BE328" s="24"/>
      <c r="BF328" s="24"/>
      <c r="BG328" s="24"/>
      <c r="BH328" s="343"/>
      <c r="BI328" s="343"/>
      <c r="BJ328" s="24"/>
      <c r="BK328" s="3"/>
      <c r="BL328" s="3"/>
      <c r="BM328" s="24"/>
      <c r="BN328" s="3"/>
      <c r="BO328" s="3"/>
      <c r="BP328" s="3"/>
      <c r="BQ328" s="3"/>
      <c r="BR328" s="3"/>
      <c r="BS328" s="3"/>
      <c r="BT328" s="3"/>
      <c r="BU328" s="24"/>
      <c r="BV328" s="24"/>
      <c r="BW328" s="24"/>
      <c r="BX328" s="24"/>
      <c r="BY328" s="24"/>
      <c r="BZ328" s="3"/>
      <c r="CA328" s="3"/>
      <c r="CB328" s="24"/>
      <c r="CC328" s="24"/>
      <c r="CD328" s="24"/>
      <c r="CE328" s="24"/>
      <c r="CF328" s="24"/>
      <c r="CG328" s="24"/>
      <c r="CH328" s="3"/>
      <c r="CI328" s="3"/>
      <c r="CJ328" s="3"/>
      <c r="CK328" s="24"/>
      <c r="CL328" s="3"/>
      <c r="CM328" s="3"/>
      <c r="CN328" s="3"/>
      <c r="CO328" s="3"/>
      <c r="CP328" s="3"/>
      <c r="CQ328" s="3"/>
      <c r="CR328" s="24"/>
      <c r="CS328" s="3"/>
      <c r="CT328" s="3"/>
      <c r="CU328" s="3"/>
      <c r="CV328" s="24"/>
      <c r="CW328" s="24"/>
      <c r="CX328" s="24"/>
      <c r="CY328" s="24"/>
      <c r="CZ328" s="24"/>
      <c r="DA328" s="24"/>
      <c r="DB328" s="24"/>
      <c r="DC328" s="24"/>
      <c r="DD328" s="24">
        <f>G328</f>
        <v>16025.15</v>
      </c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3"/>
      <c r="DR328" s="24">
        <f t="shared" si="54"/>
        <v>16025.15</v>
      </c>
      <c r="DS328" s="3">
        <f t="shared" si="55"/>
        <v>0</v>
      </c>
      <c r="DU328" s="3">
        <v>15558.4</v>
      </c>
    </row>
    <row r="329" spans="1:125" x14ac:dyDescent="0.2">
      <c r="A329" s="7"/>
      <c r="C329" s="7" t="s">
        <v>2258</v>
      </c>
      <c r="D329" s="7" t="s">
        <v>2259</v>
      </c>
      <c r="E329" s="220" t="s">
        <v>1538</v>
      </c>
      <c r="F329" s="33" t="s">
        <v>2663</v>
      </c>
      <c r="G329" s="231">
        <f t="shared" si="53"/>
        <v>18239.900000000001</v>
      </c>
      <c r="H329" s="207"/>
      <c r="I329" s="2" t="s">
        <v>2708</v>
      </c>
      <c r="J329" s="2"/>
      <c r="K329" s="2"/>
      <c r="L329" s="2"/>
      <c r="M329" s="3"/>
      <c r="N329" s="3"/>
      <c r="O329" s="24"/>
      <c r="P329" s="3"/>
      <c r="Q329" s="3"/>
      <c r="R329" s="24"/>
      <c r="S329" s="24"/>
      <c r="T329" s="3"/>
      <c r="U329" s="3"/>
      <c r="V329" s="3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3"/>
      <c r="AJ329" s="24"/>
      <c r="AK329" s="284"/>
      <c r="AL329" s="24"/>
      <c r="AM329" s="3"/>
      <c r="AN329" s="3"/>
      <c r="AO329" s="3"/>
      <c r="AP329" s="3"/>
      <c r="AQ329" s="3"/>
      <c r="AR329" s="3"/>
      <c r="AS329" s="24"/>
      <c r="AT329" s="24"/>
      <c r="AU329" s="24"/>
      <c r="AV329" s="24"/>
      <c r="AW329" s="24"/>
      <c r="AX329" s="24"/>
      <c r="AY329" s="3"/>
      <c r="AZ329" s="24"/>
      <c r="BA329" s="24"/>
      <c r="BB329" s="24"/>
      <c r="BC329" s="24"/>
      <c r="BD329" s="24"/>
      <c r="BE329" s="24"/>
      <c r="BF329" s="24"/>
      <c r="BG329" s="24"/>
      <c r="BH329" s="343"/>
      <c r="BI329" s="343"/>
      <c r="BJ329" s="24"/>
      <c r="BK329" s="3"/>
      <c r="BL329" s="3"/>
      <c r="BM329" s="24"/>
      <c r="BN329" s="3"/>
      <c r="BO329" s="3"/>
      <c r="BP329" s="3"/>
      <c r="BQ329" s="3"/>
      <c r="BR329" s="3"/>
      <c r="BS329" s="3"/>
      <c r="BT329" s="3"/>
      <c r="BU329" s="24"/>
      <c r="BV329" s="24"/>
      <c r="BW329" s="24"/>
      <c r="BX329" s="24"/>
      <c r="BY329" s="24"/>
      <c r="BZ329" s="3"/>
      <c r="CA329" s="3"/>
      <c r="CB329" s="24"/>
      <c r="CC329" s="24"/>
      <c r="CD329" s="24"/>
      <c r="CE329" s="24"/>
      <c r="CF329" s="24"/>
      <c r="CG329" s="24"/>
      <c r="CH329" s="24"/>
      <c r="CI329" s="3"/>
      <c r="CJ329" s="3"/>
      <c r="CK329" s="24"/>
      <c r="CL329" s="3"/>
      <c r="CM329" s="3"/>
      <c r="CN329" s="24"/>
      <c r="CO329" s="24"/>
      <c r="CP329" s="24"/>
      <c r="CQ329" s="24"/>
      <c r="CR329" s="24"/>
      <c r="CS329" s="3"/>
      <c r="CT329" s="3"/>
      <c r="CU329" s="3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3"/>
      <c r="DG329" s="24">
        <f>G329</f>
        <v>18239.900000000001</v>
      </c>
      <c r="DH329" s="24"/>
      <c r="DI329" s="24"/>
      <c r="DJ329" s="24"/>
      <c r="DK329" s="24"/>
      <c r="DL329" s="24"/>
      <c r="DM329" s="24"/>
      <c r="DN329" s="24"/>
      <c r="DO329" s="24"/>
      <c r="DP329" s="24"/>
      <c r="DQ329" s="3"/>
      <c r="DR329" s="24">
        <f t="shared" si="54"/>
        <v>18239.900000000001</v>
      </c>
      <c r="DS329" s="3">
        <f t="shared" si="55"/>
        <v>0</v>
      </c>
      <c r="DU329" s="3">
        <v>17708.64</v>
      </c>
    </row>
    <row r="330" spans="1:125" x14ac:dyDescent="0.2">
      <c r="C330" s="7" t="s">
        <v>2260</v>
      </c>
      <c r="D330" s="7" t="s">
        <v>2261</v>
      </c>
      <c r="E330" s="168" t="s">
        <v>312</v>
      </c>
      <c r="F330" s="33" t="s">
        <v>2663</v>
      </c>
      <c r="G330" s="231">
        <f t="shared" si="53"/>
        <v>23416.43</v>
      </c>
      <c r="H330" s="207"/>
      <c r="I330" s="252" t="s">
        <v>2704</v>
      </c>
      <c r="J330" s="2"/>
      <c r="K330" s="2"/>
      <c r="L330" s="2"/>
      <c r="M330" s="3"/>
      <c r="N330" s="3"/>
      <c r="O330" s="24"/>
      <c r="P330" s="3"/>
      <c r="Q330" s="3"/>
      <c r="R330" s="24"/>
      <c r="S330" s="24"/>
      <c r="T330" s="3"/>
      <c r="U330" s="3"/>
      <c r="V330" s="3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3"/>
      <c r="AJ330" s="24"/>
      <c r="AK330" s="284"/>
      <c r="AL330" s="24"/>
      <c r="AM330" s="3"/>
      <c r="AN330" s="3"/>
      <c r="AO330" s="3"/>
      <c r="AP330" s="3"/>
      <c r="AQ330" s="3"/>
      <c r="AR330" s="3"/>
      <c r="AS330" s="24"/>
      <c r="AT330" s="24"/>
      <c r="AU330" s="24"/>
      <c r="AV330" s="24"/>
      <c r="AW330" s="24"/>
      <c r="AX330" s="24"/>
      <c r="AY330" s="3"/>
      <c r="AZ330" s="24"/>
      <c r="BA330" s="24"/>
      <c r="BB330" s="24"/>
      <c r="BC330" s="24"/>
      <c r="BD330" s="24"/>
      <c r="BE330" s="24"/>
      <c r="BF330" s="24"/>
      <c r="BG330" s="24"/>
      <c r="BH330" s="343"/>
      <c r="BI330" s="343"/>
      <c r="BJ330" s="24"/>
      <c r="BK330" s="3"/>
      <c r="BL330" s="3"/>
      <c r="BM330" s="24"/>
      <c r="BN330" s="3"/>
      <c r="BO330" s="3"/>
      <c r="BP330" s="3"/>
      <c r="BQ330" s="3"/>
      <c r="BR330" s="3"/>
      <c r="BS330" s="3"/>
      <c r="BT330" s="3"/>
      <c r="BU330" s="24"/>
      <c r="BV330" s="24"/>
      <c r="BW330" s="24"/>
      <c r="BX330" s="24"/>
      <c r="BY330" s="24"/>
      <c r="BZ330" s="3"/>
      <c r="CA330" s="3"/>
      <c r="CB330" s="24"/>
      <c r="CC330" s="24"/>
      <c r="CD330" s="24"/>
      <c r="CE330" s="24"/>
      <c r="CF330" s="24"/>
      <c r="CG330" s="24"/>
      <c r="CH330" s="24"/>
      <c r="CI330" s="3"/>
      <c r="CJ330" s="3"/>
      <c r="CK330" s="24"/>
      <c r="CL330" s="3"/>
      <c r="CM330" s="3"/>
      <c r="CN330" s="24"/>
      <c r="CO330" s="24"/>
      <c r="CP330" s="24"/>
      <c r="CQ330" s="24"/>
      <c r="CR330" s="24"/>
      <c r="CS330" s="3"/>
      <c r="CT330" s="3"/>
      <c r="CU330" s="3"/>
      <c r="CV330" s="24"/>
      <c r="CW330" s="24"/>
      <c r="CX330" s="24"/>
      <c r="CY330" s="24"/>
      <c r="CZ330" s="24"/>
      <c r="DA330" s="24"/>
      <c r="DB330" s="24">
        <f>G330</f>
        <v>23416.43</v>
      </c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3"/>
      <c r="DR330" s="24">
        <f t="shared" si="54"/>
        <v>23416.43</v>
      </c>
      <c r="DS330" s="3">
        <f t="shared" si="55"/>
        <v>0</v>
      </c>
      <c r="DU330" s="3">
        <v>22734.400000000001</v>
      </c>
    </row>
    <row r="331" spans="1:125" x14ac:dyDescent="0.2">
      <c r="A331" s="251" t="s">
        <v>3067</v>
      </c>
      <c r="E331" s="168" t="s">
        <v>3071</v>
      </c>
      <c r="F331" s="33" t="s">
        <v>2663</v>
      </c>
      <c r="G331" s="231">
        <f t="shared" si="53"/>
        <v>22880.83</v>
      </c>
      <c r="H331" s="207"/>
      <c r="I331" s="252" t="s">
        <v>2704</v>
      </c>
      <c r="J331" s="2"/>
      <c r="K331" s="2"/>
      <c r="L331" s="2"/>
      <c r="M331" s="3"/>
      <c r="N331" s="3"/>
      <c r="O331" s="24"/>
      <c r="P331" s="3"/>
      <c r="Q331" s="3"/>
      <c r="R331" s="24"/>
      <c r="S331" s="24"/>
      <c r="T331" s="3"/>
      <c r="U331" s="3"/>
      <c r="V331" s="3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3"/>
      <c r="AJ331" s="24"/>
      <c r="AK331" s="284"/>
      <c r="AL331" s="24"/>
      <c r="AM331" s="3"/>
      <c r="AN331" s="3"/>
      <c r="AO331" s="3"/>
      <c r="AP331" s="3"/>
      <c r="AQ331" s="3"/>
      <c r="AR331" s="3"/>
      <c r="AS331" s="24"/>
      <c r="AT331" s="24"/>
      <c r="AU331" s="24"/>
      <c r="AV331" s="24"/>
      <c r="AW331" s="24"/>
      <c r="AX331" s="24"/>
      <c r="AY331" s="3"/>
      <c r="AZ331" s="24"/>
      <c r="BA331" s="24"/>
      <c r="BB331" s="24"/>
      <c r="BC331" s="24"/>
      <c r="BD331" s="24"/>
      <c r="BE331" s="24"/>
      <c r="BF331" s="24"/>
      <c r="BG331" s="24"/>
      <c r="BH331" s="343"/>
      <c r="BI331" s="343"/>
      <c r="BJ331" s="24"/>
      <c r="BK331" s="3"/>
      <c r="BL331" s="3"/>
      <c r="BM331" s="24"/>
      <c r="BN331" s="3"/>
      <c r="BO331" s="3"/>
      <c r="BP331" s="3"/>
      <c r="BQ331" s="3"/>
      <c r="BR331" s="3"/>
      <c r="BS331" s="3"/>
      <c r="BT331" s="3"/>
      <c r="BU331" s="24"/>
      <c r="BV331" s="24"/>
      <c r="BW331" s="24"/>
      <c r="BX331" s="24"/>
      <c r="BY331" s="24"/>
      <c r="BZ331" s="3"/>
      <c r="CA331" s="3"/>
      <c r="CB331" s="24"/>
      <c r="CC331" s="24"/>
      <c r="CD331" s="24"/>
      <c r="CE331" s="24"/>
      <c r="CF331" s="24"/>
      <c r="CG331" s="24"/>
      <c r="CH331" s="24"/>
      <c r="CI331" s="3"/>
      <c r="CJ331" s="3"/>
      <c r="CK331" s="24"/>
      <c r="CL331" s="3"/>
      <c r="CM331" s="3"/>
      <c r="CN331" s="24"/>
      <c r="CO331" s="24"/>
      <c r="CP331" s="24"/>
      <c r="CQ331" s="24"/>
      <c r="CR331" s="24"/>
      <c r="CS331" s="3"/>
      <c r="CT331" s="3"/>
      <c r="CU331" s="3"/>
      <c r="CV331" s="24"/>
      <c r="CW331" s="24"/>
      <c r="CX331" s="24"/>
      <c r="CY331" s="24"/>
      <c r="CZ331" s="24"/>
      <c r="DA331" s="24"/>
      <c r="DB331" s="24">
        <f>G331</f>
        <v>22880.83</v>
      </c>
      <c r="DC331" s="24"/>
      <c r="DD331" s="24"/>
      <c r="DE331" s="24"/>
      <c r="DF331" s="3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3"/>
      <c r="DR331" s="24">
        <f t="shared" si="54"/>
        <v>22880.83</v>
      </c>
      <c r="DS331" s="3">
        <f t="shared" si="55"/>
        <v>0</v>
      </c>
      <c r="DU331" s="3">
        <v>22214.400000000001</v>
      </c>
    </row>
    <row r="332" spans="1:125" x14ac:dyDescent="0.2">
      <c r="C332" s="7" t="s">
        <v>2826</v>
      </c>
      <c r="D332" s="7" t="s">
        <v>2263</v>
      </c>
      <c r="E332" s="168" t="s">
        <v>2825</v>
      </c>
      <c r="F332" s="33" t="s">
        <v>2663</v>
      </c>
      <c r="G332" s="231">
        <f t="shared" si="53"/>
        <v>22880.83</v>
      </c>
      <c r="H332" s="207"/>
      <c r="I332" s="252" t="s">
        <v>2704</v>
      </c>
      <c r="J332" s="2"/>
      <c r="K332" s="2"/>
      <c r="L332" s="2"/>
      <c r="M332" s="3"/>
      <c r="N332" s="3"/>
      <c r="O332" s="24"/>
      <c r="P332" s="3"/>
      <c r="Q332" s="3"/>
      <c r="R332" s="24"/>
      <c r="S332" s="24"/>
      <c r="T332" s="3"/>
      <c r="U332" s="3"/>
      <c r="V332" s="3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3"/>
      <c r="AJ332" s="24"/>
      <c r="AK332" s="284"/>
      <c r="AL332" s="24"/>
      <c r="AM332" s="3"/>
      <c r="AN332" s="3"/>
      <c r="AO332" s="3"/>
      <c r="AP332" s="3"/>
      <c r="AQ332" s="3"/>
      <c r="AR332" s="3"/>
      <c r="AS332" s="24"/>
      <c r="AT332" s="24"/>
      <c r="AU332" s="24"/>
      <c r="AV332" s="24"/>
      <c r="AW332" s="24"/>
      <c r="AX332" s="24"/>
      <c r="AY332" s="3"/>
      <c r="AZ332" s="24"/>
      <c r="BA332" s="24"/>
      <c r="BB332" s="24"/>
      <c r="BC332" s="24"/>
      <c r="BD332" s="24"/>
      <c r="BE332" s="24"/>
      <c r="BF332" s="24"/>
      <c r="BG332" s="24"/>
      <c r="BH332" s="343"/>
      <c r="BI332" s="343"/>
      <c r="BJ332" s="24"/>
      <c r="BK332" s="3"/>
      <c r="BL332" s="3"/>
      <c r="BM332" s="24"/>
      <c r="BN332" s="3"/>
      <c r="BO332" s="3"/>
      <c r="BP332" s="3"/>
      <c r="BQ332" s="3"/>
      <c r="BR332" s="3"/>
      <c r="BS332" s="3"/>
      <c r="BT332" s="3"/>
      <c r="BU332" s="24"/>
      <c r="BV332" s="24"/>
      <c r="BW332" s="24"/>
      <c r="BX332" s="24"/>
      <c r="BY332" s="24"/>
      <c r="BZ332" s="3"/>
      <c r="CA332" s="3"/>
      <c r="CB332" s="24"/>
      <c r="CC332" s="24"/>
      <c r="CD332" s="24"/>
      <c r="CE332" s="24"/>
      <c r="CF332" s="24"/>
      <c r="CG332" s="24"/>
      <c r="CH332" s="24"/>
      <c r="CI332" s="3"/>
      <c r="CJ332" s="3"/>
      <c r="CK332" s="24"/>
      <c r="CL332" s="3"/>
      <c r="CM332" s="3"/>
      <c r="CN332" s="24"/>
      <c r="CO332" s="24"/>
      <c r="CP332" s="24"/>
      <c r="CQ332" s="24"/>
      <c r="CR332" s="24"/>
      <c r="CS332" s="3"/>
      <c r="CT332" s="3"/>
      <c r="CU332" s="3"/>
      <c r="CV332" s="24"/>
      <c r="CW332" s="24"/>
      <c r="CX332" s="24"/>
      <c r="CY332" s="24"/>
      <c r="CZ332" s="24">
        <f>+G332</f>
        <v>22880.83</v>
      </c>
      <c r="DA332" s="24"/>
      <c r="DB332" s="24"/>
      <c r="DC332" s="24"/>
      <c r="DD332" s="24"/>
      <c r="DE332" s="24"/>
      <c r="DF332" s="3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3"/>
      <c r="DR332" s="24">
        <f t="shared" si="54"/>
        <v>22880.83</v>
      </c>
      <c r="DS332" s="3">
        <f t="shared" si="55"/>
        <v>0</v>
      </c>
      <c r="DU332" s="3">
        <v>22214.400000000001</v>
      </c>
    </row>
    <row r="333" spans="1:125" x14ac:dyDescent="0.2">
      <c r="C333" s="7" t="s">
        <v>2262</v>
      </c>
      <c r="D333" s="7" t="s">
        <v>2263</v>
      </c>
      <c r="E333" s="168" t="s">
        <v>1543</v>
      </c>
      <c r="F333" s="33" t="s">
        <v>2663</v>
      </c>
      <c r="G333" s="231">
        <f t="shared" si="53"/>
        <v>29329.46</v>
      </c>
      <c r="H333" s="207"/>
      <c r="I333" s="342" t="s">
        <v>2796</v>
      </c>
      <c r="J333" s="2"/>
      <c r="K333" s="2"/>
      <c r="L333" s="2"/>
      <c r="M333" s="3"/>
      <c r="N333" s="3"/>
      <c r="O333" s="3" t="s">
        <v>342</v>
      </c>
      <c r="P333" s="3"/>
      <c r="Q333" s="24">
        <f>G333</f>
        <v>29329.46</v>
      </c>
      <c r="R333" s="24"/>
      <c r="S333" s="24"/>
      <c r="T333" s="3"/>
      <c r="U333" s="3"/>
      <c r="V333" s="3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3"/>
      <c r="AJ333" s="24"/>
      <c r="AK333" s="284"/>
      <c r="AL333" s="24"/>
      <c r="AM333" s="3"/>
      <c r="AN333" s="3"/>
      <c r="AO333" s="3"/>
      <c r="AP333" s="3"/>
      <c r="AQ333" s="3"/>
      <c r="AR333" s="3"/>
      <c r="AS333" s="24"/>
      <c r="AT333" s="24"/>
      <c r="AU333" s="24"/>
      <c r="AV333" s="24"/>
      <c r="AW333" s="24"/>
      <c r="AX333" s="24"/>
      <c r="AY333" s="3"/>
      <c r="AZ333" s="24"/>
      <c r="BA333" s="24"/>
      <c r="BB333" s="24"/>
      <c r="BC333" s="24"/>
      <c r="BD333" s="24"/>
      <c r="BE333" s="24"/>
      <c r="BF333" s="24"/>
      <c r="BG333" s="24"/>
      <c r="BH333" s="343"/>
      <c r="BI333" s="343"/>
      <c r="BJ333" s="24"/>
      <c r="BK333" s="3"/>
      <c r="BL333" s="3"/>
      <c r="BM333" s="24"/>
      <c r="BN333" s="3"/>
      <c r="BO333" s="3"/>
      <c r="BP333" s="3"/>
      <c r="BQ333" s="3"/>
      <c r="BR333" s="3"/>
      <c r="BS333" s="3"/>
      <c r="BT333" s="3"/>
      <c r="BU333" s="24"/>
      <c r="BV333" s="24"/>
      <c r="BW333" s="24"/>
      <c r="BX333" s="24"/>
      <c r="BY333" s="24"/>
      <c r="BZ333" s="3"/>
      <c r="CA333" s="3"/>
      <c r="CB333" s="24"/>
      <c r="CC333" s="24"/>
      <c r="CD333" s="24"/>
      <c r="CE333" s="24"/>
      <c r="CF333" s="24"/>
      <c r="CG333" s="24"/>
      <c r="CH333" s="24"/>
      <c r="CI333" s="3"/>
      <c r="CJ333" s="3"/>
      <c r="CK333" s="24"/>
      <c r="CL333" s="3"/>
      <c r="CM333" s="3"/>
      <c r="CN333" s="24"/>
      <c r="CO333" s="24"/>
      <c r="CP333" s="24"/>
      <c r="CQ333" s="24"/>
      <c r="CR333" s="24"/>
      <c r="CS333" s="3"/>
      <c r="CT333" s="3"/>
      <c r="CU333" s="3"/>
      <c r="CV333" s="3" t="s">
        <v>342</v>
      </c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3"/>
      <c r="DR333" s="24">
        <f t="shared" si="54"/>
        <v>29329.46</v>
      </c>
      <c r="DS333" s="3">
        <f t="shared" si="55"/>
        <v>0</v>
      </c>
      <c r="DU333" s="3">
        <v>28475.200000000001</v>
      </c>
    </row>
    <row r="334" spans="1:125" x14ac:dyDescent="0.2">
      <c r="C334" s="7" t="s">
        <v>2264</v>
      </c>
      <c r="D334" s="7" t="s">
        <v>2265</v>
      </c>
      <c r="E334" s="169" t="s">
        <v>759</v>
      </c>
      <c r="F334" s="33" t="s">
        <v>2663</v>
      </c>
      <c r="G334" s="231">
        <f t="shared" si="53"/>
        <v>22880.83</v>
      </c>
      <c r="H334" s="207"/>
      <c r="I334" s="252" t="s">
        <v>2704</v>
      </c>
      <c r="J334" s="2"/>
      <c r="K334" s="2"/>
      <c r="L334" s="2"/>
      <c r="M334" s="3"/>
      <c r="N334" s="3"/>
      <c r="O334" s="24"/>
      <c r="P334" s="3"/>
      <c r="Q334" s="3"/>
      <c r="R334" s="24"/>
      <c r="S334" s="24"/>
      <c r="T334" s="3"/>
      <c r="U334" s="3"/>
      <c r="V334" s="3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3"/>
      <c r="AJ334" s="24"/>
      <c r="AK334" s="284"/>
      <c r="AL334" s="24"/>
      <c r="AM334" s="3"/>
      <c r="AN334" s="3"/>
      <c r="AO334" s="3"/>
      <c r="AP334" s="3"/>
      <c r="AQ334" s="3"/>
      <c r="AR334" s="3"/>
      <c r="AS334" s="24"/>
      <c r="AT334" s="24"/>
      <c r="AU334" s="24"/>
      <c r="AV334" s="24"/>
      <c r="AW334" s="24"/>
      <c r="AX334" s="24"/>
      <c r="AY334" s="3"/>
      <c r="AZ334" s="24"/>
      <c r="BA334" s="24"/>
      <c r="BB334" s="24"/>
      <c r="BC334" s="24"/>
      <c r="BD334" s="24"/>
      <c r="BE334" s="24"/>
      <c r="BF334" s="24"/>
      <c r="BG334" s="24"/>
      <c r="BH334" s="343"/>
      <c r="BI334" s="343"/>
      <c r="BJ334" s="24"/>
      <c r="BK334" s="3"/>
      <c r="BL334" s="3"/>
      <c r="BM334" s="24"/>
      <c r="BN334" s="3"/>
      <c r="BO334" s="3"/>
      <c r="BP334" s="3"/>
      <c r="BQ334" s="3"/>
      <c r="BR334" s="3"/>
      <c r="BS334" s="3"/>
      <c r="BT334" s="3"/>
      <c r="BU334" s="24"/>
      <c r="BV334" s="24"/>
      <c r="BW334" s="24"/>
      <c r="BX334" s="24"/>
      <c r="BY334" s="24"/>
      <c r="BZ334" s="3"/>
      <c r="CA334" s="3"/>
      <c r="CB334" s="24"/>
      <c r="CC334" s="24"/>
      <c r="CD334" s="24"/>
      <c r="CE334" s="24"/>
      <c r="CF334" s="24"/>
      <c r="CG334" s="24"/>
      <c r="CH334" s="24"/>
      <c r="CI334" s="3"/>
      <c r="CJ334" s="3"/>
      <c r="CK334" s="24"/>
      <c r="CL334" s="3"/>
      <c r="CM334" s="3"/>
      <c r="CN334" s="24"/>
      <c r="CO334" s="24"/>
      <c r="CP334" s="24"/>
      <c r="CQ334" s="24"/>
      <c r="CR334" s="24"/>
      <c r="CS334" s="3"/>
      <c r="CT334" s="3"/>
      <c r="CU334" s="3"/>
      <c r="CV334" s="24"/>
      <c r="CW334" s="24"/>
      <c r="CX334" s="24"/>
      <c r="CY334" s="24"/>
      <c r="CZ334" s="24">
        <f>G334</f>
        <v>22880.83</v>
      </c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3"/>
      <c r="DR334" s="24">
        <f t="shared" si="54"/>
        <v>22880.83</v>
      </c>
      <c r="DS334" s="3">
        <f t="shared" si="55"/>
        <v>0</v>
      </c>
      <c r="DU334" s="3">
        <v>22214.400000000001</v>
      </c>
    </row>
    <row r="335" spans="1:125" x14ac:dyDescent="0.2">
      <c r="A335" s="251"/>
      <c r="C335" s="7" t="s">
        <v>2227</v>
      </c>
      <c r="D335" s="7" t="s">
        <v>2228</v>
      </c>
      <c r="E335" s="222" t="s">
        <v>2206</v>
      </c>
      <c r="F335" s="255" t="s">
        <v>2663</v>
      </c>
      <c r="G335" s="231">
        <f t="shared" si="53"/>
        <v>23715.87</v>
      </c>
      <c r="H335" s="207"/>
      <c r="I335" s="2" t="s">
        <v>2703</v>
      </c>
      <c r="J335" s="3"/>
      <c r="K335" s="3"/>
      <c r="L335" s="3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8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343"/>
      <c r="BI335" s="343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>
        <f>G335</f>
        <v>23715.87</v>
      </c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>
        <f t="shared" si="54"/>
        <v>23715.87</v>
      </c>
      <c r="DS335" s="3">
        <f t="shared" si="55"/>
        <v>0</v>
      </c>
      <c r="DU335" s="3">
        <v>23025.119999999999</v>
      </c>
    </row>
    <row r="336" spans="1:125" x14ac:dyDescent="0.2">
      <c r="C336" s="7" t="s">
        <v>2268</v>
      </c>
      <c r="D336" s="7" t="s">
        <v>2269</v>
      </c>
      <c r="E336" s="203" t="s">
        <v>1396</v>
      </c>
      <c r="F336" s="33" t="s">
        <v>2663</v>
      </c>
      <c r="G336" s="231">
        <f t="shared" si="53"/>
        <v>22902.26</v>
      </c>
      <c r="H336" s="207"/>
      <c r="I336" s="343" t="s">
        <v>2710</v>
      </c>
      <c r="J336" s="2"/>
      <c r="K336" s="2"/>
      <c r="L336" s="2"/>
      <c r="M336" s="3"/>
      <c r="N336" s="3"/>
      <c r="O336" s="24"/>
      <c r="P336" s="3"/>
      <c r="Q336" s="3"/>
      <c r="R336" s="24"/>
      <c r="S336" s="24"/>
      <c r="T336" s="3"/>
      <c r="U336" s="3"/>
      <c r="V336" s="3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3"/>
      <c r="AJ336" s="24"/>
      <c r="AK336" s="284"/>
      <c r="AL336" s="24"/>
      <c r="AM336" s="3"/>
      <c r="AN336" s="3"/>
      <c r="AO336" s="3"/>
      <c r="AP336" s="3"/>
      <c r="AQ336" s="3"/>
      <c r="AR336" s="3"/>
      <c r="AS336" s="24"/>
      <c r="AT336" s="24"/>
      <c r="AU336" s="24"/>
      <c r="AV336" s="24"/>
      <c r="AW336" s="24"/>
      <c r="AX336" s="24"/>
      <c r="AY336" s="3"/>
      <c r="AZ336" s="24"/>
      <c r="BA336" s="24"/>
      <c r="BB336" s="24"/>
      <c r="BC336" s="24"/>
      <c r="BD336" s="24"/>
      <c r="BE336" s="24"/>
      <c r="BF336" s="24"/>
      <c r="BG336" s="24"/>
      <c r="BH336" s="343"/>
      <c r="BI336" s="343"/>
      <c r="BJ336" s="24"/>
      <c r="BK336" s="3"/>
      <c r="BL336" s="3"/>
      <c r="BM336" s="24"/>
      <c r="BN336" s="3"/>
      <c r="BO336" s="3"/>
      <c r="BP336" s="3"/>
      <c r="BQ336" s="3"/>
      <c r="BR336" s="3"/>
      <c r="BS336" s="3"/>
      <c r="BT336" s="3"/>
      <c r="BU336" s="24"/>
      <c r="BV336" s="24"/>
      <c r="BW336" s="24"/>
      <c r="BX336" s="24"/>
      <c r="BY336" s="24"/>
      <c r="BZ336" s="3"/>
      <c r="CA336" s="24"/>
      <c r="CB336" s="24"/>
      <c r="CC336" s="24"/>
      <c r="CD336" s="24"/>
      <c r="CE336" s="24"/>
      <c r="CF336" s="24"/>
      <c r="CG336" s="24"/>
      <c r="CH336" s="24"/>
      <c r="CI336" s="3"/>
      <c r="CJ336" s="3"/>
      <c r="CK336" s="24"/>
      <c r="CL336" s="3"/>
      <c r="CM336" s="3"/>
      <c r="CN336" s="24"/>
      <c r="CO336" s="24"/>
      <c r="CP336" s="24"/>
      <c r="CQ336" s="24"/>
      <c r="CR336" s="24"/>
      <c r="CS336" s="3"/>
      <c r="CT336" s="3"/>
      <c r="CU336" s="3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>
        <f>G336</f>
        <v>22902.26</v>
      </c>
      <c r="DP336" s="24"/>
      <c r="DQ336" s="3"/>
      <c r="DR336" s="24">
        <f t="shared" si="54"/>
        <v>22902.26</v>
      </c>
      <c r="DS336" s="3">
        <f t="shared" si="55"/>
        <v>0</v>
      </c>
      <c r="DU336" s="3">
        <v>22235.200000000001</v>
      </c>
    </row>
    <row r="337" spans="1:133" x14ac:dyDescent="0.2">
      <c r="C337" s="7" t="s">
        <v>2270</v>
      </c>
      <c r="D337" s="7" t="s">
        <v>2271</v>
      </c>
      <c r="E337" s="168" t="s">
        <v>1398</v>
      </c>
      <c r="F337" s="33" t="s">
        <v>2663</v>
      </c>
      <c r="G337" s="231">
        <f t="shared" si="53"/>
        <v>28151.14</v>
      </c>
      <c r="H337" s="207"/>
      <c r="I337" s="252" t="s">
        <v>2704</v>
      </c>
      <c r="J337" s="2"/>
      <c r="K337" s="2"/>
      <c r="L337" s="2"/>
      <c r="M337" s="3"/>
      <c r="N337" s="3"/>
      <c r="O337" s="24"/>
      <c r="P337" s="3"/>
      <c r="Q337" s="3"/>
      <c r="R337" s="24"/>
      <c r="S337" s="24"/>
      <c r="T337" s="3"/>
      <c r="U337" s="3"/>
      <c r="V337" s="3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3"/>
      <c r="AJ337" s="24"/>
      <c r="AK337" s="284"/>
      <c r="AL337" s="24"/>
      <c r="AM337" s="3"/>
      <c r="AN337" s="3"/>
      <c r="AO337" s="3"/>
      <c r="AP337" s="3"/>
      <c r="AQ337" s="3"/>
      <c r="AR337" s="3"/>
      <c r="AS337" s="24"/>
      <c r="AT337" s="24"/>
      <c r="AU337" s="24"/>
      <c r="AV337" s="24"/>
      <c r="AW337" s="24"/>
      <c r="AX337" s="24"/>
      <c r="AY337" s="3"/>
      <c r="AZ337" s="24"/>
      <c r="BA337" s="24"/>
      <c r="BB337" s="24"/>
      <c r="BC337" s="24"/>
      <c r="BD337" s="24"/>
      <c r="BE337" s="24"/>
      <c r="BF337" s="3"/>
      <c r="BG337" s="3"/>
      <c r="BH337" s="3"/>
      <c r="BI337" s="3"/>
      <c r="BJ337" s="24"/>
      <c r="BK337" s="3"/>
      <c r="BL337" s="3"/>
      <c r="BM337" s="24"/>
      <c r="BN337" s="3"/>
      <c r="BO337" s="3"/>
      <c r="BP337" s="3"/>
      <c r="BQ337" s="3"/>
      <c r="BR337" s="3"/>
      <c r="BS337" s="3"/>
      <c r="BT337" s="24"/>
      <c r="BU337" s="24"/>
      <c r="BV337" s="24"/>
      <c r="BW337" s="24"/>
      <c r="BX337" s="24"/>
      <c r="BY337" s="24"/>
      <c r="BZ337" s="3"/>
      <c r="CA337" s="3"/>
      <c r="CB337" s="24"/>
      <c r="CC337" s="24"/>
      <c r="CD337" s="24"/>
      <c r="CE337" s="24"/>
      <c r="CF337" s="24"/>
      <c r="CG337" s="24"/>
      <c r="CH337" s="24"/>
      <c r="CI337" s="3"/>
      <c r="CJ337" s="3"/>
      <c r="CK337" s="24"/>
      <c r="CL337" s="24"/>
      <c r="CM337" s="3"/>
      <c r="CN337" s="24"/>
      <c r="CO337" s="24"/>
      <c r="CP337" s="24"/>
      <c r="CQ337" s="24"/>
      <c r="CR337" s="24"/>
      <c r="CS337" s="3"/>
      <c r="CT337" s="3"/>
      <c r="CU337" s="3"/>
      <c r="CV337" s="24"/>
      <c r="CW337" s="24"/>
      <c r="CX337" s="24"/>
      <c r="CY337" s="24"/>
      <c r="CZ337" s="24"/>
      <c r="DA337" s="24"/>
      <c r="DB337" s="24">
        <f>G337</f>
        <v>28151.14</v>
      </c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3"/>
      <c r="DR337" s="24">
        <f t="shared" si="54"/>
        <v>28151.14</v>
      </c>
      <c r="DS337" s="3">
        <f t="shared" si="55"/>
        <v>0</v>
      </c>
      <c r="DU337" s="3">
        <v>27331.200000000001</v>
      </c>
    </row>
    <row r="338" spans="1:133" x14ac:dyDescent="0.2">
      <c r="A338" s="251"/>
      <c r="C338" s="7" t="s">
        <v>2245</v>
      </c>
      <c r="D338" s="7" t="s">
        <v>3052</v>
      </c>
      <c r="E338" s="168" t="s">
        <v>3053</v>
      </c>
      <c r="F338" s="255" t="s">
        <v>2663</v>
      </c>
      <c r="G338" s="231">
        <f t="shared" si="53"/>
        <v>26051.58</v>
      </c>
      <c r="H338" s="207"/>
      <c r="I338" s="252" t="s">
        <v>2705</v>
      </c>
      <c r="J338" s="2"/>
      <c r="K338" s="2"/>
      <c r="L338" s="2"/>
      <c r="M338" s="3"/>
      <c r="N338" s="3"/>
      <c r="O338" s="24"/>
      <c r="P338" s="3"/>
      <c r="Q338" s="3"/>
      <c r="R338" s="24"/>
      <c r="S338" s="24"/>
      <c r="T338" s="3"/>
      <c r="U338" s="3"/>
      <c r="V338" s="3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3"/>
      <c r="AJ338" s="24"/>
      <c r="AK338" s="284"/>
      <c r="AL338" s="24"/>
      <c r="AM338" s="3"/>
      <c r="AN338" s="3"/>
      <c r="AO338" s="3"/>
      <c r="AP338" s="3"/>
      <c r="AQ338" s="3"/>
      <c r="AR338" s="3"/>
      <c r="AS338" s="24"/>
      <c r="AT338" s="24"/>
      <c r="AU338" s="24"/>
      <c r="AV338" s="24"/>
      <c r="AW338" s="24"/>
      <c r="AX338" s="24"/>
      <c r="AY338" s="3"/>
      <c r="AZ338" s="24"/>
      <c r="BA338" s="24"/>
      <c r="BB338" s="24"/>
      <c r="BC338" s="24"/>
      <c r="BD338" s="24"/>
      <c r="BE338" s="24"/>
      <c r="BF338" s="3"/>
      <c r="BG338" s="3"/>
      <c r="BH338" s="3"/>
      <c r="BI338" s="3"/>
      <c r="BJ338" s="24"/>
      <c r="BK338" s="3"/>
      <c r="BL338" s="3"/>
      <c r="BM338" s="24"/>
      <c r="BN338" s="3"/>
      <c r="BO338" s="3"/>
      <c r="BP338" s="3"/>
      <c r="BQ338" s="3"/>
      <c r="BR338" s="3"/>
      <c r="BS338" s="3"/>
      <c r="BT338" s="24"/>
      <c r="BU338" s="24"/>
      <c r="BV338" s="24"/>
      <c r="BW338" s="24"/>
      <c r="BX338" s="24"/>
      <c r="BY338" s="24"/>
      <c r="BZ338" s="3"/>
      <c r="CA338" s="3"/>
      <c r="CB338" s="24"/>
      <c r="CC338" s="24"/>
      <c r="CD338" s="24"/>
      <c r="CE338" s="24"/>
      <c r="CF338" s="24"/>
      <c r="CG338" s="24"/>
      <c r="CH338" s="24"/>
      <c r="CI338" s="3"/>
      <c r="CJ338" s="3"/>
      <c r="CK338" s="24"/>
      <c r="CL338" s="24"/>
      <c r="CM338" s="3"/>
      <c r="CN338" s="24"/>
      <c r="CO338" s="24"/>
      <c r="CP338" s="24"/>
      <c r="CQ338" s="24"/>
      <c r="CR338" s="24"/>
      <c r="CS338" s="3"/>
      <c r="CT338" s="3"/>
      <c r="CU338" s="3"/>
      <c r="CV338" s="24"/>
      <c r="CW338" s="24"/>
      <c r="CX338" s="24"/>
      <c r="CY338" s="24"/>
      <c r="CZ338" s="24"/>
      <c r="DA338" s="24"/>
      <c r="DB338" s="24"/>
      <c r="DC338" s="24">
        <f>+G338</f>
        <v>26051.58</v>
      </c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3"/>
      <c r="DR338" s="24">
        <f t="shared" ref="DR338" si="57">SUM(M338:DQ338)</f>
        <v>26051.58</v>
      </c>
      <c r="DS338" s="3">
        <f t="shared" si="55"/>
        <v>0</v>
      </c>
      <c r="DU338" s="3">
        <v>25292.799999999999</v>
      </c>
    </row>
    <row r="339" spans="1:133" x14ac:dyDescent="0.2">
      <c r="C339" s="7" t="s">
        <v>2251</v>
      </c>
      <c r="D339" s="7" t="s">
        <v>2273</v>
      </c>
      <c r="E339" s="168" t="s">
        <v>2205</v>
      </c>
      <c r="F339" s="33" t="s">
        <v>2663</v>
      </c>
      <c r="G339" s="231">
        <f t="shared" si="53"/>
        <v>23416.43</v>
      </c>
      <c r="H339" s="207"/>
      <c r="I339" s="252" t="s">
        <v>2704</v>
      </c>
      <c r="J339" s="2"/>
      <c r="K339" s="2"/>
      <c r="L339" s="2"/>
      <c r="M339" s="3"/>
      <c r="N339" s="3"/>
      <c r="O339" s="24"/>
      <c r="P339" s="3"/>
      <c r="Q339" s="3"/>
      <c r="R339" s="24"/>
      <c r="S339" s="24"/>
      <c r="T339" s="3"/>
      <c r="U339" s="3"/>
      <c r="V339" s="3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3"/>
      <c r="AJ339" s="24"/>
      <c r="AK339" s="284"/>
      <c r="AL339" s="24"/>
      <c r="AM339" s="3"/>
      <c r="AN339" s="3"/>
      <c r="AO339" s="3"/>
      <c r="AP339" s="3"/>
      <c r="AQ339" s="3"/>
      <c r="AR339" s="3"/>
      <c r="AS339" s="24"/>
      <c r="AT339" s="24"/>
      <c r="AU339" s="24"/>
      <c r="AV339" s="24"/>
      <c r="AW339" s="24"/>
      <c r="AX339" s="24"/>
      <c r="AY339" s="3"/>
      <c r="AZ339" s="24"/>
      <c r="BA339" s="24"/>
      <c r="BB339" s="24"/>
      <c r="BC339" s="24"/>
      <c r="BD339" s="24"/>
      <c r="BE339" s="24"/>
      <c r="BF339" s="24"/>
      <c r="BG339" s="24"/>
      <c r="BH339" s="343"/>
      <c r="BI339" s="343"/>
      <c r="BJ339" s="24"/>
      <c r="BK339" s="3"/>
      <c r="BL339" s="3"/>
      <c r="BM339" s="24"/>
      <c r="BN339" s="3"/>
      <c r="BO339" s="3"/>
      <c r="BP339" s="3"/>
      <c r="BQ339" s="3"/>
      <c r="BR339" s="3"/>
      <c r="BS339" s="3"/>
      <c r="BT339" s="3"/>
      <c r="BU339" s="24"/>
      <c r="BV339" s="24"/>
      <c r="BW339" s="24"/>
      <c r="BX339" s="24"/>
      <c r="BY339" s="24"/>
      <c r="BZ339" s="3"/>
      <c r="CA339" s="3"/>
      <c r="CB339" s="24"/>
      <c r="CC339" s="24"/>
      <c r="CD339" s="24"/>
      <c r="CE339" s="24"/>
      <c r="CF339" s="24"/>
      <c r="CG339" s="24"/>
      <c r="CH339" s="24"/>
      <c r="CI339" s="3"/>
      <c r="CJ339" s="3"/>
      <c r="CK339" s="24"/>
      <c r="CL339" s="3"/>
      <c r="CM339" s="3"/>
      <c r="CN339" s="24"/>
      <c r="CO339" s="24"/>
      <c r="CP339" s="24"/>
      <c r="CQ339" s="24"/>
      <c r="CR339" s="24"/>
      <c r="CS339" s="3"/>
      <c r="CT339" s="3"/>
      <c r="CU339" s="3"/>
      <c r="CV339" s="24"/>
      <c r="CW339" s="24"/>
      <c r="CX339" s="24"/>
      <c r="CY339" s="24"/>
      <c r="CZ339" s="24">
        <f>G339</f>
        <v>23416.43</v>
      </c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3"/>
      <c r="DR339" s="24">
        <f t="shared" si="54"/>
        <v>23416.43</v>
      </c>
      <c r="DS339" s="3">
        <f t="shared" si="55"/>
        <v>0</v>
      </c>
      <c r="DU339" s="3">
        <v>22734.400000000001</v>
      </c>
    </row>
    <row r="340" spans="1:133" x14ac:dyDescent="0.2">
      <c r="C340" s="7" t="s">
        <v>2272</v>
      </c>
      <c r="D340" s="7" t="s">
        <v>2273</v>
      </c>
      <c r="E340" s="203" t="s">
        <v>600</v>
      </c>
      <c r="F340" s="33" t="s">
        <v>2663</v>
      </c>
      <c r="G340" s="231">
        <f t="shared" si="53"/>
        <v>20138.560000000001</v>
      </c>
      <c r="H340" s="207"/>
      <c r="I340" s="343" t="s">
        <v>2710</v>
      </c>
      <c r="J340" s="2"/>
      <c r="K340" s="2"/>
      <c r="L340" s="2"/>
      <c r="M340" s="3"/>
      <c r="N340" s="3"/>
      <c r="O340" s="24"/>
      <c r="P340" s="3"/>
      <c r="Q340" s="3"/>
      <c r="R340" s="24"/>
      <c r="S340" s="24"/>
      <c r="T340" s="3"/>
      <c r="U340" s="3"/>
      <c r="V340" s="3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3"/>
      <c r="AJ340" s="24"/>
      <c r="AK340" s="284"/>
      <c r="AL340" s="24"/>
      <c r="AM340" s="3"/>
      <c r="AN340" s="3"/>
      <c r="AO340" s="3"/>
      <c r="AP340" s="3"/>
      <c r="AQ340" s="3"/>
      <c r="AR340" s="3"/>
      <c r="AS340" s="24"/>
      <c r="AT340" s="24"/>
      <c r="AU340" s="24"/>
      <c r="AV340" s="24"/>
      <c r="AW340" s="24"/>
      <c r="AX340" s="24"/>
      <c r="AY340" s="3"/>
      <c r="AZ340" s="24"/>
      <c r="BA340" s="24"/>
      <c r="BB340" s="24"/>
      <c r="BC340" s="24"/>
      <c r="BD340" s="24"/>
      <c r="BE340" s="24"/>
      <c r="BF340" s="3"/>
      <c r="BG340" s="3"/>
      <c r="BH340" s="3"/>
      <c r="BI340" s="3"/>
      <c r="BJ340" s="24"/>
      <c r="BK340" s="3"/>
      <c r="BL340" s="3"/>
      <c r="BM340" s="24"/>
      <c r="BN340" s="3"/>
      <c r="BO340" s="3"/>
      <c r="BP340" s="3"/>
      <c r="BQ340" s="3"/>
      <c r="BR340" s="3"/>
      <c r="BS340" s="3"/>
      <c r="BT340" s="24"/>
      <c r="BU340" s="24"/>
      <c r="BV340" s="24"/>
      <c r="BW340" s="24"/>
      <c r="BX340" s="24"/>
      <c r="BY340" s="24"/>
      <c r="BZ340" s="3"/>
      <c r="CA340" s="3"/>
      <c r="CB340" s="24"/>
      <c r="CC340" s="24"/>
      <c r="CD340" s="24"/>
      <c r="CE340" s="24"/>
      <c r="CF340" s="24"/>
      <c r="CG340" s="24"/>
      <c r="CH340" s="24"/>
      <c r="CI340" s="3"/>
      <c r="CJ340" s="3"/>
      <c r="CK340" s="24"/>
      <c r="CL340" s="24"/>
      <c r="CM340" s="3"/>
      <c r="CN340" s="24"/>
      <c r="CO340" s="24"/>
      <c r="CP340" s="24"/>
      <c r="CQ340" s="24"/>
      <c r="CR340" s="24"/>
      <c r="CS340" s="3"/>
      <c r="CT340" s="3"/>
      <c r="CU340" s="3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>
        <f>G340</f>
        <v>20138.560000000001</v>
      </c>
      <c r="DP340" s="24"/>
      <c r="DQ340" s="3"/>
      <c r="DR340" s="24">
        <f t="shared" si="54"/>
        <v>20138.560000000001</v>
      </c>
      <c r="DS340" s="3">
        <f t="shared" si="55"/>
        <v>0</v>
      </c>
      <c r="DU340" s="3">
        <v>19552</v>
      </c>
    </row>
    <row r="341" spans="1:133" x14ac:dyDescent="0.2">
      <c r="C341" s="7" t="s">
        <v>2274</v>
      </c>
      <c r="D341" s="7" t="s">
        <v>2275</v>
      </c>
      <c r="E341" s="203" t="s">
        <v>313</v>
      </c>
      <c r="F341" s="33" t="s">
        <v>2663</v>
      </c>
      <c r="G341" s="231">
        <f t="shared" si="53"/>
        <v>25948.04</v>
      </c>
      <c r="H341" s="207"/>
      <c r="I341" s="343" t="s">
        <v>2710</v>
      </c>
      <c r="J341" s="2"/>
      <c r="K341" s="2"/>
      <c r="L341" s="2"/>
      <c r="M341" s="3"/>
      <c r="N341" s="3"/>
      <c r="O341" s="24"/>
      <c r="P341" s="3"/>
      <c r="Q341" s="3"/>
      <c r="R341" s="24"/>
      <c r="S341" s="24"/>
      <c r="T341" s="3"/>
      <c r="U341" s="3"/>
      <c r="V341" s="3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3"/>
      <c r="AJ341" s="24"/>
      <c r="AK341" s="284"/>
      <c r="AL341" s="24"/>
      <c r="AM341" s="24"/>
      <c r="AN341" s="24"/>
      <c r="AO341" s="3"/>
      <c r="AP341" s="3"/>
      <c r="AQ341" s="3"/>
      <c r="AR341" s="3"/>
      <c r="AS341" s="24"/>
      <c r="AT341" s="24"/>
      <c r="AU341" s="24"/>
      <c r="AV341" s="24"/>
      <c r="AW341" s="24"/>
      <c r="AX341" s="24"/>
      <c r="AY341" s="3"/>
      <c r="AZ341" s="24"/>
      <c r="BA341" s="24"/>
      <c r="BB341" s="24"/>
      <c r="BC341" s="24"/>
      <c r="BD341" s="24"/>
      <c r="BE341" s="24"/>
      <c r="BF341" s="24"/>
      <c r="BG341" s="24"/>
      <c r="BH341" s="343"/>
      <c r="BI341" s="343"/>
      <c r="BJ341" s="24"/>
      <c r="BK341" s="3"/>
      <c r="BL341" s="3"/>
      <c r="BM341" s="24"/>
      <c r="BN341" s="3"/>
      <c r="BO341" s="3"/>
      <c r="BP341" s="3"/>
      <c r="BQ341" s="3"/>
      <c r="BR341" s="3"/>
      <c r="BS341" s="3"/>
      <c r="BT341" s="3"/>
      <c r="BU341" s="24"/>
      <c r="BV341" s="24"/>
      <c r="BW341" s="24"/>
      <c r="BX341" s="24"/>
      <c r="BY341" s="24"/>
      <c r="BZ341" s="3"/>
      <c r="CA341" s="3"/>
      <c r="CB341" s="24"/>
      <c r="CC341" s="24"/>
      <c r="CD341" s="24"/>
      <c r="CE341" s="24"/>
      <c r="CF341" s="24"/>
      <c r="CG341" s="24"/>
      <c r="CH341" s="24"/>
      <c r="CI341" s="3"/>
      <c r="CJ341" s="3"/>
      <c r="CK341" s="24"/>
      <c r="CL341" s="3"/>
      <c r="CM341" s="3"/>
      <c r="CN341" s="24"/>
      <c r="CO341" s="24"/>
      <c r="CP341" s="24"/>
      <c r="CQ341" s="24"/>
      <c r="CR341" s="24"/>
      <c r="CS341" s="3"/>
      <c r="CT341" s="3"/>
      <c r="CU341" s="3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>
        <f>G341</f>
        <v>25948.04</v>
      </c>
      <c r="DP341" s="24"/>
      <c r="DQ341" s="3"/>
      <c r="DR341" s="24">
        <f t="shared" si="54"/>
        <v>25948.04</v>
      </c>
      <c r="DS341" s="3">
        <f t="shared" si="55"/>
        <v>0</v>
      </c>
      <c r="DU341" s="3">
        <v>25192.27</v>
      </c>
    </row>
    <row r="342" spans="1:133" x14ac:dyDescent="0.2">
      <c r="C342" s="7" t="s">
        <v>2292</v>
      </c>
      <c r="D342" s="7" t="s">
        <v>2277</v>
      </c>
      <c r="E342" s="168" t="s">
        <v>1403</v>
      </c>
      <c r="F342" s="33" t="s">
        <v>2663</v>
      </c>
      <c r="G342" s="231">
        <f t="shared" si="53"/>
        <v>28301.1</v>
      </c>
      <c r="H342" s="207"/>
      <c r="I342" s="252" t="s">
        <v>2704</v>
      </c>
      <c r="J342" s="2"/>
      <c r="K342" s="2"/>
      <c r="L342" s="2"/>
      <c r="M342" s="3"/>
      <c r="N342" s="3"/>
      <c r="O342" s="24"/>
      <c r="P342" s="3"/>
      <c r="Q342" s="3"/>
      <c r="R342" s="24"/>
      <c r="S342" s="24"/>
      <c r="T342" s="3"/>
      <c r="U342" s="3"/>
      <c r="V342" s="3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3"/>
      <c r="AJ342" s="24"/>
      <c r="AK342" s="284"/>
      <c r="AL342" s="24"/>
      <c r="AM342" s="3"/>
      <c r="AN342" s="3"/>
      <c r="AO342" s="3"/>
      <c r="AP342" s="3"/>
      <c r="AQ342" s="3"/>
      <c r="AR342" s="3"/>
      <c r="AS342" s="24"/>
      <c r="AT342" s="24"/>
      <c r="AU342" s="24"/>
      <c r="AV342" s="24"/>
      <c r="AW342" s="24"/>
      <c r="AX342" s="24"/>
      <c r="AY342" s="3"/>
      <c r="AZ342" s="24"/>
      <c r="BA342" s="24"/>
      <c r="BB342" s="24"/>
      <c r="BC342" s="24"/>
      <c r="BD342" s="24"/>
      <c r="BE342" s="24"/>
      <c r="BF342" s="24"/>
      <c r="BG342" s="24"/>
      <c r="BH342" s="343"/>
      <c r="BI342" s="343"/>
      <c r="BJ342" s="24"/>
      <c r="BK342" s="3"/>
      <c r="BL342" s="3"/>
      <c r="BM342" s="24"/>
      <c r="BN342" s="3"/>
      <c r="BO342" s="3"/>
      <c r="BP342" s="3"/>
      <c r="BQ342" s="3"/>
      <c r="BR342" s="3"/>
      <c r="BS342" s="3"/>
      <c r="BT342" s="3"/>
      <c r="BU342" s="24"/>
      <c r="BV342" s="24"/>
      <c r="BW342" s="24"/>
      <c r="BX342" s="24"/>
      <c r="BY342" s="24"/>
      <c r="BZ342" s="3"/>
      <c r="CA342" s="3"/>
      <c r="CB342" s="24"/>
      <c r="CC342" s="24"/>
      <c r="CD342" s="24"/>
      <c r="CE342" s="24"/>
      <c r="CF342" s="24"/>
      <c r="CG342" s="24"/>
      <c r="CH342" s="24"/>
      <c r="CI342" s="3"/>
      <c r="CJ342" s="3"/>
      <c r="CK342" s="24"/>
      <c r="CL342" s="3"/>
      <c r="CM342" s="3"/>
      <c r="CN342" s="24"/>
      <c r="CO342" s="24"/>
      <c r="CP342" s="24"/>
      <c r="CQ342" s="24"/>
      <c r="CR342" s="24"/>
      <c r="CS342" s="3"/>
      <c r="CT342" s="3"/>
      <c r="CU342" s="3"/>
      <c r="CV342" s="24"/>
      <c r="CW342" s="24"/>
      <c r="CX342" s="24"/>
      <c r="CY342" s="24"/>
      <c r="CZ342" s="24">
        <f>G342</f>
        <v>28301.1</v>
      </c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3"/>
      <c r="DR342" s="24">
        <f t="shared" si="54"/>
        <v>28301.1</v>
      </c>
      <c r="DS342" s="3">
        <f t="shared" si="55"/>
        <v>0</v>
      </c>
      <c r="DU342" s="3">
        <v>27476.799999999999</v>
      </c>
    </row>
    <row r="343" spans="1:133" x14ac:dyDescent="0.2">
      <c r="C343" s="7" t="s">
        <v>2278</v>
      </c>
      <c r="D343" s="7" t="s">
        <v>2222</v>
      </c>
      <c r="E343" s="168" t="s">
        <v>1284</v>
      </c>
      <c r="F343" s="33" t="s">
        <v>2663</v>
      </c>
      <c r="G343" s="231">
        <f t="shared" si="53"/>
        <v>28151.14</v>
      </c>
      <c r="H343" s="207"/>
      <c r="I343" s="2" t="s">
        <v>2703</v>
      </c>
      <c r="J343" s="2"/>
      <c r="K343" s="2"/>
      <c r="L343" s="2"/>
      <c r="M343" s="3"/>
      <c r="N343" s="3"/>
      <c r="O343" s="24"/>
      <c r="P343" s="3"/>
      <c r="Q343" s="3"/>
      <c r="R343" s="24"/>
      <c r="S343" s="24"/>
      <c r="T343" s="3"/>
      <c r="U343" s="3"/>
      <c r="V343" s="3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3"/>
      <c r="AJ343" s="24"/>
      <c r="AK343" s="284"/>
      <c r="AL343" s="24"/>
      <c r="AM343" s="3"/>
      <c r="AN343" s="3"/>
      <c r="AO343" s="3"/>
      <c r="AP343" s="3"/>
      <c r="AQ343" s="3"/>
      <c r="AR343" s="3"/>
      <c r="AS343" s="24"/>
      <c r="AT343" s="24"/>
      <c r="AU343" s="24"/>
      <c r="AV343" s="24"/>
      <c r="AW343" s="24"/>
      <c r="AX343" s="24"/>
      <c r="AY343" s="3"/>
      <c r="AZ343" s="24"/>
      <c r="BA343" s="24"/>
      <c r="BB343" s="24"/>
      <c r="BC343" s="24"/>
      <c r="BD343" s="24"/>
      <c r="BE343" s="24"/>
      <c r="BF343" s="24"/>
      <c r="BG343" s="24"/>
      <c r="BH343" s="343"/>
      <c r="BI343" s="343"/>
      <c r="BJ343" s="24"/>
      <c r="BK343" s="3"/>
      <c r="BL343" s="3"/>
      <c r="BM343" s="24"/>
      <c r="BN343" s="3"/>
      <c r="BO343" s="3"/>
      <c r="BP343" s="3"/>
      <c r="BQ343" s="3"/>
      <c r="BR343" s="3"/>
      <c r="BS343" s="3"/>
      <c r="BT343" s="3"/>
      <c r="BU343" s="24"/>
      <c r="BV343" s="24"/>
      <c r="BW343" s="24"/>
      <c r="BX343" s="24"/>
      <c r="BY343" s="24"/>
      <c r="BZ343" s="3"/>
      <c r="CA343" s="3"/>
      <c r="CB343" s="24"/>
      <c r="CC343" s="24"/>
      <c r="CD343" s="24"/>
      <c r="CE343" s="24"/>
      <c r="CF343" s="24"/>
      <c r="CG343" s="24"/>
      <c r="CH343" s="24"/>
      <c r="CI343" s="3"/>
      <c r="CJ343" s="3"/>
      <c r="CK343" s="24"/>
      <c r="CL343" s="3"/>
      <c r="CM343" s="3"/>
      <c r="CN343" s="24"/>
      <c r="CO343" s="24"/>
      <c r="CP343" s="24"/>
      <c r="CQ343" s="24"/>
      <c r="CR343" s="24"/>
      <c r="CS343" s="3"/>
      <c r="CT343" s="3"/>
      <c r="CU343" s="3"/>
      <c r="CV343" s="24"/>
      <c r="CW343" s="24"/>
      <c r="CX343" s="24"/>
      <c r="CY343" s="24">
        <f>G343</f>
        <v>28151.14</v>
      </c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3"/>
      <c r="DR343" s="24">
        <f t="shared" si="54"/>
        <v>28151.14</v>
      </c>
      <c r="DS343" s="3">
        <f t="shared" si="55"/>
        <v>0</v>
      </c>
      <c r="DU343" s="3">
        <v>27331.200000000001</v>
      </c>
    </row>
    <row r="344" spans="1:133" x14ac:dyDescent="0.2">
      <c r="C344" s="7" t="s">
        <v>2279</v>
      </c>
      <c r="D344" s="7" t="s">
        <v>2280</v>
      </c>
      <c r="E344" s="168" t="s">
        <v>1404</v>
      </c>
      <c r="F344" s="33" t="s">
        <v>2663</v>
      </c>
      <c r="G344" s="231">
        <f t="shared" si="53"/>
        <v>17832.14</v>
      </c>
      <c r="H344" s="207"/>
      <c r="I344" s="3" t="s">
        <v>2706</v>
      </c>
      <c r="J344" s="2"/>
      <c r="K344" s="2"/>
      <c r="L344" s="2"/>
      <c r="M344" s="3"/>
      <c r="N344" s="3"/>
      <c r="O344" s="24"/>
      <c r="P344" s="3"/>
      <c r="Q344" s="3"/>
      <c r="R344" s="24"/>
      <c r="S344" s="24"/>
      <c r="T344" s="3"/>
      <c r="U344" s="3"/>
      <c r="V344" s="3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3"/>
      <c r="AJ344" s="24"/>
      <c r="AK344" s="284"/>
      <c r="AL344" s="24"/>
      <c r="AM344" s="3"/>
      <c r="AN344" s="3"/>
      <c r="AO344" s="3"/>
      <c r="AP344" s="3"/>
      <c r="AQ344" s="3"/>
      <c r="AR344" s="3"/>
      <c r="AS344" s="24"/>
      <c r="AT344" s="24"/>
      <c r="AU344" s="24"/>
      <c r="AV344" s="24"/>
      <c r="AW344" s="24"/>
      <c r="AX344" s="24"/>
      <c r="AY344" s="3"/>
      <c r="AZ344" s="24"/>
      <c r="BA344" s="24"/>
      <c r="BB344" s="24"/>
      <c r="BC344" s="24"/>
      <c r="BD344" s="24"/>
      <c r="BE344" s="24"/>
      <c r="BF344" s="24"/>
      <c r="BG344" s="24"/>
      <c r="BH344" s="343"/>
      <c r="BI344" s="343"/>
      <c r="BJ344" s="24"/>
      <c r="BK344" s="3"/>
      <c r="BL344" s="3"/>
      <c r="BM344" s="24"/>
      <c r="BN344" s="3"/>
      <c r="BO344" s="3"/>
      <c r="BP344" s="3"/>
      <c r="BQ344" s="3"/>
      <c r="BR344" s="3"/>
      <c r="BS344" s="3"/>
      <c r="BT344" s="3"/>
      <c r="BU344" s="24"/>
      <c r="BV344" s="24"/>
      <c r="BW344" s="24"/>
      <c r="BX344" s="24"/>
      <c r="BY344" s="24"/>
      <c r="BZ344" s="3"/>
      <c r="CA344" s="3"/>
      <c r="CB344" s="24"/>
      <c r="CC344" s="24"/>
      <c r="CD344" s="24"/>
      <c r="CE344" s="24"/>
      <c r="CF344" s="24"/>
      <c r="CG344" s="24"/>
      <c r="CH344" s="24"/>
      <c r="CI344" s="3"/>
      <c r="CJ344" s="3"/>
      <c r="CK344" s="24"/>
      <c r="CL344" s="3"/>
      <c r="CM344" s="3"/>
      <c r="CN344" s="24"/>
      <c r="CO344" s="24"/>
      <c r="CP344" s="24"/>
      <c r="CQ344" s="24"/>
      <c r="CR344" s="24"/>
      <c r="CS344" s="3"/>
      <c r="CT344" s="3"/>
      <c r="CU344" s="3"/>
      <c r="CV344" s="24"/>
      <c r="CW344" s="24"/>
      <c r="CX344" s="24"/>
      <c r="CY344" s="24"/>
      <c r="CZ344" s="24"/>
      <c r="DA344" s="24"/>
      <c r="DB344" s="24"/>
      <c r="DC344" s="24"/>
      <c r="DD344" s="24">
        <f>G344</f>
        <v>17832.14</v>
      </c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3"/>
      <c r="DR344" s="24">
        <f t="shared" si="54"/>
        <v>17832.14</v>
      </c>
      <c r="DS344" s="3">
        <f t="shared" si="55"/>
        <v>0</v>
      </c>
      <c r="DU344" s="3">
        <v>17312.759999999998</v>
      </c>
    </row>
    <row r="345" spans="1:133" x14ac:dyDescent="0.2">
      <c r="C345" s="7" t="s">
        <v>2281</v>
      </c>
      <c r="D345" s="7" t="s">
        <v>2282</v>
      </c>
      <c r="E345" s="168" t="s">
        <v>1777</v>
      </c>
      <c r="F345" s="33" t="s">
        <v>2663</v>
      </c>
      <c r="G345" s="231">
        <f t="shared" si="53"/>
        <v>23416.43</v>
      </c>
      <c r="H345" s="207"/>
      <c r="I345" s="252" t="s">
        <v>2704</v>
      </c>
      <c r="J345" s="2"/>
      <c r="K345" s="2"/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8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24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24"/>
      <c r="CI345" s="3"/>
      <c r="CJ345" s="24"/>
      <c r="CK345" s="3"/>
      <c r="CL345" s="3"/>
      <c r="CM345" s="3"/>
      <c r="CN345" s="3"/>
      <c r="CO345" s="3"/>
      <c r="CP345" s="3"/>
      <c r="CQ345" s="3"/>
      <c r="CR345" s="24"/>
      <c r="CS345" s="3"/>
      <c r="CT345" s="3"/>
      <c r="CU345" s="3"/>
      <c r="CV345" s="3"/>
      <c r="CW345" s="3"/>
      <c r="CX345" s="3"/>
      <c r="CY345" s="3"/>
      <c r="CZ345" s="3"/>
      <c r="DA345" s="3">
        <f>G345</f>
        <v>23416.43</v>
      </c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24">
        <f t="shared" si="54"/>
        <v>23416.43</v>
      </c>
      <c r="DS345" s="3">
        <f t="shared" si="55"/>
        <v>0</v>
      </c>
      <c r="DU345" s="3">
        <v>22734.400000000001</v>
      </c>
    </row>
    <row r="346" spans="1:133" x14ac:dyDescent="0.2">
      <c r="C346" s="7" t="s">
        <v>2266</v>
      </c>
      <c r="D346" s="7" t="s">
        <v>2267</v>
      </c>
      <c r="E346" s="168" t="s">
        <v>2203</v>
      </c>
      <c r="F346" s="33" t="s">
        <v>2663</v>
      </c>
      <c r="G346" s="231">
        <f t="shared" si="53"/>
        <v>28151.14</v>
      </c>
      <c r="H346" s="207"/>
      <c r="I346" s="2" t="s">
        <v>2703</v>
      </c>
      <c r="J346" s="2"/>
      <c r="K346" s="2"/>
      <c r="L346" s="2"/>
      <c r="M346" s="3"/>
      <c r="N346" s="3"/>
      <c r="O346" s="24"/>
      <c r="P346" s="3"/>
      <c r="Q346" s="3"/>
      <c r="R346" s="24"/>
      <c r="S346" s="24"/>
      <c r="T346" s="3"/>
      <c r="U346" s="3"/>
      <c r="V346" s="3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3"/>
      <c r="AJ346" s="24"/>
      <c r="AK346" s="284"/>
      <c r="AL346" s="24"/>
      <c r="AM346" s="3"/>
      <c r="AN346" s="3"/>
      <c r="AO346" s="3"/>
      <c r="AP346" s="3"/>
      <c r="AQ346" s="3"/>
      <c r="AR346" s="3"/>
      <c r="AS346" s="24"/>
      <c r="AT346" s="24"/>
      <c r="AU346" s="24"/>
      <c r="AV346" s="24"/>
      <c r="AW346" s="24"/>
      <c r="AX346" s="24"/>
      <c r="AY346" s="3"/>
      <c r="AZ346" s="24"/>
      <c r="BA346" s="24"/>
      <c r="BB346" s="24"/>
      <c r="BC346" s="24"/>
      <c r="BD346" s="24"/>
      <c r="BE346" s="24"/>
      <c r="BF346" s="24"/>
      <c r="BG346" s="24"/>
      <c r="BH346" s="343"/>
      <c r="BI346" s="343"/>
      <c r="BJ346" s="24"/>
      <c r="BK346" s="3"/>
      <c r="BL346" s="3"/>
      <c r="BM346" s="24"/>
      <c r="BN346" s="3"/>
      <c r="BO346" s="3"/>
      <c r="BP346" s="3"/>
      <c r="BQ346" s="3"/>
      <c r="BR346" s="3"/>
      <c r="BS346" s="3"/>
      <c r="BT346" s="3"/>
      <c r="BU346" s="24"/>
      <c r="BV346" s="24"/>
      <c r="BW346" s="24"/>
      <c r="BX346" s="24"/>
      <c r="BY346" s="24"/>
      <c r="BZ346" s="3"/>
      <c r="CA346" s="3"/>
      <c r="CB346" s="24"/>
      <c r="CC346" s="24"/>
      <c r="CD346" s="24"/>
      <c r="CE346" s="24"/>
      <c r="CF346" s="24"/>
      <c r="CG346" s="24"/>
      <c r="CH346" s="24"/>
      <c r="CI346" s="3"/>
      <c r="CJ346" s="3"/>
      <c r="CK346" s="24"/>
      <c r="CL346" s="3"/>
      <c r="CM346" s="3"/>
      <c r="CN346" s="24"/>
      <c r="CO346" s="24"/>
      <c r="CP346" s="24"/>
      <c r="CQ346" s="24"/>
      <c r="CR346" s="24"/>
      <c r="CS346" s="3"/>
      <c r="CT346" s="3"/>
      <c r="CU346" s="3"/>
      <c r="CV346" s="24"/>
      <c r="CW346" s="24"/>
      <c r="CX346" s="24"/>
      <c r="CY346" s="24">
        <f>+G346</f>
        <v>28151.14</v>
      </c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3"/>
      <c r="DR346" s="24">
        <f t="shared" si="54"/>
        <v>28151.14</v>
      </c>
      <c r="DS346" s="3">
        <f t="shared" si="55"/>
        <v>0</v>
      </c>
      <c r="DU346" s="3">
        <v>27331.200000000001</v>
      </c>
    </row>
    <row r="347" spans="1:133" x14ac:dyDescent="0.2">
      <c r="A347" s="7"/>
      <c r="C347" s="7" t="s">
        <v>2283</v>
      </c>
      <c r="D347" s="7" t="s">
        <v>2284</v>
      </c>
      <c r="E347" s="168" t="s">
        <v>1409</v>
      </c>
      <c r="F347" s="33" t="s">
        <v>2663</v>
      </c>
      <c r="G347" s="231">
        <f t="shared" si="53"/>
        <v>22880.83</v>
      </c>
      <c r="H347" s="207"/>
      <c r="I347" s="252" t="s">
        <v>2704</v>
      </c>
      <c r="J347" s="2"/>
      <c r="K347" s="2"/>
      <c r="L347" s="2"/>
      <c r="M347" s="3"/>
      <c r="N347" s="3"/>
      <c r="O347" s="24"/>
      <c r="P347" s="3"/>
      <c r="Q347" s="3"/>
      <c r="R347" s="24"/>
      <c r="S347" s="24"/>
      <c r="T347" s="3"/>
      <c r="U347" s="3"/>
      <c r="V347" s="3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3"/>
      <c r="AJ347" s="24"/>
      <c r="AK347" s="284"/>
      <c r="AL347" s="24"/>
      <c r="AM347" s="3"/>
      <c r="AN347" s="3"/>
      <c r="AO347" s="3"/>
      <c r="AP347" s="3"/>
      <c r="AQ347" s="3"/>
      <c r="AR347" s="3"/>
      <c r="AS347" s="24"/>
      <c r="AT347" s="24"/>
      <c r="AU347" s="24"/>
      <c r="AV347" s="24"/>
      <c r="AW347" s="24"/>
      <c r="AX347" s="24"/>
      <c r="AY347" s="3"/>
      <c r="AZ347" s="24"/>
      <c r="BA347" s="24"/>
      <c r="BB347" s="24"/>
      <c r="BC347" s="24"/>
      <c r="BD347" s="24"/>
      <c r="BE347" s="24"/>
      <c r="BF347" s="24"/>
      <c r="BG347" s="24"/>
      <c r="BH347" s="343"/>
      <c r="BI347" s="343"/>
      <c r="BJ347" s="24"/>
      <c r="BK347" s="3"/>
      <c r="BL347" s="3"/>
      <c r="BM347" s="24"/>
      <c r="BN347" s="3"/>
      <c r="BO347" s="3"/>
      <c r="BP347" s="3"/>
      <c r="BQ347" s="3"/>
      <c r="BR347" s="3"/>
      <c r="BS347" s="3"/>
      <c r="BT347" s="3"/>
      <c r="BU347" s="24"/>
      <c r="BV347" s="24"/>
      <c r="BW347" s="24"/>
      <c r="BX347" s="24"/>
      <c r="BY347" s="24"/>
      <c r="BZ347" s="3"/>
      <c r="CA347" s="3"/>
      <c r="CB347" s="24"/>
      <c r="CC347" s="24"/>
      <c r="CD347" s="24"/>
      <c r="CE347" s="24"/>
      <c r="CF347" s="24"/>
      <c r="CG347" s="24"/>
      <c r="CH347" s="24"/>
      <c r="CI347" s="3"/>
      <c r="CJ347" s="3"/>
      <c r="CK347" s="24"/>
      <c r="CL347" s="3"/>
      <c r="CM347" s="3"/>
      <c r="CN347" s="24"/>
      <c r="CO347" s="24"/>
      <c r="CP347" s="24"/>
      <c r="CQ347" s="24"/>
      <c r="CR347" s="24"/>
      <c r="CS347" s="3"/>
      <c r="CT347" s="3"/>
      <c r="CU347" s="3"/>
      <c r="CV347" s="24"/>
      <c r="CW347" s="24"/>
      <c r="CX347" s="24"/>
      <c r="CY347" s="24"/>
      <c r="CZ347" s="24">
        <f>G347</f>
        <v>22880.83</v>
      </c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3"/>
      <c r="DR347" s="24">
        <f t="shared" si="54"/>
        <v>22880.83</v>
      </c>
      <c r="DS347" s="3">
        <f t="shared" si="55"/>
        <v>0</v>
      </c>
      <c r="DU347" s="3">
        <v>22214.400000000001</v>
      </c>
    </row>
    <row r="348" spans="1:133" x14ac:dyDescent="0.2">
      <c r="A348" s="7"/>
      <c r="C348" s="7" t="s">
        <v>2231</v>
      </c>
      <c r="D348" s="7" t="s">
        <v>2285</v>
      </c>
      <c r="E348" s="168" t="s">
        <v>1265</v>
      </c>
      <c r="F348" s="33" t="s">
        <v>2663</v>
      </c>
      <c r="G348" s="231">
        <f t="shared" si="53"/>
        <v>24080.58</v>
      </c>
      <c r="H348" s="207"/>
      <c r="I348" s="252" t="s">
        <v>2705</v>
      </c>
      <c r="J348" s="2"/>
      <c r="K348" s="2"/>
      <c r="L348" s="2"/>
      <c r="M348" s="3"/>
      <c r="N348" s="3"/>
      <c r="O348" s="24"/>
      <c r="P348" s="3"/>
      <c r="Q348" s="3"/>
      <c r="R348" s="24"/>
      <c r="S348" s="24"/>
      <c r="T348" s="3"/>
      <c r="U348" s="3"/>
      <c r="V348" s="3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3"/>
      <c r="AJ348" s="24"/>
      <c r="AK348" s="284"/>
      <c r="AL348" s="24"/>
      <c r="AM348" s="3"/>
      <c r="AN348" s="3"/>
      <c r="AO348" s="3"/>
      <c r="AP348" s="3"/>
      <c r="AQ348" s="3"/>
      <c r="AR348" s="3"/>
      <c r="AS348" s="24"/>
      <c r="AT348" s="24"/>
      <c r="AU348" s="24"/>
      <c r="AV348" s="24"/>
      <c r="AW348" s="24"/>
      <c r="AX348" s="24"/>
      <c r="AY348" s="3"/>
      <c r="AZ348" s="24"/>
      <c r="BA348" s="24"/>
      <c r="BB348" s="24"/>
      <c r="BC348" s="24"/>
      <c r="BD348" s="24"/>
      <c r="BE348" s="24"/>
      <c r="BF348" s="24"/>
      <c r="BG348" s="24"/>
      <c r="BH348" s="343"/>
      <c r="BI348" s="343"/>
      <c r="BJ348" s="24"/>
      <c r="BK348" s="3"/>
      <c r="BL348" s="3"/>
      <c r="BM348" s="24"/>
      <c r="BN348" s="3"/>
      <c r="BO348" s="3"/>
      <c r="BP348" s="3"/>
      <c r="BQ348" s="3"/>
      <c r="BR348" s="3"/>
      <c r="BS348" s="3"/>
      <c r="BT348" s="3"/>
      <c r="BU348" s="24"/>
      <c r="BV348" s="24"/>
      <c r="BW348" s="24"/>
      <c r="BX348" s="24"/>
      <c r="BY348" s="24"/>
      <c r="BZ348" s="3"/>
      <c r="CA348" s="3"/>
      <c r="CB348" s="24"/>
      <c r="CC348" s="24"/>
      <c r="CD348" s="24"/>
      <c r="CE348" s="24"/>
      <c r="CF348" s="24"/>
      <c r="CG348" s="24"/>
      <c r="CH348" s="24"/>
      <c r="CI348" s="3"/>
      <c r="CJ348" s="3"/>
      <c r="CK348" s="24"/>
      <c r="CL348" s="3"/>
      <c r="CM348" s="3"/>
      <c r="CN348" s="24"/>
      <c r="CO348" s="24"/>
      <c r="CP348" s="24"/>
      <c r="CQ348" s="24"/>
      <c r="CR348" s="24"/>
      <c r="CS348" s="3"/>
      <c r="CT348" s="3"/>
      <c r="CU348" s="3"/>
      <c r="CV348" s="24"/>
      <c r="CW348" s="24"/>
      <c r="CX348" s="24"/>
      <c r="CY348" s="24"/>
      <c r="CZ348" s="24"/>
      <c r="DA348" s="24"/>
      <c r="DB348" s="24"/>
      <c r="DC348" s="24">
        <f>G348</f>
        <v>24080.58</v>
      </c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3"/>
      <c r="DR348" s="24">
        <f t="shared" si="54"/>
        <v>24080.58</v>
      </c>
      <c r="DS348" s="3">
        <f t="shared" si="55"/>
        <v>0</v>
      </c>
      <c r="DU348" s="3">
        <v>23379.200000000001</v>
      </c>
      <c r="DY348" s="255"/>
      <c r="DZ348" s="255"/>
      <c r="EA348" s="255"/>
      <c r="EB348" s="255"/>
      <c r="EC348" s="255"/>
    </row>
    <row r="349" spans="1:133" x14ac:dyDescent="0.2">
      <c r="A349" s="7"/>
      <c r="C349" s="7" t="s">
        <v>2290</v>
      </c>
      <c r="D349" s="7" t="s">
        <v>2291</v>
      </c>
      <c r="E349" s="168" t="s">
        <v>2220</v>
      </c>
      <c r="F349" s="33" t="s">
        <v>2663</v>
      </c>
      <c r="G349" s="231">
        <f t="shared" si="53"/>
        <v>22880.83</v>
      </c>
      <c r="H349" s="207"/>
      <c r="I349" s="252" t="s">
        <v>2705</v>
      </c>
      <c r="J349" s="2"/>
      <c r="K349" s="2"/>
      <c r="L349" s="2"/>
      <c r="M349" s="3"/>
      <c r="N349" s="3"/>
      <c r="O349" s="24"/>
      <c r="P349" s="3"/>
      <c r="Q349" s="3"/>
      <c r="R349" s="24"/>
      <c r="S349" s="24"/>
      <c r="T349" s="3"/>
      <c r="U349" s="3"/>
      <c r="V349" s="3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3"/>
      <c r="AJ349" s="24"/>
      <c r="AK349" s="284"/>
      <c r="AL349" s="24"/>
      <c r="AM349" s="3"/>
      <c r="AN349" s="3"/>
      <c r="AO349" s="3"/>
      <c r="AP349" s="3"/>
      <c r="AQ349" s="3"/>
      <c r="AR349" s="3"/>
      <c r="AS349" s="24"/>
      <c r="AT349" s="24"/>
      <c r="AU349" s="24"/>
      <c r="AV349" s="24"/>
      <c r="AW349" s="24"/>
      <c r="AX349" s="24"/>
      <c r="AY349" s="3"/>
      <c r="AZ349" s="24"/>
      <c r="BA349" s="24"/>
      <c r="BB349" s="24"/>
      <c r="BC349" s="24"/>
      <c r="BD349" s="24"/>
      <c r="BE349" s="24"/>
      <c r="BF349" s="24"/>
      <c r="BG349" s="24"/>
      <c r="BH349" s="343"/>
      <c r="BI349" s="343"/>
      <c r="BJ349" s="24"/>
      <c r="BK349" s="3"/>
      <c r="BL349" s="3"/>
      <c r="BM349" s="24"/>
      <c r="BN349" s="3"/>
      <c r="BO349" s="3"/>
      <c r="BP349" s="3"/>
      <c r="BQ349" s="3"/>
      <c r="BR349" s="3"/>
      <c r="BS349" s="3"/>
      <c r="BT349" s="3"/>
      <c r="BU349" s="24"/>
      <c r="BV349" s="24"/>
      <c r="BW349" s="24"/>
      <c r="BX349" s="24"/>
      <c r="BY349" s="24"/>
      <c r="BZ349" s="3"/>
      <c r="CA349" s="3"/>
      <c r="CB349" s="24"/>
      <c r="CC349" s="24"/>
      <c r="CD349" s="24"/>
      <c r="CE349" s="24"/>
      <c r="CF349" s="24"/>
      <c r="CG349" s="24"/>
      <c r="CH349" s="24"/>
      <c r="CI349" s="3"/>
      <c r="CJ349" s="3"/>
      <c r="CK349" s="24"/>
      <c r="CL349" s="3"/>
      <c r="CM349" s="3"/>
      <c r="CN349" s="24"/>
      <c r="CO349" s="24"/>
      <c r="CP349" s="24"/>
      <c r="CQ349" s="24"/>
      <c r="CR349" s="24"/>
      <c r="CS349" s="3"/>
      <c r="CT349" s="3"/>
      <c r="CU349" s="3"/>
      <c r="CV349" s="24"/>
      <c r="CW349" s="24"/>
      <c r="CX349" s="24"/>
      <c r="CY349" s="24"/>
      <c r="CZ349" s="24"/>
      <c r="DA349" s="24"/>
      <c r="DB349" s="24"/>
      <c r="DC349" s="24">
        <f>G349</f>
        <v>22880.83</v>
      </c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3"/>
      <c r="DR349" s="24">
        <f t="shared" si="54"/>
        <v>22880.83</v>
      </c>
      <c r="DS349" s="3">
        <f t="shared" si="55"/>
        <v>0</v>
      </c>
      <c r="DU349" s="3">
        <v>22214.400000000001</v>
      </c>
    </row>
    <row r="350" spans="1:133" x14ac:dyDescent="0.2">
      <c r="A350" s="7" t="s">
        <v>3067</v>
      </c>
      <c r="E350" s="203" t="s">
        <v>3158</v>
      </c>
      <c r="F350" s="255" t="s">
        <v>2663</v>
      </c>
      <c r="G350" s="206">
        <f>IF(DU350&lt;30000,DU350*1.03,+DU350)</f>
        <v>23690</v>
      </c>
      <c r="H350" s="207"/>
      <c r="I350" s="343" t="s">
        <v>2710</v>
      </c>
      <c r="J350" s="2"/>
      <c r="K350" s="2"/>
      <c r="L350" s="2"/>
      <c r="M350" s="3"/>
      <c r="N350" s="3"/>
      <c r="O350" s="343"/>
      <c r="P350" s="3"/>
      <c r="Q350" s="3"/>
      <c r="R350" s="343"/>
      <c r="S350" s="343"/>
      <c r="T350" s="3"/>
      <c r="U350" s="3"/>
      <c r="V350" s="3"/>
      <c r="W350" s="343"/>
      <c r="X350" s="343"/>
      <c r="Y350" s="343"/>
      <c r="Z350" s="343"/>
      <c r="AA350" s="343"/>
      <c r="AB350" s="343"/>
      <c r="AC350" s="343"/>
      <c r="AD350" s="343"/>
      <c r="AE350" s="343"/>
      <c r="AF350" s="343"/>
      <c r="AG350" s="343"/>
      <c r="AH350" s="343"/>
      <c r="AI350" s="3"/>
      <c r="AJ350" s="343"/>
      <c r="AK350" s="284"/>
      <c r="AL350" s="343"/>
      <c r="AM350" s="3"/>
      <c r="AN350" s="3"/>
      <c r="AO350" s="3"/>
      <c r="AP350" s="3"/>
      <c r="AQ350" s="3"/>
      <c r="AR350" s="3"/>
      <c r="AS350" s="343"/>
      <c r="AT350" s="343"/>
      <c r="AU350" s="343"/>
      <c r="AV350" s="343"/>
      <c r="AW350" s="343"/>
      <c r="AX350" s="343"/>
      <c r="AY350" s="3"/>
      <c r="AZ350" s="343"/>
      <c r="BA350" s="343"/>
      <c r="BB350" s="343"/>
      <c r="BC350" s="343"/>
      <c r="BD350" s="343"/>
      <c r="BE350" s="343"/>
      <c r="BF350" s="343"/>
      <c r="BG350" s="343"/>
      <c r="BH350" s="343"/>
      <c r="BI350" s="343"/>
      <c r="BJ350" s="343"/>
      <c r="BK350" s="3"/>
      <c r="BL350" s="3"/>
      <c r="BM350" s="343"/>
      <c r="BN350" s="3"/>
      <c r="BO350" s="3"/>
      <c r="BP350" s="3"/>
      <c r="BQ350" s="3"/>
      <c r="BR350" s="3"/>
      <c r="BS350" s="3"/>
      <c r="BT350" s="3"/>
      <c r="BU350" s="343"/>
      <c r="BV350" s="343"/>
      <c r="BW350" s="343"/>
      <c r="BX350" s="343"/>
      <c r="BY350" s="343"/>
      <c r="BZ350" s="3"/>
      <c r="CA350" s="3"/>
      <c r="CB350" s="343"/>
      <c r="CC350" s="343"/>
      <c r="CD350" s="343"/>
      <c r="CE350" s="343"/>
      <c r="CF350" s="343"/>
      <c r="CG350" s="343"/>
      <c r="CH350" s="343"/>
      <c r="CI350" s="3"/>
      <c r="CJ350" s="3"/>
      <c r="CK350" s="343"/>
      <c r="CL350" s="3"/>
      <c r="CM350" s="3"/>
      <c r="CN350" s="343"/>
      <c r="CO350" s="343"/>
      <c r="CP350" s="343"/>
      <c r="CQ350" s="343"/>
      <c r="CR350" s="343"/>
      <c r="CS350" s="3"/>
      <c r="CT350" s="3"/>
      <c r="CU350" s="3"/>
      <c r="CV350" s="343"/>
      <c r="CW350" s="343"/>
      <c r="CX350" s="343"/>
      <c r="CY350" s="343"/>
      <c r="CZ350" s="343"/>
      <c r="DA350" s="343"/>
      <c r="DB350" s="343"/>
      <c r="DC350" s="343"/>
      <c r="DD350" s="343"/>
      <c r="DE350" s="343"/>
      <c r="DF350" s="343"/>
      <c r="DG350" s="343"/>
      <c r="DH350" s="343"/>
      <c r="DI350" s="343"/>
      <c r="DJ350" s="343"/>
      <c r="DK350" s="343"/>
      <c r="DL350" s="343"/>
      <c r="DM350" s="343"/>
      <c r="DN350" s="343"/>
      <c r="DO350" s="343">
        <f>+G350</f>
        <v>23690</v>
      </c>
      <c r="DP350" s="343"/>
      <c r="DQ350" s="3"/>
      <c r="DR350" s="343">
        <f t="shared" si="54"/>
        <v>23690</v>
      </c>
      <c r="DS350" s="3">
        <f t="shared" si="55"/>
        <v>0</v>
      </c>
      <c r="DU350" s="3">
        <v>23000</v>
      </c>
    </row>
    <row r="351" spans="1:133" x14ac:dyDescent="0.2">
      <c r="A351" s="7" t="s">
        <v>3067</v>
      </c>
      <c r="E351" s="164" t="s">
        <v>3068</v>
      </c>
      <c r="F351" s="255" t="s">
        <v>2663</v>
      </c>
      <c r="G351" s="206">
        <f>IF(DU351&lt;30000,DU351*1.03,+DU351)</f>
        <v>40000</v>
      </c>
      <c r="H351" s="207"/>
      <c r="I351" s="2" t="s">
        <v>2703</v>
      </c>
      <c r="J351" s="2"/>
      <c r="K351" s="2"/>
      <c r="L351" s="2"/>
      <c r="M351" s="3"/>
      <c r="N351" s="3"/>
      <c r="O351" s="24"/>
      <c r="P351" s="3"/>
      <c r="Q351" s="3"/>
      <c r="R351" s="24"/>
      <c r="S351" s="24"/>
      <c r="T351" s="3"/>
      <c r="U351" s="3"/>
      <c r="V351" s="3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3"/>
      <c r="AJ351" s="24"/>
      <c r="AK351" s="284"/>
      <c r="AL351" s="24"/>
      <c r="AM351" s="3"/>
      <c r="AN351" s="3"/>
      <c r="AO351" s="3"/>
      <c r="AP351" s="3"/>
      <c r="AQ351" s="3"/>
      <c r="AR351" s="3"/>
      <c r="AS351" s="24"/>
      <c r="AT351" s="24"/>
      <c r="AU351" s="24"/>
      <c r="AV351" s="24"/>
      <c r="AW351" s="24"/>
      <c r="AX351" s="24"/>
      <c r="AY351" s="3"/>
      <c r="AZ351" s="24"/>
      <c r="BA351" s="24"/>
      <c r="BB351" s="24"/>
      <c r="BC351" s="24"/>
      <c r="BD351" s="24"/>
      <c r="BE351" s="24"/>
      <c r="BF351" s="24"/>
      <c r="BG351" s="24"/>
      <c r="BH351" s="343"/>
      <c r="BI351" s="343"/>
      <c r="BJ351" s="24"/>
      <c r="BK351" s="3"/>
      <c r="BL351" s="3"/>
      <c r="BM351" s="24"/>
      <c r="BN351" s="3"/>
      <c r="BO351" s="3"/>
      <c r="BP351" s="3"/>
      <c r="BQ351" s="3"/>
      <c r="BR351" s="3"/>
      <c r="BS351" s="3"/>
      <c r="BT351" s="3"/>
      <c r="BU351" s="24"/>
      <c r="BV351" s="24"/>
      <c r="BW351" s="24"/>
      <c r="BX351" s="24"/>
      <c r="BY351" s="24"/>
      <c r="BZ351" s="3"/>
      <c r="CA351" s="3"/>
      <c r="CB351" s="24"/>
      <c r="CC351" s="24"/>
      <c r="CD351" s="24"/>
      <c r="CE351" s="24"/>
      <c r="CF351" s="24"/>
      <c r="CG351" s="24"/>
      <c r="CH351" s="24"/>
      <c r="CI351" s="3"/>
      <c r="CJ351" s="3"/>
      <c r="CK351" s="24"/>
      <c r="CL351" s="3"/>
      <c r="CM351" s="3"/>
      <c r="CN351" s="24"/>
      <c r="CO351" s="24"/>
      <c r="CP351" s="24"/>
      <c r="CQ351" s="24"/>
      <c r="CR351" s="24"/>
      <c r="CS351" s="3"/>
      <c r="CT351" s="3"/>
      <c r="CU351" s="3"/>
      <c r="CV351" s="24"/>
      <c r="CW351" s="24"/>
      <c r="CX351" s="24"/>
      <c r="CY351" s="24">
        <f>+G351</f>
        <v>40000</v>
      </c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3"/>
      <c r="DR351" s="24">
        <f t="shared" ref="DR351" si="58">SUM(M351:DQ351)</f>
        <v>40000</v>
      </c>
      <c r="DS351" s="3">
        <f t="shared" si="55"/>
        <v>0</v>
      </c>
      <c r="DU351" s="3">
        <v>40000</v>
      </c>
    </row>
    <row r="352" spans="1:133" x14ac:dyDescent="0.2">
      <c r="A352" s="7"/>
      <c r="E352" s="160"/>
      <c r="F352" s="33"/>
      <c r="G352" s="206">
        <f>SUM(G311:G351)</f>
        <v>1019317.94</v>
      </c>
      <c r="M352" s="3"/>
      <c r="N352" s="3"/>
      <c r="O352" s="24"/>
      <c r="P352" s="3"/>
      <c r="Q352" s="3"/>
      <c r="R352" s="24"/>
      <c r="S352" s="24"/>
      <c r="T352" s="3"/>
      <c r="U352" s="3"/>
      <c r="V352" s="3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3"/>
      <c r="AJ352" s="24"/>
      <c r="AK352" s="284"/>
      <c r="AL352" s="24"/>
      <c r="AM352" s="3"/>
      <c r="AN352" s="3"/>
      <c r="AO352" s="3"/>
      <c r="AP352" s="3"/>
      <c r="AQ352" s="3"/>
      <c r="AR352" s="3"/>
      <c r="AS352" s="24"/>
      <c r="AT352" s="24"/>
      <c r="AU352" s="24"/>
      <c r="AV352" s="24"/>
      <c r="AW352" s="24"/>
      <c r="AX352" s="24"/>
      <c r="AY352" s="3"/>
      <c r="AZ352" s="24"/>
      <c r="BA352" s="24"/>
      <c r="BB352" s="24"/>
      <c r="BC352" s="24"/>
      <c r="BD352" s="24"/>
      <c r="BE352" s="24"/>
      <c r="BF352" s="24"/>
      <c r="BG352" s="24"/>
      <c r="BH352" s="343"/>
      <c r="BI352" s="343"/>
      <c r="BJ352" s="24"/>
      <c r="BK352" s="3"/>
      <c r="BL352" s="3"/>
      <c r="BM352" s="24"/>
      <c r="BN352" s="3"/>
      <c r="BO352" s="3"/>
      <c r="BP352" s="3"/>
      <c r="BQ352" s="3"/>
      <c r="BR352" s="3"/>
      <c r="BS352" s="3"/>
      <c r="BT352" s="3"/>
      <c r="BU352" s="24"/>
      <c r="BV352" s="24"/>
      <c r="BW352" s="24"/>
      <c r="BX352" s="24"/>
      <c r="BY352" s="24"/>
      <c r="BZ352" s="3"/>
      <c r="CA352" s="3"/>
      <c r="CB352" s="24"/>
      <c r="CC352" s="24"/>
      <c r="CD352" s="24"/>
      <c r="CE352" s="24"/>
      <c r="CF352" s="24"/>
      <c r="CG352" s="24"/>
      <c r="CH352" s="24"/>
      <c r="CI352" s="3"/>
      <c r="CJ352" s="3"/>
      <c r="CK352" s="24"/>
      <c r="CL352" s="3"/>
      <c r="CM352" s="3"/>
      <c r="CN352" s="24"/>
      <c r="CO352" s="24"/>
      <c r="CP352" s="24"/>
      <c r="CQ352" s="24"/>
      <c r="CR352" s="24"/>
      <c r="CS352" s="3"/>
      <c r="CT352" s="3"/>
      <c r="CU352" s="3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3"/>
      <c r="DR352" s="24"/>
      <c r="DS352" s="234">
        <f>SUM(DS8:DS349)</f>
        <v>0.03</v>
      </c>
    </row>
    <row r="353" spans="1:125" x14ac:dyDescent="0.2">
      <c r="A353" s="7"/>
      <c r="E353" s="160" t="s">
        <v>342</v>
      </c>
      <c r="F353" s="33"/>
      <c r="G353" s="171"/>
      <c r="M353" s="3"/>
      <c r="N353" s="3"/>
      <c r="O353" s="24"/>
      <c r="P353" s="3"/>
      <c r="Q353" s="3"/>
      <c r="R353" s="24"/>
      <c r="S353" s="24"/>
      <c r="T353" s="3"/>
      <c r="U353" s="3"/>
      <c r="V353" s="3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3"/>
      <c r="AJ353" s="24"/>
      <c r="AK353" s="284"/>
      <c r="AL353" s="24"/>
      <c r="AM353" s="3"/>
      <c r="AN353" s="3"/>
      <c r="AO353" s="3"/>
      <c r="AP353" s="3"/>
      <c r="AQ353" s="3"/>
      <c r="AR353" s="3"/>
      <c r="AS353" s="24"/>
      <c r="AT353" s="24"/>
      <c r="AU353" s="24"/>
      <c r="AV353" s="24"/>
      <c r="AW353" s="24"/>
      <c r="AX353" s="24"/>
      <c r="AY353" s="3"/>
      <c r="AZ353" s="24"/>
      <c r="BA353" s="24"/>
      <c r="BB353" s="24"/>
      <c r="BC353" s="24"/>
      <c r="BD353" s="24"/>
      <c r="BE353" s="24"/>
      <c r="BF353" s="24"/>
      <c r="BG353" s="24"/>
      <c r="BH353" s="343"/>
      <c r="BI353" s="343"/>
      <c r="BJ353" s="24"/>
      <c r="BK353" s="3"/>
      <c r="BL353" s="3"/>
      <c r="BM353" s="24"/>
      <c r="BN353" s="3"/>
      <c r="BO353" s="3"/>
      <c r="BP353" s="3"/>
      <c r="BQ353" s="3"/>
      <c r="BR353" s="3"/>
      <c r="BS353" s="3"/>
      <c r="BT353" s="3"/>
      <c r="BU353" s="24"/>
      <c r="BV353" s="24"/>
      <c r="BW353" s="24"/>
      <c r="BX353" s="24"/>
      <c r="BY353" s="24"/>
      <c r="BZ353" s="3"/>
      <c r="CA353" s="3"/>
      <c r="CB353" s="24"/>
      <c r="CC353" s="24"/>
      <c r="CD353" s="24"/>
      <c r="CE353" s="24"/>
      <c r="CF353" s="24"/>
      <c r="CG353" s="24"/>
      <c r="CH353" s="24"/>
      <c r="CI353" s="3"/>
      <c r="CJ353" s="3"/>
      <c r="CK353" s="24"/>
      <c r="CL353" s="3"/>
      <c r="CM353" s="3"/>
      <c r="CN353" s="24"/>
      <c r="CO353" s="24"/>
      <c r="CP353" s="24"/>
      <c r="CQ353" s="24"/>
      <c r="CR353" s="24"/>
      <c r="CS353" s="3"/>
      <c r="CT353" s="3"/>
      <c r="CU353" s="3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3"/>
      <c r="DR353" s="24"/>
    </row>
    <row r="354" spans="1:125" x14ac:dyDescent="0.2">
      <c r="A354" s="7"/>
      <c r="E354" s="160" t="s">
        <v>1266</v>
      </c>
      <c r="F354" s="33" t="s">
        <v>2664</v>
      </c>
      <c r="G354" s="206">
        <v>125000</v>
      </c>
      <c r="M354" s="3"/>
      <c r="N354" s="3"/>
      <c r="O354" s="24">
        <v>0</v>
      </c>
      <c r="P354" s="3"/>
      <c r="Q354" s="3">
        <v>0</v>
      </c>
      <c r="R354" s="24"/>
      <c r="S354" s="24"/>
      <c r="T354" s="3"/>
      <c r="U354" s="3"/>
      <c r="V354" s="3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3"/>
      <c r="AJ354" s="24">
        <v>0</v>
      </c>
      <c r="AK354" s="284"/>
      <c r="AL354" s="24"/>
      <c r="AM354" s="3"/>
      <c r="AN354" s="3"/>
      <c r="AO354" s="3"/>
      <c r="AP354" s="3"/>
      <c r="AQ354" s="3"/>
      <c r="AR354" s="3"/>
      <c r="AS354" s="24"/>
      <c r="AT354" s="24"/>
      <c r="AU354" s="24"/>
      <c r="AV354" s="24"/>
      <c r="AW354" s="24"/>
      <c r="AX354" s="24"/>
      <c r="AY354" s="3"/>
      <c r="AZ354" s="24"/>
      <c r="BA354" s="24"/>
      <c r="BB354" s="24"/>
      <c r="BC354" s="24"/>
      <c r="BD354" s="24"/>
      <c r="BE354" s="24"/>
      <c r="BF354" s="24"/>
      <c r="BG354" s="24"/>
      <c r="BH354" s="343"/>
      <c r="BI354" s="343"/>
      <c r="BJ354" s="24"/>
      <c r="BK354" s="3"/>
      <c r="BL354" s="3"/>
      <c r="BM354" s="24"/>
      <c r="BN354" s="3"/>
      <c r="BO354" s="3"/>
      <c r="BP354" s="3"/>
      <c r="BQ354" s="3"/>
      <c r="BR354" s="3"/>
      <c r="BS354" s="3"/>
      <c r="BT354" s="3"/>
      <c r="BU354" s="24"/>
      <c r="BV354" s="24"/>
      <c r="BW354" s="24"/>
      <c r="BX354" s="24"/>
      <c r="BY354" s="24"/>
      <c r="BZ354" s="3"/>
      <c r="CA354" s="3"/>
      <c r="CB354" s="24"/>
      <c r="CC354" s="24"/>
      <c r="CD354" s="24"/>
      <c r="CE354" s="24"/>
      <c r="CF354" s="24"/>
      <c r="CG354" s="24"/>
      <c r="CH354" s="24">
        <v>0</v>
      </c>
      <c r="CI354" s="3"/>
      <c r="CJ354" s="3"/>
      <c r="CK354" s="24"/>
      <c r="CL354" s="3"/>
      <c r="CM354" s="3"/>
      <c r="CN354" s="24"/>
      <c r="CO354" s="24"/>
      <c r="CP354" s="24"/>
      <c r="CQ354" s="24"/>
      <c r="CR354" s="24"/>
      <c r="CS354" s="3"/>
      <c r="CT354" s="3"/>
      <c r="CU354" s="24"/>
      <c r="CV354" s="24"/>
      <c r="CW354" s="24">
        <v>0</v>
      </c>
      <c r="CX354" s="24">
        <v>0</v>
      </c>
      <c r="CY354" s="24">
        <v>0</v>
      </c>
      <c r="CZ354" s="24">
        <v>0</v>
      </c>
      <c r="DA354" s="24"/>
      <c r="DB354" s="24">
        <v>0</v>
      </c>
      <c r="DC354" s="24">
        <v>0</v>
      </c>
      <c r="DD354" s="24">
        <v>0</v>
      </c>
      <c r="DE354" s="24"/>
      <c r="DF354" s="24"/>
      <c r="DG354" s="24"/>
      <c r="DH354" s="24"/>
      <c r="DI354" s="24">
        <v>0</v>
      </c>
      <c r="DJ354" s="24"/>
      <c r="DK354" s="24"/>
      <c r="DL354" s="24"/>
      <c r="DM354" s="24"/>
      <c r="DN354" s="24"/>
      <c r="DO354" s="24"/>
      <c r="DP354" s="24"/>
      <c r="DQ354" s="3"/>
      <c r="DR354" s="24">
        <f>SUM(M354:DQ354)</f>
        <v>0</v>
      </c>
      <c r="DU354" s="3">
        <f>+G354</f>
        <v>125000</v>
      </c>
    </row>
    <row r="355" spans="1:125" x14ac:dyDescent="0.2">
      <c r="A355" s="7"/>
      <c r="E355" s="160"/>
      <c r="F355" s="33"/>
      <c r="G355" s="171"/>
      <c r="M355" s="3"/>
      <c r="N355" s="3"/>
      <c r="O355" s="24"/>
      <c r="P355" s="3"/>
      <c r="Q355" s="3"/>
      <c r="R355" s="24"/>
      <c r="S355" s="24"/>
      <c r="T355" s="3"/>
      <c r="U355" s="3"/>
      <c r="V355" s="3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3"/>
      <c r="AJ355" s="24"/>
      <c r="AK355" s="284"/>
      <c r="AL355" s="24"/>
      <c r="AM355" s="3"/>
      <c r="AN355" s="3"/>
      <c r="AO355" s="3"/>
      <c r="AP355" s="3"/>
      <c r="AQ355" s="3"/>
      <c r="AR355" s="3"/>
      <c r="AS355" s="24"/>
      <c r="AT355" s="24"/>
      <c r="AU355" s="24"/>
      <c r="AV355" s="24"/>
      <c r="AW355" s="24"/>
      <c r="AX355" s="24"/>
      <c r="AY355" s="3"/>
      <c r="AZ355" s="24"/>
      <c r="BA355" s="24"/>
      <c r="BB355" s="24"/>
      <c r="BC355" s="24"/>
      <c r="BD355" s="24"/>
      <c r="BE355" s="24"/>
      <c r="BF355" s="24"/>
      <c r="BG355" s="24"/>
      <c r="BH355" s="343"/>
      <c r="BI355" s="343"/>
      <c r="BJ355" s="24"/>
      <c r="BK355" s="3"/>
      <c r="BL355" s="3"/>
      <c r="BM355" s="24"/>
      <c r="BN355" s="3"/>
      <c r="BO355" s="3"/>
      <c r="BP355" s="3"/>
      <c r="BQ355" s="3"/>
      <c r="BR355" s="3"/>
      <c r="BS355" s="3"/>
      <c r="BT355" s="3"/>
      <c r="BU355" s="24"/>
      <c r="BV355" s="24"/>
      <c r="BW355" s="24"/>
      <c r="BX355" s="24"/>
      <c r="BY355" s="24"/>
      <c r="BZ355" s="3"/>
      <c r="CA355" s="3"/>
      <c r="CB355" s="24"/>
      <c r="CC355" s="24"/>
      <c r="CD355" s="24"/>
      <c r="CE355" s="24"/>
      <c r="CF355" s="24"/>
      <c r="CG355" s="24"/>
      <c r="CH355" s="24"/>
      <c r="CI355" s="3"/>
      <c r="CJ355" s="3"/>
      <c r="CK355" s="24"/>
      <c r="CL355" s="3"/>
      <c r="CM355" s="3"/>
      <c r="CN355" s="24"/>
      <c r="CO355" s="24"/>
      <c r="CP355" s="24"/>
      <c r="CQ355" s="24"/>
      <c r="CR355" s="24"/>
      <c r="CS355" s="3"/>
      <c r="CT355" s="3"/>
      <c r="CU355" s="3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3"/>
      <c r="DR355" s="24"/>
    </row>
    <row r="356" spans="1:125" x14ac:dyDescent="0.2">
      <c r="A356" s="7"/>
      <c r="E356" s="160"/>
      <c r="F356" s="33"/>
      <c r="G356" s="171"/>
      <c r="M356" s="3"/>
      <c r="N356" s="3"/>
      <c r="O356" s="24"/>
      <c r="P356" s="3"/>
      <c r="Q356" s="3"/>
      <c r="R356" s="24"/>
      <c r="S356" s="24"/>
      <c r="T356" s="3"/>
      <c r="U356" s="3"/>
      <c r="V356" s="3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3"/>
      <c r="AJ356" s="24"/>
      <c r="AK356" s="284"/>
      <c r="AL356" s="24"/>
      <c r="AM356" s="3"/>
      <c r="AN356" s="3"/>
      <c r="AO356" s="3"/>
      <c r="AP356" s="3"/>
      <c r="AQ356" s="3"/>
      <c r="AR356" s="3"/>
      <c r="AS356" s="24"/>
      <c r="AT356" s="24"/>
      <c r="AU356" s="24"/>
      <c r="AV356" s="24"/>
      <c r="AW356" s="24"/>
      <c r="AX356" s="24"/>
      <c r="AY356" s="3"/>
      <c r="AZ356" s="24"/>
      <c r="BA356" s="24"/>
      <c r="BB356" s="24"/>
      <c r="BC356" s="24"/>
      <c r="BD356" s="24"/>
      <c r="BE356" s="24"/>
      <c r="BF356" s="24"/>
      <c r="BG356" s="24"/>
      <c r="BH356" s="343"/>
      <c r="BI356" s="343"/>
      <c r="BJ356" s="24"/>
      <c r="BK356" s="3"/>
      <c r="BL356" s="3"/>
      <c r="BM356" s="24"/>
      <c r="BN356" s="3"/>
      <c r="BO356" s="3"/>
      <c r="BP356" s="3"/>
      <c r="BQ356" s="3"/>
      <c r="BR356" s="3"/>
      <c r="BS356" s="3"/>
      <c r="BT356" s="3"/>
      <c r="BU356" s="24"/>
      <c r="BV356" s="24"/>
      <c r="BW356" s="24"/>
      <c r="BX356" s="24"/>
      <c r="BY356" s="24"/>
      <c r="BZ356" s="3"/>
      <c r="CA356" s="3"/>
      <c r="CB356" s="24"/>
      <c r="CC356" s="24"/>
      <c r="CD356" s="24"/>
      <c r="CE356" s="24"/>
      <c r="CF356" s="24"/>
      <c r="CG356" s="24"/>
      <c r="CH356" s="24"/>
      <c r="CI356" s="3"/>
      <c r="CJ356" s="3"/>
      <c r="CK356" s="24"/>
      <c r="CL356" s="3"/>
      <c r="CM356" s="3"/>
      <c r="CN356" s="24"/>
      <c r="CO356" s="24"/>
      <c r="CP356" s="24"/>
      <c r="CQ356" s="24"/>
      <c r="CR356" s="24"/>
      <c r="CS356" s="3"/>
      <c r="CT356" s="3"/>
      <c r="CU356" s="3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3"/>
      <c r="DR356" s="24"/>
    </row>
    <row r="357" spans="1:125" ht="15.75" x14ac:dyDescent="0.25">
      <c r="A357" s="7"/>
      <c r="E357" s="515" t="s">
        <v>1412</v>
      </c>
      <c r="F357" s="515"/>
      <c r="G357" s="515"/>
      <c r="M357" s="3"/>
      <c r="N357" s="3"/>
      <c r="O357" s="24"/>
      <c r="P357" s="3"/>
      <c r="Q357" s="3"/>
      <c r="R357" s="24"/>
      <c r="S357" s="24"/>
      <c r="T357" s="3"/>
      <c r="U357" s="3"/>
      <c r="V357" s="3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3"/>
      <c r="AJ357" s="24"/>
      <c r="AK357" s="284"/>
      <c r="AL357" s="24"/>
      <c r="AM357" s="3"/>
      <c r="AN357" s="3"/>
      <c r="AO357" s="3"/>
      <c r="AP357" s="3"/>
      <c r="AQ357" s="3"/>
      <c r="AR357" s="3"/>
      <c r="AS357" s="24"/>
      <c r="AT357" s="24"/>
      <c r="AU357" s="24"/>
      <c r="AV357" s="24"/>
      <c r="AW357" s="24"/>
      <c r="AX357" s="24"/>
      <c r="AY357" s="3"/>
      <c r="AZ357" s="24"/>
      <c r="BA357" s="24"/>
      <c r="BB357" s="24"/>
      <c r="BC357" s="24"/>
      <c r="BD357" s="24"/>
      <c r="BE357" s="24"/>
      <c r="BF357" s="24"/>
      <c r="BG357" s="24"/>
      <c r="BH357" s="343"/>
      <c r="BI357" s="343"/>
      <c r="BJ357" s="24"/>
      <c r="BK357" s="3"/>
      <c r="BL357" s="3"/>
      <c r="BM357" s="24"/>
      <c r="BN357" s="3"/>
      <c r="BO357" s="3"/>
      <c r="BP357" s="3"/>
      <c r="BQ357" s="3"/>
      <c r="BR357" s="3"/>
      <c r="BS357" s="3"/>
      <c r="BT357" s="3"/>
      <c r="BU357" s="24"/>
      <c r="BV357" s="24"/>
      <c r="BW357" s="24"/>
      <c r="BX357" s="24"/>
      <c r="BY357" s="24"/>
      <c r="BZ357" s="3"/>
      <c r="CA357" s="3"/>
      <c r="CB357" s="24"/>
      <c r="CC357" s="24"/>
      <c r="CD357" s="24"/>
      <c r="CE357" s="24"/>
      <c r="CF357" s="24"/>
      <c r="CG357" s="24"/>
      <c r="CH357" s="24"/>
      <c r="CI357" s="3"/>
      <c r="CJ357" s="3"/>
      <c r="CK357" s="24"/>
      <c r="CL357" s="3"/>
      <c r="CM357" s="3"/>
      <c r="CN357" s="24"/>
      <c r="CO357" s="24"/>
      <c r="CP357" s="24"/>
      <c r="CQ357" s="24"/>
      <c r="CR357" s="24"/>
      <c r="CS357" s="3"/>
      <c r="CT357" s="3"/>
      <c r="CU357" s="3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3"/>
      <c r="DR357" s="24"/>
    </row>
    <row r="358" spans="1:125" x14ac:dyDescent="0.2">
      <c r="A358" s="7"/>
      <c r="E358" s="159"/>
      <c r="F358" s="33"/>
      <c r="G358" s="33"/>
      <c r="M358" s="3"/>
      <c r="N358" s="3"/>
      <c r="O358" s="24"/>
      <c r="P358" s="3"/>
      <c r="Q358" s="3"/>
      <c r="R358" s="24"/>
      <c r="S358" s="24"/>
      <c r="T358" s="3"/>
      <c r="U358" s="3"/>
      <c r="V358" s="3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3"/>
      <c r="AJ358" s="24"/>
      <c r="AK358" s="284"/>
      <c r="AL358" s="24"/>
      <c r="AM358" s="3"/>
      <c r="AN358" s="3"/>
      <c r="AO358" s="3"/>
      <c r="AP358" s="3"/>
      <c r="AQ358" s="3"/>
      <c r="AR358" s="3"/>
      <c r="AS358" s="24"/>
      <c r="AT358" s="24"/>
      <c r="AU358" s="24"/>
      <c r="AV358" s="24"/>
      <c r="AW358" s="24"/>
      <c r="AX358" s="24"/>
      <c r="AY358" s="3"/>
      <c r="AZ358" s="24"/>
      <c r="BA358" s="24"/>
      <c r="BB358" s="24"/>
      <c r="BC358" s="24"/>
      <c r="BD358" s="24"/>
      <c r="BE358" s="24"/>
      <c r="BF358" s="24"/>
      <c r="BG358" s="24"/>
      <c r="BH358" s="343"/>
      <c r="BI358" s="343"/>
      <c r="BJ358" s="24"/>
      <c r="BK358" s="3"/>
      <c r="BL358" s="3"/>
      <c r="BM358" s="24"/>
      <c r="BN358" s="3"/>
      <c r="BO358" s="3"/>
      <c r="BP358" s="3"/>
      <c r="BQ358" s="3"/>
      <c r="BR358" s="3"/>
      <c r="BS358" s="3"/>
      <c r="BT358" s="3"/>
      <c r="BU358" s="24"/>
      <c r="BV358" s="24"/>
      <c r="BW358" s="24"/>
      <c r="BX358" s="24"/>
      <c r="BY358" s="24"/>
      <c r="BZ358" s="3"/>
      <c r="CA358" s="3"/>
      <c r="CB358" s="24"/>
      <c r="CC358" s="24"/>
      <c r="CD358" s="24"/>
      <c r="CE358" s="24"/>
      <c r="CF358" s="24"/>
      <c r="CG358" s="24"/>
      <c r="CH358" s="24"/>
      <c r="CI358" s="3"/>
      <c r="CJ358" s="3"/>
      <c r="CK358" s="24"/>
      <c r="CL358" s="3"/>
      <c r="CM358" s="3"/>
      <c r="CN358" s="24"/>
      <c r="CO358" s="24"/>
      <c r="CP358" s="24"/>
      <c r="CQ358" s="24"/>
      <c r="CR358" s="24"/>
      <c r="CS358" s="3"/>
      <c r="CT358" s="3"/>
      <c r="CU358" s="3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3"/>
      <c r="DR358" s="24"/>
    </row>
    <row r="359" spans="1:125" x14ac:dyDescent="0.2">
      <c r="A359" s="7"/>
      <c r="E359" s="159"/>
      <c r="F359" s="33"/>
      <c r="G359" s="171"/>
      <c r="M359" s="3"/>
      <c r="N359" s="3"/>
      <c r="O359" s="24">
        <v>0</v>
      </c>
      <c r="P359" s="3"/>
      <c r="Q359" s="3"/>
      <c r="R359" s="24"/>
      <c r="S359" s="24"/>
      <c r="T359" s="3"/>
      <c r="U359" s="3"/>
      <c r="V359" s="3"/>
      <c r="W359" s="24"/>
      <c r="X359" s="24">
        <f>G359</f>
        <v>0</v>
      </c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3"/>
      <c r="AJ359" s="24"/>
      <c r="AK359" s="284"/>
      <c r="AL359" s="24"/>
      <c r="AM359" s="3"/>
      <c r="AN359" s="3"/>
      <c r="AO359" s="3"/>
      <c r="AP359" s="3"/>
      <c r="AQ359" s="3"/>
      <c r="AR359" s="3"/>
      <c r="AS359" s="24"/>
      <c r="AT359" s="24"/>
      <c r="AU359" s="24"/>
      <c r="AV359" s="24"/>
      <c r="AW359" s="24"/>
      <c r="AX359" s="24"/>
      <c r="AY359" s="3"/>
      <c r="AZ359" s="24"/>
      <c r="BA359" s="24"/>
      <c r="BB359" s="24"/>
      <c r="BC359" s="24"/>
      <c r="BD359" s="24"/>
      <c r="BE359" s="24"/>
      <c r="BF359" s="24"/>
      <c r="BG359" s="24"/>
      <c r="BH359" s="343"/>
      <c r="BI359" s="343"/>
      <c r="BJ359" s="24"/>
      <c r="BK359" s="3"/>
      <c r="BL359" s="3"/>
      <c r="BM359" s="24"/>
      <c r="BN359" s="3"/>
      <c r="BO359" s="3"/>
      <c r="BP359" s="3"/>
      <c r="BQ359" s="3"/>
      <c r="BR359" s="3"/>
      <c r="BS359" s="3"/>
      <c r="BT359" s="3"/>
      <c r="BU359" s="24"/>
      <c r="BV359" s="24"/>
      <c r="BW359" s="24"/>
      <c r="BX359" s="24"/>
      <c r="BY359" s="24"/>
      <c r="BZ359" s="3"/>
      <c r="CA359" s="3"/>
      <c r="CB359" s="24"/>
      <c r="CC359" s="24"/>
      <c r="CD359" s="24"/>
      <c r="CE359" s="24"/>
      <c r="CF359" s="24"/>
      <c r="CG359" s="24"/>
      <c r="CH359" s="24"/>
      <c r="CI359" s="3"/>
      <c r="CJ359" s="3"/>
      <c r="CK359" s="24"/>
      <c r="CL359" s="3"/>
      <c r="CM359" s="3"/>
      <c r="CN359" s="24"/>
      <c r="CO359" s="24"/>
      <c r="CP359" s="24"/>
      <c r="CQ359" s="24"/>
      <c r="CR359" s="24"/>
      <c r="CS359" s="3"/>
      <c r="CT359" s="3"/>
      <c r="CU359" s="3"/>
      <c r="CV359" s="24"/>
      <c r="CW359" s="24"/>
      <c r="CX359" s="24"/>
      <c r="CY359" s="24"/>
      <c r="CZ359" s="24"/>
      <c r="DA359" s="24"/>
      <c r="DB359" s="24"/>
      <c r="DC359" s="24"/>
      <c r="DD359" s="24">
        <f>+G359</f>
        <v>0</v>
      </c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3"/>
      <c r="DR359" s="24">
        <f>SUM(M359:DQ359)</f>
        <v>0</v>
      </c>
    </row>
    <row r="360" spans="1:125" x14ac:dyDescent="0.2">
      <c r="A360" s="7"/>
      <c r="E360" s="159" t="s">
        <v>2752</v>
      </c>
      <c r="F360" s="33"/>
      <c r="G360" s="171"/>
      <c r="M360" s="3"/>
      <c r="N360" s="3"/>
      <c r="O360" s="24"/>
      <c r="P360" s="3"/>
      <c r="Q360" s="3"/>
      <c r="R360" s="24"/>
      <c r="S360" s="24"/>
      <c r="T360" s="3"/>
      <c r="U360" s="3"/>
      <c r="V360" s="3"/>
      <c r="W360" s="24"/>
      <c r="X360" s="24">
        <f>G360</f>
        <v>0</v>
      </c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3"/>
      <c r="AJ360" s="24"/>
      <c r="AK360" s="284"/>
      <c r="AL360" s="24"/>
      <c r="AM360" s="3"/>
      <c r="AN360" s="3"/>
      <c r="AO360" s="3"/>
      <c r="AP360" s="3"/>
      <c r="AQ360" s="3"/>
      <c r="AR360" s="3"/>
      <c r="AS360" s="24"/>
      <c r="AT360" s="24"/>
      <c r="AU360" s="24"/>
      <c r="AV360" s="24"/>
      <c r="AW360" s="24"/>
      <c r="AX360" s="24"/>
      <c r="AY360" s="3"/>
      <c r="AZ360" s="24"/>
      <c r="BA360" s="24"/>
      <c r="BB360" s="24"/>
      <c r="BC360" s="24"/>
      <c r="BD360" s="24"/>
      <c r="BE360" s="24"/>
      <c r="BF360" s="24"/>
      <c r="BG360" s="24"/>
      <c r="BH360" s="343"/>
      <c r="BI360" s="343"/>
      <c r="BJ360" s="24"/>
      <c r="BK360" s="3"/>
      <c r="BL360" s="3"/>
      <c r="BM360" s="24"/>
      <c r="BN360" s="3"/>
      <c r="BO360" s="3"/>
      <c r="BP360" s="3"/>
      <c r="BQ360" s="3"/>
      <c r="BR360" s="3"/>
      <c r="BS360" s="3"/>
      <c r="BT360" s="3"/>
      <c r="BU360" s="24"/>
      <c r="BV360" s="24"/>
      <c r="BW360" s="24"/>
      <c r="BX360" s="24"/>
      <c r="BY360" s="24"/>
      <c r="BZ360" s="3"/>
      <c r="CA360" s="3"/>
      <c r="CB360" s="24"/>
      <c r="CC360" s="24"/>
      <c r="CD360" s="24"/>
      <c r="CE360" s="24"/>
      <c r="CF360" s="24"/>
      <c r="CG360" s="24"/>
      <c r="CH360" s="24"/>
      <c r="CI360" s="3"/>
      <c r="CJ360" s="3"/>
      <c r="CK360" s="24"/>
      <c r="CL360" s="3"/>
      <c r="CM360" s="3"/>
      <c r="CN360" s="24"/>
      <c r="CO360" s="24"/>
      <c r="CP360" s="24"/>
      <c r="CQ360" s="24"/>
      <c r="CR360" s="24"/>
      <c r="CS360" s="3"/>
      <c r="CT360" s="3"/>
      <c r="CU360" s="3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3"/>
      <c r="DR360" s="24"/>
    </row>
    <row r="361" spans="1:125" x14ac:dyDescent="0.2">
      <c r="A361" s="7"/>
      <c r="E361" s="235"/>
      <c r="F361" s="33"/>
      <c r="G361" s="171"/>
      <c r="M361" s="3"/>
      <c r="N361" s="3"/>
      <c r="O361" s="24"/>
      <c r="P361" s="3"/>
      <c r="Q361" s="3"/>
      <c r="R361" s="24"/>
      <c r="S361" s="24"/>
      <c r="T361" s="3"/>
      <c r="U361" s="3"/>
      <c r="V361" s="3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3"/>
      <c r="AJ361" s="24"/>
      <c r="AK361" s="284"/>
      <c r="AL361" s="24"/>
      <c r="AM361" s="3"/>
      <c r="AN361" s="3"/>
      <c r="AO361" s="3"/>
      <c r="AP361" s="3"/>
      <c r="AQ361" s="3"/>
      <c r="AR361" s="3"/>
      <c r="AS361" s="24">
        <f>G361</f>
        <v>0</v>
      </c>
      <c r="AT361" s="24"/>
      <c r="AU361" s="24"/>
      <c r="AV361" s="24"/>
      <c r="AW361" s="24"/>
      <c r="AX361" s="24"/>
      <c r="AY361" s="3"/>
      <c r="AZ361" s="24">
        <f>G361</f>
        <v>0</v>
      </c>
      <c r="BA361" s="24"/>
      <c r="BB361" s="24"/>
      <c r="BC361" s="24"/>
      <c r="BD361" s="24"/>
      <c r="BE361" s="24"/>
      <c r="BF361" s="24"/>
      <c r="BG361" s="24"/>
      <c r="BH361" s="343"/>
      <c r="BI361" s="343"/>
      <c r="BJ361" s="24"/>
      <c r="BK361" s="3"/>
      <c r="BL361" s="3"/>
      <c r="BM361" s="24"/>
      <c r="BN361" s="3"/>
      <c r="BO361" s="3"/>
      <c r="BP361" s="3"/>
      <c r="BQ361" s="3"/>
      <c r="BR361" s="3"/>
      <c r="BS361" s="3"/>
      <c r="BT361" s="3"/>
      <c r="BU361" s="24"/>
      <c r="BV361" s="24"/>
      <c r="BW361" s="24"/>
      <c r="BX361" s="24"/>
      <c r="BY361" s="24"/>
      <c r="BZ361" s="3"/>
      <c r="CA361" s="3"/>
      <c r="CB361" s="24"/>
      <c r="CC361" s="24"/>
      <c r="CD361" s="24"/>
      <c r="CE361" s="24"/>
      <c r="CF361" s="24"/>
      <c r="CG361" s="24"/>
      <c r="CH361" s="24"/>
      <c r="CI361" s="3"/>
      <c r="CJ361" s="3"/>
      <c r="CK361" s="24"/>
      <c r="CL361" s="3"/>
      <c r="CM361" s="3"/>
      <c r="CN361" s="24"/>
      <c r="CO361" s="24"/>
      <c r="CP361" s="24"/>
      <c r="CQ361" s="24"/>
      <c r="CR361" s="24"/>
      <c r="CS361" s="3"/>
      <c r="CT361" s="3"/>
      <c r="CU361" s="3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3"/>
      <c r="DR361" s="24">
        <f>SUM(M361:DQ361)</f>
        <v>0</v>
      </c>
    </row>
    <row r="362" spans="1:125" x14ac:dyDescent="0.2">
      <c r="A362" s="7"/>
      <c r="E362" s="159"/>
      <c r="F362" s="33"/>
      <c r="G362" s="233"/>
      <c r="M362" s="3"/>
      <c r="N362" s="3">
        <v>0</v>
      </c>
      <c r="O362" s="24"/>
      <c r="P362" s="3"/>
      <c r="Q362" s="3"/>
      <c r="R362" s="24"/>
      <c r="S362" s="24"/>
      <c r="T362" s="3"/>
      <c r="U362" s="3"/>
      <c r="V362" s="3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3"/>
      <c r="AJ362" s="24"/>
      <c r="AK362" s="284"/>
      <c r="AL362" s="24"/>
      <c r="AM362" s="3"/>
      <c r="AN362" s="3"/>
      <c r="AO362" s="3"/>
      <c r="AP362" s="3"/>
      <c r="AQ362" s="3"/>
      <c r="AR362" s="3"/>
      <c r="AS362" s="24"/>
      <c r="AT362" s="24"/>
      <c r="AU362" s="24"/>
      <c r="AV362" s="24"/>
      <c r="AW362" s="24"/>
      <c r="AX362" s="24"/>
      <c r="AY362" s="3"/>
      <c r="AZ362" s="24">
        <f>G362</f>
        <v>0</v>
      </c>
      <c r="BA362" s="24"/>
      <c r="BB362" s="24"/>
      <c r="BC362" s="24"/>
      <c r="BD362" s="24"/>
      <c r="BE362" s="24"/>
      <c r="BF362" s="24"/>
      <c r="BG362" s="24"/>
      <c r="BH362" s="343"/>
      <c r="BI362" s="343"/>
      <c r="BJ362" s="24"/>
      <c r="BK362" s="3"/>
      <c r="BL362" s="3"/>
      <c r="BM362" s="24"/>
      <c r="BN362" s="3"/>
      <c r="BO362" s="3"/>
      <c r="BP362" s="3"/>
      <c r="BQ362" s="3"/>
      <c r="BR362" s="3"/>
      <c r="BS362" s="3"/>
      <c r="BT362" s="3"/>
      <c r="BU362" s="24"/>
      <c r="BV362" s="24"/>
      <c r="BW362" s="24"/>
      <c r="BX362" s="24"/>
      <c r="BY362" s="24"/>
      <c r="BZ362" s="3"/>
      <c r="CA362" s="3"/>
      <c r="CB362" s="24"/>
      <c r="CC362" s="24"/>
      <c r="CD362" s="24"/>
      <c r="CE362" s="24"/>
      <c r="CF362" s="24"/>
      <c r="CG362" s="24"/>
      <c r="CH362" s="24"/>
      <c r="CI362" s="3"/>
      <c r="CJ362" s="3"/>
      <c r="CK362" s="24"/>
      <c r="CL362" s="3"/>
      <c r="CM362" s="3"/>
      <c r="CN362" s="24"/>
      <c r="CO362" s="24"/>
      <c r="CP362" s="24"/>
      <c r="CQ362" s="24"/>
      <c r="CR362" s="24"/>
      <c r="CS362" s="3"/>
      <c r="CT362" s="3"/>
      <c r="CU362" s="3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3"/>
      <c r="DR362" s="24">
        <f>SUM(M362:DQ362)</f>
        <v>0</v>
      </c>
    </row>
    <row r="363" spans="1:125" x14ac:dyDescent="0.2">
      <c r="A363" s="7"/>
      <c r="E363" s="160"/>
      <c r="F363" s="33"/>
      <c r="G363" s="171">
        <f>SUM(G361:G362)</f>
        <v>0</v>
      </c>
      <c r="M363" s="3"/>
      <c r="N363" s="3"/>
      <c r="O363" s="24"/>
      <c r="P363" s="3"/>
      <c r="Q363" s="3"/>
      <c r="R363" s="24"/>
      <c r="S363" s="24"/>
      <c r="T363" s="3"/>
      <c r="U363" s="3"/>
      <c r="V363" s="3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3"/>
      <c r="AJ363" s="24"/>
      <c r="AK363" s="284"/>
      <c r="AL363" s="24"/>
      <c r="AM363" s="3"/>
      <c r="AN363" s="3"/>
      <c r="AO363" s="3"/>
      <c r="AP363" s="3"/>
      <c r="AQ363" s="3"/>
      <c r="AR363" s="3"/>
      <c r="AS363" s="24"/>
      <c r="AT363" s="24"/>
      <c r="AU363" s="24"/>
      <c r="AV363" s="24"/>
      <c r="AW363" s="24"/>
      <c r="AX363" s="24"/>
      <c r="AY363" s="3"/>
      <c r="AZ363" s="24"/>
      <c r="BA363" s="24"/>
      <c r="BB363" s="24"/>
      <c r="BC363" s="24"/>
      <c r="BD363" s="24"/>
      <c r="BE363" s="24"/>
      <c r="BF363" s="24"/>
      <c r="BG363" s="24"/>
      <c r="BH363" s="343"/>
      <c r="BI363" s="343"/>
      <c r="BJ363" s="24"/>
      <c r="BK363" s="3"/>
      <c r="BL363" s="3"/>
      <c r="BM363" s="24"/>
      <c r="BN363" s="3"/>
      <c r="BO363" s="3"/>
      <c r="BP363" s="3"/>
      <c r="BQ363" s="3"/>
      <c r="BR363" s="3"/>
      <c r="BS363" s="3"/>
      <c r="BT363" s="3"/>
      <c r="BU363" s="24"/>
      <c r="BV363" s="24"/>
      <c r="BW363" s="24"/>
      <c r="BX363" s="24"/>
      <c r="BY363" s="24"/>
      <c r="BZ363" s="3"/>
      <c r="CA363" s="3"/>
      <c r="CB363" s="24"/>
      <c r="CC363" s="24"/>
      <c r="CD363" s="24"/>
      <c r="CE363" s="24"/>
      <c r="CF363" s="24"/>
      <c r="CG363" s="24"/>
      <c r="CH363" s="24"/>
      <c r="CI363" s="3"/>
      <c r="CJ363" s="3"/>
      <c r="CK363" s="24"/>
      <c r="CL363" s="3"/>
      <c r="CM363" s="3"/>
      <c r="CN363" s="24"/>
      <c r="CO363" s="24"/>
      <c r="CP363" s="24"/>
      <c r="CQ363" s="24"/>
      <c r="CR363" s="24"/>
      <c r="CS363" s="3"/>
      <c r="CT363" s="3"/>
      <c r="CU363" s="3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3"/>
      <c r="DR363" s="24"/>
    </row>
    <row r="364" spans="1:125" x14ac:dyDescent="0.2">
      <c r="A364" s="7"/>
      <c r="E364" s="160"/>
      <c r="F364" s="33"/>
      <c r="G364" s="171"/>
      <c r="M364" s="3"/>
      <c r="N364" s="3"/>
      <c r="O364" s="24"/>
      <c r="P364" s="3"/>
      <c r="Q364" s="3"/>
      <c r="R364" s="24"/>
      <c r="S364" s="24"/>
      <c r="T364" s="3"/>
      <c r="U364" s="3"/>
      <c r="V364" s="3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3"/>
      <c r="AJ364" s="24"/>
      <c r="AK364" s="284"/>
      <c r="AL364" s="24"/>
      <c r="AM364" s="3"/>
      <c r="AN364" s="3"/>
      <c r="AO364" s="3"/>
      <c r="AP364" s="3"/>
      <c r="AQ364" s="3"/>
      <c r="AR364" s="3"/>
      <c r="AS364" s="24"/>
      <c r="AT364" s="24"/>
      <c r="AU364" s="24"/>
      <c r="AV364" s="24"/>
      <c r="AW364" s="24"/>
      <c r="AX364" s="24"/>
      <c r="AY364" s="3"/>
      <c r="AZ364" s="24"/>
      <c r="BA364" s="24"/>
      <c r="BB364" s="24"/>
      <c r="BC364" s="24"/>
      <c r="BD364" s="24"/>
      <c r="BE364" s="24"/>
      <c r="BF364" s="24"/>
      <c r="BG364" s="24"/>
      <c r="BH364" s="343"/>
      <c r="BI364" s="343"/>
      <c r="BJ364" s="24"/>
      <c r="BK364" s="3"/>
      <c r="BL364" s="3"/>
      <c r="BM364" s="24"/>
      <c r="BN364" s="3"/>
      <c r="BO364" s="3"/>
      <c r="BP364" s="3"/>
      <c r="BQ364" s="3"/>
      <c r="BR364" s="3"/>
      <c r="BS364" s="3"/>
      <c r="BT364" s="3"/>
      <c r="BU364" s="24"/>
      <c r="BV364" s="24"/>
      <c r="BW364" s="24"/>
      <c r="BX364" s="24"/>
      <c r="BY364" s="24"/>
      <c r="BZ364" s="3"/>
      <c r="CA364" s="3"/>
      <c r="CB364" s="24"/>
      <c r="CC364" s="24"/>
      <c r="CD364" s="24"/>
      <c r="CE364" s="24"/>
      <c r="CF364" s="24"/>
      <c r="CG364" s="24"/>
      <c r="CH364" s="24"/>
      <c r="CI364" s="3"/>
      <c r="CJ364" s="3"/>
      <c r="CK364" s="24"/>
      <c r="CL364" s="3"/>
      <c r="CM364" s="3"/>
      <c r="CN364" s="24"/>
      <c r="CO364" s="24"/>
      <c r="CP364" s="24"/>
      <c r="CQ364" s="24"/>
      <c r="CR364" s="24"/>
      <c r="CS364" s="3"/>
      <c r="CT364" s="3"/>
      <c r="CU364" s="3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3"/>
      <c r="DR364" s="24"/>
    </row>
    <row r="365" spans="1:125" s="170" customFormat="1" x14ac:dyDescent="0.2">
      <c r="A365" s="25"/>
      <c r="B365" s="170" t="s">
        <v>2916</v>
      </c>
      <c r="E365" s="149" t="s">
        <v>85</v>
      </c>
      <c r="G365" s="236">
        <v>2000000</v>
      </c>
      <c r="M365" s="236"/>
      <c r="N365" s="236"/>
      <c r="O365" s="237"/>
      <c r="P365" s="236"/>
      <c r="Q365" s="236"/>
      <c r="R365" s="237"/>
      <c r="S365" s="237"/>
      <c r="T365" s="236"/>
      <c r="U365" s="236"/>
      <c r="V365" s="236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37"/>
      <c r="AH365" s="237"/>
      <c r="AI365" s="236"/>
      <c r="AJ365" s="237"/>
      <c r="AK365" s="284"/>
      <c r="AL365" s="237"/>
      <c r="AM365" s="236"/>
      <c r="AN365" s="236"/>
      <c r="AO365" s="236"/>
      <c r="AP365" s="236"/>
      <c r="AQ365" s="236"/>
      <c r="AR365" s="236"/>
      <c r="AS365" s="237"/>
      <c r="AT365" s="237"/>
      <c r="AU365" s="237"/>
      <c r="AV365" s="237"/>
      <c r="AW365" s="237"/>
      <c r="AX365" s="237"/>
      <c r="AY365" s="236"/>
      <c r="AZ365" s="237"/>
      <c r="BA365" s="237"/>
      <c r="BB365" s="237"/>
      <c r="BC365" s="237"/>
      <c r="BD365" s="237"/>
      <c r="BE365" s="237"/>
      <c r="BF365" s="237"/>
      <c r="BG365" s="237"/>
      <c r="BH365" s="237"/>
      <c r="BI365" s="237"/>
      <c r="BJ365" s="237"/>
      <c r="BK365" s="236"/>
      <c r="BL365" s="236"/>
      <c r="BM365" s="237"/>
      <c r="BN365" s="236"/>
      <c r="BO365" s="236"/>
      <c r="BP365" s="236"/>
      <c r="BQ365" s="236"/>
      <c r="BR365" s="236"/>
      <c r="BS365" s="236"/>
      <c r="BT365" s="236"/>
      <c r="BU365" s="237"/>
      <c r="BV365" s="237"/>
      <c r="BW365" s="237"/>
      <c r="BX365" s="237"/>
      <c r="BY365" s="237"/>
      <c r="BZ365" s="236"/>
      <c r="CA365" s="236"/>
      <c r="CB365" s="237"/>
      <c r="CC365" s="237"/>
      <c r="CD365" s="237"/>
      <c r="CE365" s="237"/>
      <c r="CF365" s="237"/>
      <c r="CG365" s="237"/>
      <c r="CH365" s="237"/>
      <c r="CI365" s="236"/>
      <c r="CJ365" s="236"/>
      <c r="CK365" s="237"/>
      <c r="CL365" s="236"/>
      <c r="CM365" s="236"/>
      <c r="CN365" s="237"/>
      <c r="CO365" s="237"/>
      <c r="CP365" s="237"/>
      <c r="CQ365" s="237"/>
      <c r="CR365" s="237"/>
      <c r="CS365" s="236"/>
      <c r="CT365" s="236"/>
      <c r="CU365" s="236"/>
      <c r="CV365" s="237"/>
      <c r="CW365" s="237"/>
      <c r="CX365" s="237"/>
      <c r="CY365" s="237"/>
      <c r="CZ365" s="237"/>
      <c r="DA365" s="237"/>
      <c r="DB365" s="237"/>
      <c r="DC365" s="237"/>
      <c r="DD365" s="237"/>
      <c r="DE365" s="237"/>
      <c r="DF365" s="237"/>
      <c r="DG365" s="237"/>
      <c r="DH365" s="237"/>
      <c r="DI365" s="237"/>
      <c r="DJ365" s="237"/>
      <c r="DK365" s="237"/>
      <c r="DL365" s="237"/>
      <c r="DM365" s="237"/>
      <c r="DN365" s="237"/>
      <c r="DO365" s="237"/>
      <c r="DP365" s="237">
        <v>275000</v>
      </c>
      <c r="DQ365" s="236">
        <v>1725000</v>
      </c>
      <c r="DR365" s="237">
        <f>DP365+DQ365</f>
        <v>2000000</v>
      </c>
      <c r="DU365" s="344">
        <f>+DR365</f>
        <v>2000000</v>
      </c>
    </row>
    <row r="366" spans="1:125" x14ac:dyDescent="0.2">
      <c r="E366" s="160"/>
      <c r="F366" s="33"/>
      <c r="G366" s="171"/>
      <c r="M366" s="3"/>
      <c r="N366" s="3"/>
      <c r="O366" s="24"/>
      <c r="P366" s="3"/>
      <c r="Q366" s="3"/>
      <c r="R366" s="24"/>
      <c r="S366" s="24"/>
      <c r="T366" s="3"/>
      <c r="U366" s="3"/>
      <c r="V366" s="3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3"/>
      <c r="AJ366" s="24"/>
      <c r="AK366" s="284"/>
      <c r="AL366" s="24"/>
      <c r="AM366" s="3"/>
      <c r="AN366" s="3"/>
      <c r="AO366" s="3"/>
      <c r="AP366" s="3"/>
      <c r="AQ366" s="3"/>
      <c r="AR366" s="3"/>
      <c r="AS366" s="24"/>
      <c r="AT366" s="24"/>
      <c r="AU366" s="24"/>
      <c r="AV366" s="24"/>
      <c r="AW366" s="24"/>
      <c r="AX366" s="24"/>
      <c r="AY366" s="3"/>
      <c r="AZ366" s="24"/>
      <c r="BA366" s="24"/>
      <c r="BB366" s="24"/>
      <c r="BC366" s="24"/>
      <c r="BD366" s="24"/>
      <c r="BE366" s="24"/>
      <c r="BF366" s="24"/>
      <c r="BG366" s="24"/>
      <c r="BH366" s="343"/>
      <c r="BI366" s="343"/>
      <c r="BJ366" s="24"/>
      <c r="BK366" s="3"/>
      <c r="BL366" s="3"/>
      <c r="BM366" s="24"/>
      <c r="BN366" s="3"/>
      <c r="BO366" s="3"/>
      <c r="BP366" s="3"/>
      <c r="BQ366" s="3"/>
      <c r="BR366" s="3"/>
      <c r="BS366" s="3"/>
      <c r="BT366" s="3"/>
      <c r="BU366" s="24"/>
      <c r="BV366" s="24"/>
      <c r="BW366" s="24"/>
      <c r="BX366" s="24"/>
      <c r="BY366" s="24"/>
      <c r="BZ366" s="3"/>
      <c r="CA366" s="3"/>
      <c r="CB366" s="24"/>
      <c r="CC366" s="24"/>
      <c r="CD366" s="24"/>
      <c r="CE366" s="24"/>
      <c r="CF366" s="24"/>
      <c r="CG366" s="24"/>
      <c r="CH366" s="24"/>
      <c r="CI366" s="3"/>
      <c r="CJ366" s="3"/>
      <c r="CK366" s="24"/>
      <c r="CL366" s="3"/>
      <c r="CM366" s="3"/>
      <c r="CN366" s="24"/>
      <c r="CO366" s="24"/>
      <c r="CP366" s="24"/>
      <c r="CQ366" s="24"/>
      <c r="CR366" s="24"/>
      <c r="CS366" s="3"/>
      <c r="CT366" s="3"/>
      <c r="CU366" s="3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3"/>
      <c r="DR366" s="24"/>
      <c r="DS366" s="3"/>
    </row>
    <row r="367" spans="1:125" x14ac:dyDescent="0.2">
      <c r="E367" s="160"/>
      <c r="F367" s="33"/>
      <c r="G367" s="171"/>
      <c r="M367" s="3"/>
      <c r="N367" s="3"/>
      <c r="O367" s="24"/>
      <c r="P367" s="3"/>
      <c r="Q367" s="3"/>
      <c r="R367" s="24"/>
      <c r="S367" s="24"/>
      <c r="T367" s="3"/>
      <c r="U367" s="3"/>
      <c r="V367" s="3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3"/>
      <c r="AJ367" s="24"/>
      <c r="AK367" s="284"/>
      <c r="AL367" s="24"/>
      <c r="AM367" s="3"/>
      <c r="AN367" s="3"/>
      <c r="AO367" s="3"/>
      <c r="AP367" s="3"/>
      <c r="AQ367" s="3"/>
      <c r="AR367" s="3"/>
      <c r="AS367" s="24"/>
      <c r="AT367" s="24"/>
      <c r="AU367" s="24"/>
      <c r="AV367" s="24"/>
      <c r="AW367" s="24"/>
      <c r="AX367" s="24"/>
      <c r="AY367" s="3"/>
      <c r="AZ367" s="24"/>
      <c r="BA367" s="24"/>
      <c r="BB367" s="24"/>
      <c r="BC367" s="24"/>
      <c r="BD367" s="24"/>
      <c r="BE367" s="24"/>
      <c r="BF367" s="24"/>
      <c r="BG367" s="24"/>
      <c r="BH367" s="343"/>
      <c r="BI367" s="343"/>
      <c r="BJ367" s="24"/>
      <c r="BK367" s="3"/>
      <c r="BL367" s="3"/>
      <c r="BM367" s="24"/>
      <c r="BN367" s="3"/>
      <c r="BO367" s="3"/>
      <c r="BP367" s="3"/>
      <c r="BQ367" s="3"/>
      <c r="BR367" s="3"/>
      <c r="BS367" s="3"/>
      <c r="BT367" s="3"/>
      <c r="BU367" s="24"/>
      <c r="BV367" s="24"/>
      <c r="BW367" s="24"/>
      <c r="BX367" s="24"/>
      <c r="BY367" s="24"/>
      <c r="BZ367" s="3"/>
      <c r="CA367" s="3"/>
      <c r="CB367" s="24"/>
      <c r="CC367" s="24"/>
      <c r="CD367" s="24"/>
      <c r="CE367" s="24"/>
      <c r="CF367" s="24"/>
      <c r="CG367" s="24"/>
      <c r="CH367" s="24"/>
      <c r="CI367" s="3"/>
      <c r="CJ367" s="3"/>
      <c r="CK367" s="24"/>
      <c r="CL367" s="3"/>
      <c r="CM367" s="3"/>
      <c r="CN367" s="24"/>
      <c r="CO367" s="24"/>
      <c r="CP367" s="24"/>
      <c r="CQ367" s="24"/>
      <c r="CR367" s="24"/>
      <c r="CS367" s="3"/>
      <c r="CT367" s="3"/>
      <c r="CU367" s="3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3"/>
      <c r="DR367" s="24"/>
    </row>
    <row r="368" spans="1:125" x14ac:dyDescent="0.2">
      <c r="E368" s="159" t="s">
        <v>342</v>
      </c>
      <c r="F368" s="33"/>
      <c r="G368" s="171" t="s">
        <v>342</v>
      </c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8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343"/>
      <c r="BI368" s="343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 t="str">
        <f>G368</f>
        <v xml:space="preserve"> </v>
      </c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</row>
    <row r="369" spans="1:134" ht="15.75" thickBot="1" x14ac:dyDescent="0.25">
      <c r="E369" s="160" t="s">
        <v>86</v>
      </c>
      <c r="F369" s="33"/>
      <c r="G369" s="238">
        <f>G224+G89+G363+G307+G352+G365+G354</f>
        <v>15490508.800000001</v>
      </c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 t="s">
        <v>342</v>
      </c>
      <c r="AF369" s="24"/>
      <c r="AG369" s="24"/>
      <c r="AH369" s="24"/>
      <c r="AI369" s="24"/>
      <c r="AJ369" s="24"/>
      <c r="AK369" s="28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343"/>
      <c r="BI369" s="343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 t="s">
        <v>342</v>
      </c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 t="s">
        <v>342</v>
      </c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>
        <f>SUM(DR8:DR368)</f>
        <v>15365508.83</v>
      </c>
      <c r="DU369" s="3">
        <f>SUM(DU8:DU368)</f>
        <v>15410762.380000001</v>
      </c>
    </row>
    <row r="370" spans="1:134" ht="15.75" thickTop="1" x14ac:dyDescent="0.2">
      <c r="E370" s="218" t="s">
        <v>342</v>
      </c>
      <c r="G370" s="24" t="s">
        <v>365</v>
      </c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8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343"/>
      <c r="BI370" s="343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 t="s">
        <v>342</v>
      </c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</row>
    <row r="371" spans="1:134" x14ac:dyDescent="0.2">
      <c r="E371" s="218" t="s">
        <v>342</v>
      </c>
      <c r="G371" s="24" t="s">
        <v>342</v>
      </c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8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 t="s">
        <v>342</v>
      </c>
      <c r="BA371" s="24"/>
      <c r="BB371" s="24"/>
      <c r="BC371" s="24"/>
      <c r="BD371" s="24"/>
      <c r="BE371" s="24"/>
      <c r="BF371" s="24"/>
      <c r="BG371" s="24"/>
      <c r="BH371" s="343"/>
      <c r="BI371" s="343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</row>
    <row r="372" spans="1:134" x14ac:dyDescent="0.2">
      <c r="E372" s="239"/>
      <c r="G372" s="24"/>
      <c r="H372" s="24"/>
      <c r="I372" s="24"/>
      <c r="J372" s="24"/>
      <c r="K372" s="24"/>
      <c r="L372" s="24"/>
      <c r="M372" s="24">
        <f t="shared" ref="M372:AR372" si="59">SUM(M8:M371)</f>
        <v>150329.04</v>
      </c>
      <c r="N372" s="24">
        <f t="shared" si="59"/>
        <v>102644.52</v>
      </c>
      <c r="O372" s="24">
        <f t="shared" si="59"/>
        <v>343126.24</v>
      </c>
      <c r="P372" s="24">
        <f t="shared" si="59"/>
        <v>63116.02</v>
      </c>
      <c r="Q372" s="24">
        <f t="shared" si="59"/>
        <v>78889.460000000006</v>
      </c>
      <c r="R372" s="24">
        <f t="shared" si="59"/>
        <v>215734.71</v>
      </c>
      <c r="S372" s="24">
        <f t="shared" si="59"/>
        <v>103684.01</v>
      </c>
      <c r="T372" s="24">
        <f t="shared" si="59"/>
        <v>99846.14</v>
      </c>
      <c r="U372" s="24">
        <f t="shared" si="59"/>
        <v>185093.16</v>
      </c>
      <c r="V372" s="24">
        <f t="shared" si="59"/>
        <v>75681.13</v>
      </c>
      <c r="W372" s="24">
        <f t="shared" si="59"/>
        <v>95600.14</v>
      </c>
      <c r="X372" s="24">
        <f t="shared" si="59"/>
        <v>256499.67</v>
      </c>
      <c r="Y372" s="24">
        <f t="shared" si="59"/>
        <v>41307.96</v>
      </c>
      <c r="Z372" s="24">
        <f t="shared" si="59"/>
        <v>68285.759999999995</v>
      </c>
      <c r="AA372" s="24">
        <f t="shared" si="59"/>
        <v>0</v>
      </c>
      <c r="AB372" s="24">
        <f t="shared" si="59"/>
        <v>32471.279999999999</v>
      </c>
      <c r="AC372" s="24">
        <f t="shared" si="59"/>
        <v>40947.480000000003</v>
      </c>
      <c r="AD372" s="24">
        <f t="shared" si="59"/>
        <v>43577.04</v>
      </c>
      <c r="AE372" s="24">
        <f t="shared" si="59"/>
        <v>40947.599999999999</v>
      </c>
      <c r="AF372" s="24">
        <f t="shared" si="59"/>
        <v>89452.62</v>
      </c>
      <c r="AG372" s="24">
        <f t="shared" si="59"/>
        <v>0</v>
      </c>
      <c r="AH372" s="24">
        <f t="shared" si="59"/>
        <v>70331.460000000006</v>
      </c>
      <c r="AI372" s="24">
        <f t="shared" si="59"/>
        <v>0</v>
      </c>
      <c r="AJ372" s="24">
        <f t="shared" si="59"/>
        <v>198458.04</v>
      </c>
      <c r="AK372" s="284">
        <f t="shared" si="59"/>
        <v>0</v>
      </c>
      <c r="AL372" s="24">
        <f t="shared" si="59"/>
        <v>28789.53</v>
      </c>
      <c r="AM372" s="24">
        <f t="shared" si="59"/>
        <v>0</v>
      </c>
      <c r="AN372" s="24">
        <f t="shared" si="59"/>
        <v>7060.39</v>
      </c>
      <c r="AO372" s="24">
        <f t="shared" si="59"/>
        <v>139745.22</v>
      </c>
      <c r="AP372" s="24">
        <f t="shared" si="59"/>
        <v>81411.14</v>
      </c>
      <c r="AQ372" s="24">
        <f t="shared" si="59"/>
        <v>0</v>
      </c>
      <c r="AR372" s="24">
        <f t="shared" si="59"/>
        <v>53981.88</v>
      </c>
      <c r="AS372" s="24">
        <f t="shared" ref="AS372:BX372" si="60">SUM(AS8:AS371)</f>
        <v>117813.96</v>
      </c>
      <c r="AT372" s="24">
        <f t="shared" si="60"/>
        <v>30480.03</v>
      </c>
      <c r="AU372" s="24">
        <f t="shared" si="60"/>
        <v>58095.88</v>
      </c>
      <c r="AV372" s="24">
        <f t="shared" si="60"/>
        <v>27025.14</v>
      </c>
      <c r="AW372" s="24">
        <f t="shared" si="60"/>
        <v>25749.96</v>
      </c>
      <c r="AX372" s="24">
        <f t="shared" si="60"/>
        <v>0</v>
      </c>
      <c r="AY372" s="24">
        <f t="shared" si="60"/>
        <v>146555.1</v>
      </c>
      <c r="AZ372" s="24">
        <f t="shared" si="60"/>
        <v>3701869.33</v>
      </c>
      <c r="BA372" s="24">
        <f t="shared" si="60"/>
        <v>40000</v>
      </c>
      <c r="BB372" s="24">
        <f t="shared" si="60"/>
        <v>60000</v>
      </c>
      <c r="BC372" s="24">
        <f t="shared" si="60"/>
        <v>137922.44</v>
      </c>
      <c r="BD372" s="24">
        <f t="shared" si="60"/>
        <v>189607.11</v>
      </c>
      <c r="BE372" s="24">
        <f t="shared" si="60"/>
        <v>141130.56</v>
      </c>
      <c r="BF372" s="24">
        <f t="shared" si="60"/>
        <v>157467.32999999999</v>
      </c>
      <c r="BG372" s="24">
        <f t="shared" si="60"/>
        <v>81037.83</v>
      </c>
      <c r="BH372" s="343">
        <f t="shared" si="60"/>
        <v>43577.04</v>
      </c>
      <c r="BI372" s="343">
        <f t="shared" si="60"/>
        <v>39690.239999999998</v>
      </c>
      <c r="BJ372" s="24">
        <f t="shared" si="60"/>
        <v>30820.57</v>
      </c>
      <c r="BK372" s="24">
        <f t="shared" si="60"/>
        <v>241385.04</v>
      </c>
      <c r="BL372" s="24">
        <f t="shared" si="60"/>
        <v>203947.72</v>
      </c>
      <c r="BM372" s="24">
        <f t="shared" si="60"/>
        <v>27938.79</v>
      </c>
      <c r="BN372" s="24">
        <f t="shared" si="60"/>
        <v>25924.07</v>
      </c>
      <c r="BO372" s="24">
        <f t="shared" si="60"/>
        <v>26347.439999999999</v>
      </c>
      <c r="BP372" s="24">
        <f t="shared" si="60"/>
        <v>0</v>
      </c>
      <c r="BQ372" s="24">
        <f t="shared" si="60"/>
        <v>25498.68</v>
      </c>
      <c r="BR372" s="24">
        <f t="shared" si="60"/>
        <v>31095</v>
      </c>
      <c r="BS372" s="24">
        <f t="shared" si="60"/>
        <v>0</v>
      </c>
      <c r="BT372" s="24">
        <f t="shared" si="60"/>
        <v>0</v>
      </c>
      <c r="BU372" s="24">
        <f t="shared" si="60"/>
        <v>1687220.57</v>
      </c>
      <c r="BV372" s="24">
        <f t="shared" si="60"/>
        <v>26833.759999999998</v>
      </c>
      <c r="BW372" s="24">
        <f t="shared" si="60"/>
        <v>17650.98</v>
      </c>
      <c r="BX372" s="24">
        <f t="shared" si="60"/>
        <v>60123.91</v>
      </c>
      <c r="BY372" s="24">
        <f t="shared" ref="BY372:DD372" si="61">SUM(BY8:BY371)</f>
        <v>79169.100000000006</v>
      </c>
      <c r="BZ372" s="24">
        <f t="shared" si="61"/>
        <v>84297.11</v>
      </c>
      <c r="CA372" s="24">
        <f t="shared" si="61"/>
        <v>179098.74</v>
      </c>
      <c r="CB372" s="24">
        <f t="shared" si="61"/>
        <v>0</v>
      </c>
      <c r="CC372" s="24">
        <f t="shared" si="61"/>
        <v>0</v>
      </c>
      <c r="CD372" s="24">
        <f t="shared" si="61"/>
        <v>0</v>
      </c>
      <c r="CE372" s="24">
        <f t="shared" si="61"/>
        <v>30063.03</v>
      </c>
      <c r="CF372" s="24">
        <f t="shared" si="61"/>
        <v>28894.77</v>
      </c>
      <c r="CG372" s="24">
        <f t="shared" si="61"/>
        <v>36710.400000000001</v>
      </c>
      <c r="CH372" s="24">
        <f t="shared" si="61"/>
        <v>242351.12</v>
      </c>
      <c r="CI372" s="24">
        <f t="shared" si="61"/>
        <v>54499.32</v>
      </c>
      <c r="CJ372" s="24">
        <f t="shared" si="61"/>
        <v>25709.79</v>
      </c>
      <c r="CK372" s="24">
        <f t="shared" si="61"/>
        <v>406943.2</v>
      </c>
      <c r="CL372" s="24">
        <f t="shared" si="61"/>
        <v>74878.100000000006</v>
      </c>
      <c r="CM372" s="24">
        <f t="shared" si="61"/>
        <v>0</v>
      </c>
      <c r="CN372" s="24">
        <f t="shared" si="61"/>
        <v>170350.71</v>
      </c>
      <c r="CO372" s="24">
        <f t="shared" si="61"/>
        <v>0</v>
      </c>
      <c r="CP372" s="24">
        <f t="shared" si="61"/>
        <v>183759.42</v>
      </c>
      <c r="CQ372" s="24">
        <f t="shared" si="61"/>
        <v>0</v>
      </c>
      <c r="CR372" s="24">
        <f t="shared" si="61"/>
        <v>901.88</v>
      </c>
      <c r="CS372" s="24">
        <f t="shared" si="61"/>
        <v>116873.69</v>
      </c>
      <c r="CT372" s="24">
        <f t="shared" si="61"/>
        <v>0</v>
      </c>
      <c r="CU372" s="24">
        <f t="shared" si="61"/>
        <v>47147.519999999997</v>
      </c>
      <c r="CV372" s="24">
        <f t="shared" si="61"/>
        <v>57744.72</v>
      </c>
      <c r="CW372" s="24">
        <f t="shared" si="61"/>
        <v>65576.06</v>
      </c>
      <c r="CX372" s="24">
        <f t="shared" si="61"/>
        <v>113775.96</v>
      </c>
      <c r="CY372" s="24">
        <f t="shared" si="61"/>
        <v>301084.23</v>
      </c>
      <c r="CZ372" s="24">
        <f t="shared" si="61"/>
        <v>213789.58</v>
      </c>
      <c r="DA372" s="24">
        <f t="shared" si="61"/>
        <v>93430.06</v>
      </c>
      <c r="DB372" s="24">
        <f t="shared" si="61"/>
        <v>97864.83</v>
      </c>
      <c r="DC372" s="24">
        <f t="shared" si="61"/>
        <v>99064.57</v>
      </c>
      <c r="DD372" s="24">
        <f t="shared" si="61"/>
        <v>116078.46</v>
      </c>
      <c r="DE372" s="24">
        <f t="shared" ref="DE372:DQ372" si="62">SUM(DE8:DE371)</f>
        <v>0</v>
      </c>
      <c r="DF372" s="24">
        <f t="shared" si="62"/>
        <v>5460.74</v>
      </c>
      <c r="DG372" s="24">
        <f t="shared" si="62"/>
        <v>18239.900000000001</v>
      </c>
      <c r="DH372" s="24">
        <f t="shared" si="62"/>
        <v>0</v>
      </c>
      <c r="DI372" s="24">
        <f t="shared" si="62"/>
        <v>124169.37</v>
      </c>
      <c r="DJ372" s="24">
        <f t="shared" si="62"/>
        <v>0</v>
      </c>
      <c r="DK372" s="24">
        <f t="shared" si="62"/>
        <v>0</v>
      </c>
      <c r="DL372" s="24">
        <f t="shared" si="62"/>
        <v>0</v>
      </c>
      <c r="DM372" s="24">
        <f t="shared" si="62"/>
        <v>35480.04</v>
      </c>
      <c r="DN372" s="24">
        <f t="shared" si="62"/>
        <v>0</v>
      </c>
      <c r="DO372" s="24">
        <f t="shared" si="62"/>
        <v>152282.29</v>
      </c>
      <c r="DP372" s="24">
        <f t="shared" si="62"/>
        <v>275000</v>
      </c>
      <c r="DQ372" s="24">
        <f t="shared" si="62"/>
        <v>1725000</v>
      </c>
      <c r="DR372" s="24">
        <f>SUM(M372:DQ372)</f>
        <v>15365508.83</v>
      </c>
      <c r="DS372" s="3"/>
      <c r="DU372" s="3">
        <f>+DU369-DU354</f>
        <v>15285762.380000001</v>
      </c>
    </row>
    <row r="373" spans="1:134" x14ac:dyDescent="0.2">
      <c r="G373" s="24"/>
      <c r="H373" s="24"/>
      <c r="I373" s="24"/>
      <c r="J373" s="24"/>
      <c r="K373" s="24"/>
      <c r="L373" s="24"/>
      <c r="M373" s="24"/>
      <c r="O373" s="24"/>
      <c r="R373" s="24"/>
      <c r="S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J373" s="24"/>
      <c r="AK373" s="284"/>
      <c r="AL373" s="24"/>
      <c r="AM373" s="24"/>
      <c r="AN373" s="24"/>
      <c r="AS373" s="24"/>
      <c r="AT373" s="24"/>
      <c r="AU373" s="24"/>
      <c r="AV373" s="24"/>
      <c r="AW373" s="24"/>
      <c r="AX373" s="24"/>
      <c r="AZ373" s="24"/>
      <c r="BA373" s="24"/>
      <c r="BB373" s="24"/>
      <c r="BC373" s="24"/>
      <c r="BD373" s="24"/>
      <c r="BE373" s="24"/>
      <c r="BF373" s="24"/>
      <c r="BG373" s="24"/>
      <c r="BH373" s="343"/>
      <c r="BI373" s="343"/>
      <c r="BJ373" s="24"/>
      <c r="BM373" s="24"/>
      <c r="BS373" s="24"/>
      <c r="BT373" s="24"/>
      <c r="BU373" s="24"/>
      <c r="BV373" s="24"/>
      <c r="BW373" s="24"/>
      <c r="BX373" s="24"/>
      <c r="BY373" s="24"/>
      <c r="CB373" s="24"/>
      <c r="CC373" s="24"/>
      <c r="CD373" s="24"/>
      <c r="CE373" s="24"/>
      <c r="CF373" s="24"/>
      <c r="CG373" s="24"/>
      <c r="CH373" s="24"/>
      <c r="CK373" s="24"/>
      <c r="CL373" s="24"/>
      <c r="CM373" s="24"/>
      <c r="CN373" s="24"/>
      <c r="CO373" s="24"/>
      <c r="CP373" s="24"/>
      <c r="CQ373" s="24"/>
      <c r="CR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</row>
    <row r="374" spans="1:134" x14ac:dyDescent="0.2">
      <c r="E374" s="1"/>
      <c r="G374" s="24"/>
      <c r="H374" s="24"/>
      <c r="I374" s="24"/>
      <c r="J374" s="24"/>
      <c r="K374" s="24"/>
      <c r="L374" s="24"/>
      <c r="M374" s="24"/>
      <c r="O374" s="24"/>
      <c r="R374" s="24"/>
      <c r="S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J374" s="24"/>
      <c r="AK374" s="284"/>
      <c r="AL374" s="24"/>
      <c r="AM374" s="24"/>
      <c r="AN374" s="24"/>
      <c r="AS374" s="24"/>
      <c r="AT374" s="24"/>
      <c r="AU374" s="24"/>
      <c r="AV374" s="24"/>
      <c r="AW374" s="24"/>
      <c r="AX374" s="24"/>
      <c r="AZ374" s="24"/>
      <c r="BA374" s="24"/>
      <c r="BB374" s="24"/>
      <c r="BC374" s="24"/>
      <c r="BD374" s="24"/>
      <c r="BE374" s="24"/>
      <c r="BF374" s="24"/>
      <c r="BG374" s="24"/>
      <c r="BH374" s="343"/>
      <c r="BI374" s="343"/>
      <c r="BJ374" s="24"/>
      <c r="BM374" s="24"/>
      <c r="BS374" s="24"/>
      <c r="BT374" s="24"/>
      <c r="BU374" s="24"/>
      <c r="BV374" s="24"/>
      <c r="BW374" s="24"/>
      <c r="BX374" s="24"/>
      <c r="BY374" s="24"/>
      <c r="CB374" s="24"/>
      <c r="CC374" s="24"/>
      <c r="CD374" s="24"/>
      <c r="CE374" s="24"/>
      <c r="CF374" s="24"/>
      <c r="CG374" s="24"/>
      <c r="CH374" s="24"/>
      <c r="CK374" s="24"/>
      <c r="CL374" s="24"/>
      <c r="CM374" s="24"/>
      <c r="CN374" s="24"/>
      <c r="CO374" s="24"/>
      <c r="CP374" s="24"/>
      <c r="CQ374" s="24"/>
      <c r="CR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</row>
    <row r="375" spans="1:134" s="33" customFormat="1" x14ac:dyDescent="0.2">
      <c r="A375" s="25"/>
      <c r="E375" s="240"/>
      <c r="F375" s="171"/>
      <c r="G375" s="134">
        <v>1.2E-2</v>
      </c>
      <c r="H375" s="171"/>
      <c r="I375" s="171"/>
      <c r="J375" s="171"/>
      <c r="K375" s="171"/>
      <c r="L375" s="256"/>
      <c r="M375" s="171">
        <f>+M372*$G$375</f>
        <v>1803.95</v>
      </c>
      <c r="N375" s="171">
        <f t="shared" ref="N375:CC375" si="63">+N372*$G$375</f>
        <v>1231.73</v>
      </c>
      <c r="O375" s="171">
        <f t="shared" si="63"/>
        <v>4117.51</v>
      </c>
      <c r="P375" s="171">
        <f>+P372*$G$375</f>
        <v>757.39</v>
      </c>
      <c r="Q375" s="171">
        <f t="shared" si="63"/>
        <v>946.67</v>
      </c>
      <c r="R375" s="171">
        <f t="shared" si="63"/>
        <v>2588.8200000000002</v>
      </c>
      <c r="S375" s="171">
        <f t="shared" si="63"/>
        <v>1244.21</v>
      </c>
      <c r="T375" s="171">
        <f t="shared" si="63"/>
        <v>1198.1500000000001</v>
      </c>
      <c r="U375" s="171">
        <f t="shared" si="63"/>
        <v>2221.12</v>
      </c>
      <c r="V375" s="171">
        <f t="shared" si="63"/>
        <v>908.17</v>
      </c>
      <c r="W375" s="171">
        <f t="shared" si="63"/>
        <v>1147.2</v>
      </c>
      <c r="X375" s="171">
        <f t="shared" si="63"/>
        <v>3078</v>
      </c>
      <c r="Y375" s="171">
        <f t="shared" si="63"/>
        <v>495.7</v>
      </c>
      <c r="Z375" s="171">
        <f t="shared" si="63"/>
        <v>819.43</v>
      </c>
      <c r="AA375" s="171">
        <f t="shared" si="63"/>
        <v>0</v>
      </c>
      <c r="AB375" s="171">
        <f t="shared" si="63"/>
        <v>389.66</v>
      </c>
      <c r="AC375" s="171">
        <f t="shared" si="63"/>
        <v>491.37</v>
      </c>
      <c r="AD375" s="171">
        <f t="shared" si="63"/>
        <v>522.91999999999996</v>
      </c>
      <c r="AE375" s="171">
        <f t="shared" si="63"/>
        <v>491.37</v>
      </c>
      <c r="AF375" s="171">
        <f t="shared" si="63"/>
        <v>1073.43</v>
      </c>
      <c r="AG375" s="171">
        <f t="shared" si="63"/>
        <v>0</v>
      </c>
      <c r="AH375" s="171">
        <f t="shared" si="63"/>
        <v>843.98</v>
      </c>
      <c r="AI375" s="171">
        <f t="shared" si="63"/>
        <v>0</v>
      </c>
      <c r="AJ375" s="171">
        <f t="shared" si="63"/>
        <v>2381.5</v>
      </c>
      <c r="AK375" s="284">
        <f t="shared" si="63"/>
        <v>0</v>
      </c>
      <c r="AL375" s="171">
        <f t="shared" si="63"/>
        <v>345.47</v>
      </c>
      <c r="AM375" s="171">
        <f t="shared" si="63"/>
        <v>0</v>
      </c>
      <c r="AN375" s="171">
        <f t="shared" si="63"/>
        <v>84.72</v>
      </c>
      <c r="AO375" s="171">
        <f t="shared" si="63"/>
        <v>1676.94</v>
      </c>
      <c r="AP375" s="256">
        <f t="shared" ref="AP375" si="64">+AP372*$G$375</f>
        <v>976.93</v>
      </c>
      <c r="AQ375" s="171">
        <f t="shared" si="63"/>
        <v>0</v>
      </c>
      <c r="AR375" s="171">
        <f t="shared" si="63"/>
        <v>647.78</v>
      </c>
      <c r="AS375" s="171">
        <f t="shared" si="63"/>
        <v>1413.77</v>
      </c>
      <c r="AT375" s="256">
        <f t="shared" si="63"/>
        <v>365.76</v>
      </c>
      <c r="AU375" s="171">
        <f t="shared" si="63"/>
        <v>697.15</v>
      </c>
      <c r="AV375" s="171">
        <f t="shared" si="63"/>
        <v>324.3</v>
      </c>
      <c r="AW375" s="171">
        <f t="shared" si="63"/>
        <v>309</v>
      </c>
      <c r="AX375" s="171">
        <f t="shared" si="63"/>
        <v>0</v>
      </c>
      <c r="AY375" s="171">
        <f t="shared" si="63"/>
        <v>1758.66</v>
      </c>
      <c r="AZ375" s="171">
        <f t="shared" si="63"/>
        <v>44422.43</v>
      </c>
      <c r="BA375" s="171">
        <f t="shared" si="63"/>
        <v>480</v>
      </c>
      <c r="BB375" s="171">
        <f t="shared" si="63"/>
        <v>720</v>
      </c>
      <c r="BC375" s="171">
        <f t="shared" si="63"/>
        <v>1655.07</v>
      </c>
      <c r="BD375" s="171">
        <f t="shared" si="63"/>
        <v>2275.29</v>
      </c>
      <c r="BE375" s="171">
        <f t="shared" si="63"/>
        <v>1693.57</v>
      </c>
      <c r="BF375" s="171">
        <f t="shared" si="63"/>
        <v>1889.61</v>
      </c>
      <c r="BG375" s="171">
        <f t="shared" si="63"/>
        <v>972.45</v>
      </c>
      <c r="BH375" s="256">
        <f t="shared" ref="BH375:BI375" si="65">+BH372*$G$375</f>
        <v>522.91999999999996</v>
      </c>
      <c r="BI375" s="256">
        <f t="shared" si="65"/>
        <v>476.28</v>
      </c>
      <c r="BJ375" s="171">
        <f t="shared" si="63"/>
        <v>369.85</v>
      </c>
      <c r="BK375" s="171">
        <f t="shared" si="63"/>
        <v>2896.62</v>
      </c>
      <c r="BL375" s="171">
        <f t="shared" si="63"/>
        <v>2447.37</v>
      </c>
      <c r="BM375" s="171">
        <f t="shared" si="63"/>
        <v>335.27</v>
      </c>
      <c r="BN375" s="171">
        <f t="shared" si="63"/>
        <v>311.08999999999997</v>
      </c>
      <c r="BO375" s="171">
        <f t="shared" si="63"/>
        <v>316.17</v>
      </c>
      <c r="BP375" s="171">
        <f t="shared" si="63"/>
        <v>0</v>
      </c>
      <c r="BQ375" s="171">
        <f t="shared" si="63"/>
        <v>305.98</v>
      </c>
      <c r="BR375" s="171">
        <f t="shared" si="63"/>
        <v>373.14</v>
      </c>
      <c r="BS375" s="171">
        <f t="shared" si="63"/>
        <v>0</v>
      </c>
      <c r="BT375" s="171">
        <f t="shared" si="63"/>
        <v>0</v>
      </c>
      <c r="BU375" s="171">
        <f t="shared" si="63"/>
        <v>20246.650000000001</v>
      </c>
      <c r="BV375" s="171">
        <f t="shared" si="63"/>
        <v>322.01</v>
      </c>
      <c r="BW375" s="171">
        <f t="shared" si="63"/>
        <v>211.81</v>
      </c>
      <c r="BX375" s="171">
        <f t="shared" si="63"/>
        <v>721.49</v>
      </c>
      <c r="BY375" s="171">
        <f t="shared" si="63"/>
        <v>950.03</v>
      </c>
      <c r="BZ375" s="171">
        <f t="shared" si="63"/>
        <v>1011.57</v>
      </c>
      <c r="CA375" s="171">
        <f t="shared" si="63"/>
        <v>2149.1799999999998</v>
      </c>
      <c r="CB375" s="171">
        <f t="shared" si="63"/>
        <v>0</v>
      </c>
      <c r="CC375" s="171">
        <f t="shared" si="63"/>
        <v>0</v>
      </c>
      <c r="CD375" s="171">
        <f t="shared" ref="CD375:DO375" si="66">+CD372*$G$375</f>
        <v>0</v>
      </c>
      <c r="CE375" s="171">
        <f t="shared" si="66"/>
        <v>360.76</v>
      </c>
      <c r="CF375" s="171">
        <f t="shared" si="66"/>
        <v>346.74</v>
      </c>
      <c r="CG375" s="171">
        <f t="shared" si="66"/>
        <v>440.52</v>
      </c>
      <c r="CH375" s="171">
        <f t="shared" si="66"/>
        <v>2908.21</v>
      </c>
      <c r="CI375" s="171">
        <f t="shared" si="66"/>
        <v>653.99</v>
      </c>
      <c r="CJ375" s="171">
        <f t="shared" si="66"/>
        <v>308.52</v>
      </c>
      <c r="CK375" s="171">
        <f t="shared" si="66"/>
        <v>4883.32</v>
      </c>
      <c r="CL375" s="171">
        <f t="shared" si="66"/>
        <v>898.54</v>
      </c>
      <c r="CM375" s="171">
        <f t="shared" si="66"/>
        <v>0</v>
      </c>
      <c r="CN375" s="171">
        <f t="shared" si="66"/>
        <v>2044.21</v>
      </c>
      <c r="CO375" s="171">
        <f t="shared" si="66"/>
        <v>0</v>
      </c>
      <c r="CP375" s="171">
        <f t="shared" si="66"/>
        <v>2205.11</v>
      </c>
      <c r="CQ375" s="171">
        <v>0</v>
      </c>
      <c r="CR375" s="171">
        <f t="shared" si="66"/>
        <v>10.82</v>
      </c>
      <c r="CS375" s="171">
        <f t="shared" si="66"/>
        <v>1402.48</v>
      </c>
      <c r="CT375" s="171">
        <f t="shared" si="66"/>
        <v>0</v>
      </c>
      <c r="CU375" s="171">
        <f t="shared" si="66"/>
        <v>565.77</v>
      </c>
      <c r="CV375" s="171">
        <f t="shared" si="66"/>
        <v>692.94</v>
      </c>
      <c r="CW375" s="171">
        <f t="shared" si="66"/>
        <v>786.91</v>
      </c>
      <c r="CX375" s="171">
        <f t="shared" si="66"/>
        <v>1365.31</v>
      </c>
      <c r="CY375" s="171">
        <f t="shared" si="66"/>
        <v>3613.01</v>
      </c>
      <c r="CZ375" s="171">
        <f t="shared" si="66"/>
        <v>2565.4699999999998</v>
      </c>
      <c r="DA375" s="171">
        <f t="shared" si="66"/>
        <v>1121.1600000000001</v>
      </c>
      <c r="DB375" s="171">
        <f t="shared" si="66"/>
        <v>1174.3800000000001</v>
      </c>
      <c r="DC375" s="171">
        <f t="shared" si="66"/>
        <v>1188.77</v>
      </c>
      <c r="DD375" s="171">
        <f t="shared" si="66"/>
        <v>1392.94</v>
      </c>
      <c r="DE375" s="171">
        <f t="shared" si="66"/>
        <v>0</v>
      </c>
      <c r="DF375" s="171">
        <f t="shared" si="66"/>
        <v>65.53</v>
      </c>
      <c r="DG375" s="171">
        <f t="shared" si="66"/>
        <v>218.88</v>
      </c>
      <c r="DH375" s="171">
        <f t="shared" si="66"/>
        <v>0</v>
      </c>
      <c r="DI375" s="171">
        <f t="shared" si="66"/>
        <v>1490.03</v>
      </c>
      <c r="DJ375" s="171">
        <f t="shared" si="66"/>
        <v>0</v>
      </c>
      <c r="DK375" s="171">
        <f t="shared" si="66"/>
        <v>0</v>
      </c>
      <c r="DL375" s="171">
        <f t="shared" si="66"/>
        <v>0</v>
      </c>
      <c r="DM375" s="171">
        <f t="shared" si="66"/>
        <v>425.76</v>
      </c>
      <c r="DN375" s="171">
        <f t="shared" si="66"/>
        <v>0</v>
      </c>
      <c r="DO375" s="171">
        <f t="shared" si="66"/>
        <v>1827.39</v>
      </c>
      <c r="DP375" s="171">
        <v>0</v>
      </c>
      <c r="DQ375" s="171">
        <v>0</v>
      </c>
      <c r="DR375" s="24">
        <f>SUM(M375:DQ375)</f>
        <v>160386.07999999999</v>
      </c>
      <c r="DS375" s="26"/>
      <c r="DU375" s="256">
        <f>(+DU372-DU365)*G375</f>
        <v>159429.15</v>
      </c>
    </row>
    <row r="376" spans="1:134" x14ac:dyDescent="0.2">
      <c r="G376" s="7" t="s">
        <v>342</v>
      </c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8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343"/>
      <c r="BI376" s="343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</row>
    <row r="377" spans="1:134" x14ac:dyDescent="0.2"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8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343"/>
      <c r="BI377" s="343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</row>
    <row r="378" spans="1:134" x14ac:dyDescent="0.2">
      <c r="E378" s="218" t="s">
        <v>2937</v>
      </c>
      <c r="G378" s="24">
        <f>+DR378</f>
        <v>15525894.91</v>
      </c>
      <c r="H378" s="24"/>
      <c r="I378" s="24"/>
      <c r="J378" s="24"/>
      <c r="K378" s="24"/>
      <c r="L378" s="24"/>
      <c r="M378" s="171">
        <f t="shared" ref="M378:CR378" si="67">M372+M375</f>
        <v>152132.99</v>
      </c>
      <c r="N378" s="171">
        <f t="shared" si="67"/>
        <v>103876.25</v>
      </c>
      <c r="O378" s="171">
        <f t="shared" si="67"/>
        <v>347243.75</v>
      </c>
      <c r="P378" s="171">
        <f t="shared" si="67"/>
        <v>63873.41</v>
      </c>
      <c r="Q378" s="171">
        <f t="shared" si="67"/>
        <v>79836.13</v>
      </c>
      <c r="R378" s="171">
        <f t="shared" si="67"/>
        <v>218323.53</v>
      </c>
      <c r="S378" s="171">
        <f t="shared" si="67"/>
        <v>104928.22</v>
      </c>
      <c r="T378" s="171">
        <f t="shared" si="67"/>
        <v>101044.29</v>
      </c>
      <c r="U378" s="171">
        <f t="shared" si="67"/>
        <v>187314.28</v>
      </c>
      <c r="V378" s="171">
        <f t="shared" si="67"/>
        <v>76589.3</v>
      </c>
      <c r="W378" s="171">
        <f t="shared" si="67"/>
        <v>96747.34</v>
      </c>
      <c r="X378" s="171">
        <f t="shared" si="67"/>
        <v>259577.67</v>
      </c>
      <c r="Y378" s="171">
        <f t="shared" si="67"/>
        <v>41803.660000000003</v>
      </c>
      <c r="Z378" s="171">
        <f t="shared" si="67"/>
        <v>69105.19</v>
      </c>
      <c r="AA378" s="171">
        <f t="shared" si="67"/>
        <v>0</v>
      </c>
      <c r="AB378" s="171">
        <f t="shared" si="67"/>
        <v>32860.94</v>
      </c>
      <c r="AC378" s="171">
        <f t="shared" si="67"/>
        <v>41438.85</v>
      </c>
      <c r="AD378" s="171">
        <f t="shared" si="67"/>
        <v>44099.96</v>
      </c>
      <c r="AE378" s="171">
        <f t="shared" si="67"/>
        <v>41438.97</v>
      </c>
      <c r="AF378" s="171">
        <f t="shared" si="67"/>
        <v>90526.05</v>
      </c>
      <c r="AG378" s="171">
        <f t="shared" si="67"/>
        <v>0</v>
      </c>
      <c r="AH378" s="171">
        <f t="shared" si="67"/>
        <v>71175.44</v>
      </c>
      <c r="AI378" s="171">
        <f t="shared" si="67"/>
        <v>0</v>
      </c>
      <c r="AJ378" s="171">
        <f t="shared" si="67"/>
        <v>200839.54</v>
      </c>
      <c r="AK378" s="284">
        <f t="shared" si="67"/>
        <v>0</v>
      </c>
      <c r="AL378" s="171">
        <f t="shared" si="67"/>
        <v>29135</v>
      </c>
      <c r="AM378" s="171">
        <f t="shared" si="67"/>
        <v>0</v>
      </c>
      <c r="AN378" s="171">
        <f t="shared" si="67"/>
        <v>7145.11</v>
      </c>
      <c r="AO378" s="171">
        <f t="shared" si="67"/>
        <v>141422.16</v>
      </c>
      <c r="AP378" s="256">
        <f t="shared" ref="AP378" si="68">AP372+AP375</f>
        <v>82388.070000000007</v>
      </c>
      <c r="AQ378" s="171">
        <f t="shared" si="67"/>
        <v>0</v>
      </c>
      <c r="AR378" s="171">
        <f t="shared" si="67"/>
        <v>54629.66</v>
      </c>
      <c r="AS378" s="171">
        <f t="shared" si="67"/>
        <v>119227.73</v>
      </c>
      <c r="AT378" s="256">
        <f t="shared" si="67"/>
        <v>30845.79</v>
      </c>
      <c r="AU378" s="171">
        <f t="shared" si="67"/>
        <v>58793.03</v>
      </c>
      <c r="AV378" s="171">
        <f t="shared" si="67"/>
        <v>27349.439999999999</v>
      </c>
      <c r="AW378" s="171">
        <f t="shared" si="67"/>
        <v>26058.959999999999</v>
      </c>
      <c r="AX378" s="171">
        <f t="shared" si="67"/>
        <v>0</v>
      </c>
      <c r="AY378" s="171">
        <f t="shared" si="67"/>
        <v>148313.76</v>
      </c>
      <c r="AZ378" s="171">
        <f t="shared" si="67"/>
        <v>3746291.76</v>
      </c>
      <c r="BA378" s="171">
        <f t="shared" si="67"/>
        <v>40480</v>
      </c>
      <c r="BB378" s="171">
        <f t="shared" si="67"/>
        <v>60720</v>
      </c>
      <c r="BC378" s="171">
        <f t="shared" si="67"/>
        <v>139577.51</v>
      </c>
      <c r="BD378" s="171">
        <f t="shared" si="67"/>
        <v>191882.4</v>
      </c>
      <c r="BE378" s="171">
        <f t="shared" si="67"/>
        <v>142824.13</v>
      </c>
      <c r="BF378" s="171">
        <f t="shared" si="67"/>
        <v>159356.94</v>
      </c>
      <c r="BG378" s="171">
        <f t="shared" si="67"/>
        <v>82010.28</v>
      </c>
      <c r="BH378" s="256">
        <f t="shared" ref="BH378:BI378" si="69">BH372+BH375</f>
        <v>44099.96</v>
      </c>
      <c r="BI378" s="256">
        <f t="shared" si="69"/>
        <v>40166.519999999997</v>
      </c>
      <c r="BJ378" s="171">
        <f t="shared" si="67"/>
        <v>31190.42</v>
      </c>
      <c r="BK378" s="171">
        <f t="shared" si="67"/>
        <v>244281.66</v>
      </c>
      <c r="BL378" s="171">
        <f t="shared" si="67"/>
        <v>206395.09</v>
      </c>
      <c r="BM378" s="171">
        <f t="shared" si="67"/>
        <v>28274.06</v>
      </c>
      <c r="BN378" s="171">
        <f t="shared" si="67"/>
        <v>26235.16</v>
      </c>
      <c r="BO378" s="171">
        <f t="shared" si="67"/>
        <v>26663.61</v>
      </c>
      <c r="BP378" s="171">
        <f t="shared" si="67"/>
        <v>0</v>
      </c>
      <c r="BQ378" s="171">
        <f t="shared" si="67"/>
        <v>25804.66</v>
      </c>
      <c r="BR378" s="171">
        <f t="shared" si="67"/>
        <v>31468.14</v>
      </c>
      <c r="BS378" s="171">
        <f t="shared" si="67"/>
        <v>0</v>
      </c>
      <c r="BT378" s="171">
        <f t="shared" si="67"/>
        <v>0</v>
      </c>
      <c r="BU378" s="171">
        <f t="shared" si="67"/>
        <v>1707467.22</v>
      </c>
      <c r="BV378" s="171">
        <f t="shared" si="67"/>
        <v>27155.77</v>
      </c>
      <c r="BW378" s="171">
        <f t="shared" si="67"/>
        <v>17862.79</v>
      </c>
      <c r="BX378" s="171">
        <f t="shared" si="67"/>
        <v>60845.4</v>
      </c>
      <c r="BY378" s="171">
        <f t="shared" si="67"/>
        <v>80119.13</v>
      </c>
      <c r="BZ378" s="171">
        <f t="shared" si="67"/>
        <v>85308.68</v>
      </c>
      <c r="CA378" s="171">
        <f t="shared" si="67"/>
        <v>181247.92</v>
      </c>
      <c r="CB378" s="171">
        <f t="shared" si="67"/>
        <v>0</v>
      </c>
      <c r="CC378" s="171">
        <f t="shared" si="67"/>
        <v>0</v>
      </c>
      <c r="CD378" s="171">
        <f t="shared" si="67"/>
        <v>0</v>
      </c>
      <c r="CE378" s="171">
        <f t="shared" si="67"/>
        <v>30423.79</v>
      </c>
      <c r="CF378" s="171">
        <f t="shared" si="67"/>
        <v>29241.51</v>
      </c>
      <c r="CG378" s="171">
        <f t="shared" si="67"/>
        <v>37150.92</v>
      </c>
      <c r="CH378" s="171">
        <f t="shared" si="67"/>
        <v>245259.33</v>
      </c>
      <c r="CI378" s="171">
        <f t="shared" si="67"/>
        <v>55153.31</v>
      </c>
      <c r="CJ378" s="171">
        <f t="shared" si="67"/>
        <v>26018.31</v>
      </c>
      <c r="CK378" s="171">
        <f t="shared" si="67"/>
        <v>411826.52</v>
      </c>
      <c r="CL378" s="171">
        <f t="shared" si="67"/>
        <v>75776.639999999999</v>
      </c>
      <c r="CM378" s="171">
        <f t="shared" si="67"/>
        <v>0</v>
      </c>
      <c r="CN378" s="171">
        <f t="shared" si="67"/>
        <v>172394.92</v>
      </c>
      <c r="CO378" s="171">
        <f t="shared" si="67"/>
        <v>0</v>
      </c>
      <c r="CP378" s="171">
        <f t="shared" si="67"/>
        <v>185964.53</v>
      </c>
      <c r="CQ378" s="171">
        <f t="shared" si="67"/>
        <v>0</v>
      </c>
      <c r="CR378" s="171">
        <f t="shared" si="67"/>
        <v>912.7</v>
      </c>
      <c r="CS378" s="171">
        <f t="shared" ref="CS378:DQ378" si="70">CS372+CS375</f>
        <v>118276.17</v>
      </c>
      <c r="CT378" s="171">
        <f t="shared" si="70"/>
        <v>0</v>
      </c>
      <c r="CU378" s="171">
        <f t="shared" si="70"/>
        <v>47713.29</v>
      </c>
      <c r="CV378" s="171">
        <f t="shared" si="70"/>
        <v>58437.66</v>
      </c>
      <c r="CW378" s="171">
        <f t="shared" si="70"/>
        <v>66362.97</v>
      </c>
      <c r="CX378" s="171">
        <f t="shared" si="70"/>
        <v>115141.27</v>
      </c>
      <c r="CY378" s="171">
        <f t="shared" si="70"/>
        <v>304697.24</v>
      </c>
      <c r="CZ378" s="171">
        <f t="shared" si="70"/>
        <v>216355.05</v>
      </c>
      <c r="DA378" s="171">
        <f t="shared" si="70"/>
        <v>94551.22</v>
      </c>
      <c r="DB378" s="171">
        <f t="shared" si="70"/>
        <v>99039.21</v>
      </c>
      <c r="DC378" s="171">
        <f t="shared" si="70"/>
        <v>100253.34</v>
      </c>
      <c r="DD378" s="171">
        <f t="shared" si="70"/>
        <v>117471.4</v>
      </c>
      <c r="DE378" s="171">
        <f t="shared" si="70"/>
        <v>0</v>
      </c>
      <c r="DF378" s="171">
        <f t="shared" si="70"/>
        <v>5526.27</v>
      </c>
      <c r="DG378" s="171">
        <f t="shared" si="70"/>
        <v>18458.78</v>
      </c>
      <c r="DH378" s="171">
        <f t="shared" si="70"/>
        <v>0</v>
      </c>
      <c r="DI378" s="171">
        <f t="shared" si="70"/>
        <v>125659.4</v>
      </c>
      <c r="DJ378" s="171">
        <f t="shared" si="70"/>
        <v>0</v>
      </c>
      <c r="DK378" s="171">
        <f t="shared" si="70"/>
        <v>0</v>
      </c>
      <c r="DL378" s="171">
        <f t="shared" si="70"/>
        <v>0</v>
      </c>
      <c r="DM378" s="171">
        <f t="shared" si="70"/>
        <v>35905.800000000003</v>
      </c>
      <c r="DN378" s="171">
        <f t="shared" si="70"/>
        <v>0</v>
      </c>
      <c r="DO378" s="171">
        <f t="shared" si="70"/>
        <v>154109.68</v>
      </c>
      <c r="DP378" s="171">
        <f t="shared" si="70"/>
        <v>275000</v>
      </c>
      <c r="DQ378" s="171">
        <f t="shared" si="70"/>
        <v>1725000</v>
      </c>
      <c r="DR378" s="171">
        <f>DR372+DR375</f>
        <v>15525894.91</v>
      </c>
      <c r="DS378" s="33"/>
      <c r="DT378" s="33"/>
      <c r="DU378" s="252">
        <f>SUM(DU372:DU377)</f>
        <v>15445191.529999999</v>
      </c>
      <c r="DV378" s="33"/>
      <c r="DW378" s="33"/>
      <c r="DX378" s="33"/>
      <c r="DY378" s="33"/>
      <c r="DZ378" s="33"/>
      <c r="EA378" s="33"/>
      <c r="EB378" s="33"/>
      <c r="EC378" s="33"/>
      <c r="ED378" s="33"/>
    </row>
    <row r="379" spans="1:134" x14ac:dyDescent="0.2">
      <c r="DU379" s="3">
        <f>+G378-DU378</f>
        <v>80703.38</v>
      </c>
    </row>
    <row r="380" spans="1:134" x14ac:dyDescent="0.2">
      <c r="G380" s="3"/>
      <c r="M380" s="241">
        <f>IF($DR$378&gt;0,M378/$DR$378,0)</f>
        <v>9.7999999999999997E-3</v>
      </c>
      <c r="N380" s="241">
        <f t="shared" ref="N380:CB380" si="71">IF($DR$378&gt;0,N378/$DR$378,0)</f>
        <v>6.7000000000000002E-3</v>
      </c>
      <c r="O380" s="241">
        <f t="shared" si="71"/>
        <v>2.24E-2</v>
      </c>
      <c r="P380" s="241">
        <f t="shared" si="71"/>
        <v>4.1000000000000003E-3</v>
      </c>
      <c r="Q380" s="241">
        <f t="shared" si="71"/>
        <v>5.1000000000000004E-3</v>
      </c>
      <c r="R380" s="241">
        <f t="shared" si="71"/>
        <v>1.41E-2</v>
      </c>
      <c r="S380" s="241">
        <f t="shared" si="71"/>
        <v>6.7999999999999996E-3</v>
      </c>
      <c r="T380" s="241">
        <f t="shared" si="71"/>
        <v>6.4999999999999997E-3</v>
      </c>
      <c r="U380" s="241">
        <f t="shared" si="71"/>
        <v>1.21E-2</v>
      </c>
      <c r="V380" s="241">
        <f t="shared" si="71"/>
        <v>4.8999999999999998E-3</v>
      </c>
      <c r="W380" s="241">
        <f t="shared" si="71"/>
        <v>6.1999999999999998E-3</v>
      </c>
      <c r="X380" s="241">
        <f t="shared" si="71"/>
        <v>1.67E-2</v>
      </c>
      <c r="Y380" s="241">
        <f t="shared" si="71"/>
        <v>2.7000000000000001E-3</v>
      </c>
      <c r="Z380" s="241">
        <f t="shared" si="71"/>
        <v>4.4999999999999997E-3</v>
      </c>
      <c r="AA380" s="241">
        <f t="shared" si="71"/>
        <v>0</v>
      </c>
      <c r="AB380" s="241">
        <f t="shared" si="71"/>
        <v>2.0999999999999999E-3</v>
      </c>
      <c r="AC380" s="241">
        <f t="shared" si="71"/>
        <v>2.7000000000000001E-3</v>
      </c>
      <c r="AD380" s="241">
        <f t="shared" si="71"/>
        <v>2.8E-3</v>
      </c>
      <c r="AE380" s="241">
        <f t="shared" si="71"/>
        <v>2.7000000000000001E-3</v>
      </c>
      <c r="AF380" s="241">
        <f t="shared" si="71"/>
        <v>5.7999999999999996E-3</v>
      </c>
      <c r="AG380" s="241">
        <f t="shared" si="71"/>
        <v>0</v>
      </c>
      <c r="AH380" s="241">
        <f t="shared" si="71"/>
        <v>4.5999999999999999E-3</v>
      </c>
      <c r="AI380" s="241">
        <f t="shared" si="71"/>
        <v>0</v>
      </c>
      <c r="AJ380" s="241">
        <f t="shared" si="71"/>
        <v>1.29E-2</v>
      </c>
      <c r="AK380" s="241">
        <f t="shared" si="71"/>
        <v>0</v>
      </c>
      <c r="AL380" s="241">
        <f t="shared" si="71"/>
        <v>1.9E-3</v>
      </c>
      <c r="AM380" s="241">
        <f t="shared" si="71"/>
        <v>0</v>
      </c>
      <c r="AN380" s="241">
        <f t="shared" si="71"/>
        <v>5.0000000000000001E-4</v>
      </c>
      <c r="AO380" s="241">
        <f t="shared" si="71"/>
        <v>9.1000000000000004E-3</v>
      </c>
      <c r="AP380" s="241">
        <f t="shared" ref="AP380" si="72">IF($DR$378&gt;0,AP378/$DR$378,0)</f>
        <v>5.3E-3</v>
      </c>
      <c r="AQ380" s="241">
        <f t="shared" si="71"/>
        <v>0</v>
      </c>
      <c r="AR380" s="241">
        <f t="shared" si="71"/>
        <v>3.5000000000000001E-3</v>
      </c>
      <c r="AS380" s="241">
        <f t="shared" si="71"/>
        <v>7.7000000000000002E-3</v>
      </c>
      <c r="AT380" s="241">
        <f t="shared" si="71"/>
        <v>2E-3</v>
      </c>
      <c r="AU380" s="241">
        <f t="shared" si="71"/>
        <v>3.8E-3</v>
      </c>
      <c r="AV380" s="241">
        <f t="shared" si="71"/>
        <v>1.8E-3</v>
      </c>
      <c r="AW380" s="241">
        <f t="shared" si="71"/>
        <v>1.6999999999999999E-3</v>
      </c>
      <c r="AX380" s="241">
        <f t="shared" si="71"/>
        <v>0</v>
      </c>
      <c r="AY380" s="241">
        <f t="shared" si="71"/>
        <v>9.5999999999999992E-3</v>
      </c>
      <c r="AZ380" s="241">
        <f t="shared" si="71"/>
        <v>0.24129999999999999</v>
      </c>
      <c r="BA380" s="241">
        <f t="shared" si="71"/>
        <v>2.5999999999999999E-3</v>
      </c>
      <c r="BB380" s="241">
        <f t="shared" si="71"/>
        <v>3.8999999999999998E-3</v>
      </c>
      <c r="BC380" s="241">
        <f t="shared" si="71"/>
        <v>8.9999999999999993E-3</v>
      </c>
      <c r="BD380" s="241">
        <f t="shared" si="71"/>
        <v>1.24E-2</v>
      </c>
      <c r="BE380" s="241">
        <f t="shared" si="71"/>
        <v>9.1999999999999998E-3</v>
      </c>
      <c r="BF380" s="241">
        <f t="shared" si="71"/>
        <v>1.03E-2</v>
      </c>
      <c r="BG380" s="241">
        <f t="shared" si="71"/>
        <v>5.3E-3</v>
      </c>
      <c r="BH380" s="241">
        <f t="shared" ref="BH380:BI380" si="73">IF($DR$378&gt;0,BH378/$DR$378,0)</f>
        <v>2.8E-3</v>
      </c>
      <c r="BI380" s="241">
        <f t="shared" si="73"/>
        <v>2.5999999999999999E-3</v>
      </c>
      <c r="BJ380" s="241">
        <f t="shared" si="71"/>
        <v>2E-3</v>
      </c>
      <c r="BK380" s="241">
        <f t="shared" si="71"/>
        <v>1.5699999999999999E-2</v>
      </c>
      <c r="BL380" s="241">
        <f t="shared" si="71"/>
        <v>1.3299999999999999E-2</v>
      </c>
      <c r="BM380" s="241">
        <f t="shared" si="71"/>
        <v>1.8E-3</v>
      </c>
      <c r="BN380" s="241">
        <f t="shared" si="71"/>
        <v>1.6999999999999999E-3</v>
      </c>
      <c r="BO380" s="241">
        <f t="shared" si="71"/>
        <v>1.6999999999999999E-3</v>
      </c>
      <c r="BP380" s="241">
        <f t="shared" si="71"/>
        <v>0</v>
      </c>
      <c r="BQ380" s="241">
        <f t="shared" si="71"/>
        <v>1.6999999999999999E-3</v>
      </c>
      <c r="BR380" s="241">
        <f t="shared" si="71"/>
        <v>2E-3</v>
      </c>
      <c r="BS380" s="241">
        <f t="shared" si="71"/>
        <v>0</v>
      </c>
      <c r="BT380" s="241">
        <f t="shared" si="71"/>
        <v>0</v>
      </c>
      <c r="BU380" s="241">
        <f t="shared" si="71"/>
        <v>0.11</v>
      </c>
      <c r="BV380" s="241">
        <f t="shared" si="71"/>
        <v>1.6999999999999999E-3</v>
      </c>
      <c r="BW380" s="241">
        <f t="shared" si="71"/>
        <v>1.1999999999999999E-3</v>
      </c>
      <c r="BX380" s="241">
        <f t="shared" si="71"/>
        <v>3.8999999999999998E-3</v>
      </c>
      <c r="BY380" s="241">
        <f t="shared" si="71"/>
        <v>5.1999999999999998E-3</v>
      </c>
      <c r="BZ380" s="241">
        <f t="shared" si="71"/>
        <v>5.4999999999999997E-3</v>
      </c>
      <c r="CA380" s="241">
        <f t="shared" si="71"/>
        <v>1.17E-2</v>
      </c>
      <c r="CB380" s="241">
        <f t="shared" si="71"/>
        <v>0</v>
      </c>
      <c r="CC380" s="241">
        <f t="shared" ref="CC380:DQ380" si="74">IF($DR$378&gt;0,CC378/$DR$378,0)</f>
        <v>0</v>
      </c>
      <c r="CD380" s="241">
        <f t="shared" si="74"/>
        <v>0</v>
      </c>
      <c r="CE380" s="241">
        <f t="shared" si="74"/>
        <v>2E-3</v>
      </c>
      <c r="CF380" s="241">
        <f t="shared" si="74"/>
        <v>1.9E-3</v>
      </c>
      <c r="CG380" s="241">
        <f t="shared" si="74"/>
        <v>2.3999999999999998E-3</v>
      </c>
      <c r="CH380" s="241">
        <f t="shared" si="74"/>
        <v>1.5800000000000002E-2</v>
      </c>
      <c r="CI380" s="241">
        <f t="shared" si="74"/>
        <v>3.5999999999999999E-3</v>
      </c>
      <c r="CJ380" s="241">
        <f t="shared" si="74"/>
        <v>1.6999999999999999E-3</v>
      </c>
      <c r="CK380" s="241">
        <f t="shared" si="74"/>
        <v>2.6499999999999999E-2</v>
      </c>
      <c r="CL380" s="241">
        <f t="shared" si="74"/>
        <v>4.8999999999999998E-3</v>
      </c>
      <c r="CM380" s="241">
        <f t="shared" si="74"/>
        <v>0</v>
      </c>
      <c r="CN380" s="241">
        <f t="shared" si="74"/>
        <v>1.11E-2</v>
      </c>
      <c r="CO380" s="241">
        <f t="shared" si="74"/>
        <v>0</v>
      </c>
      <c r="CP380" s="241">
        <f t="shared" si="74"/>
        <v>1.2E-2</v>
      </c>
      <c r="CQ380" s="241">
        <f t="shared" si="74"/>
        <v>0</v>
      </c>
      <c r="CR380" s="241">
        <f t="shared" si="74"/>
        <v>1E-4</v>
      </c>
      <c r="CS380" s="241">
        <f t="shared" si="74"/>
        <v>7.6E-3</v>
      </c>
      <c r="CT380" s="241">
        <f t="shared" si="74"/>
        <v>0</v>
      </c>
      <c r="CU380" s="241">
        <f t="shared" si="74"/>
        <v>3.0999999999999999E-3</v>
      </c>
      <c r="CV380" s="241">
        <f t="shared" si="74"/>
        <v>3.8E-3</v>
      </c>
      <c r="CW380" s="241">
        <f t="shared" si="74"/>
        <v>4.3E-3</v>
      </c>
      <c r="CX380" s="241">
        <f t="shared" si="74"/>
        <v>7.4000000000000003E-3</v>
      </c>
      <c r="CY380" s="241">
        <f t="shared" si="74"/>
        <v>1.9599999999999999E-2</v>
      </c>
      <c r="CZ380" s="241">
        <f t="shared" si="74"/>
        <v>1.3899999999999999E-2</v>
      </c>
      <c r="DA380" s="241">
        <f t="shared" si="74"/>
        <v>6.1000000000000004E-3</v>
      </c>
      <c r="DB380" s="241">
        <f t="shared" si="74"/>
        <v>6.4000000000000003E-3</v>
      </c>
      <c r="DC380" s="241">
        <f t="shared" si="74"/>
        <v>6.4999999999999997E-3</v>
      </c>
      <c r="DD380" s="241">
        <f t="shared" si="74"/>
        <v>7.6E-3</v>
      </c>
      <c r="DE380" s="241">
        <f t="shared" si="74"/>
        <v>0</v>
      </c>
      <c r="DF380" s="241">
        <f t="shared" si="74"/>
        <v>4.0000000000000002E-4</v>
      </c>
      <c r="DG380" s="241">
        <f t="shared" si="74"/>
        <v>1.1999999999999999E-3</v>
      </c>
      <c r="DH380" s="241">
        <f t="shared" si="74"/>
        <v>0</v>
      </c>
      <c r="DI380" s="241">
        <f t="shared" si="74"/>
        <v>8.0999999999999996E-3</v>
      </c>
      <c r="DJ380" s="241">
        <f t="shared" si="74"/>
        <v>0</v>
      </c>
      <c r="DK380" s="241">
        <f t="shared" si="74"/>
        <v>0</v>
      </c>
      <c r="DL380" s="241">
        <f t="shared" si="74"/>
        <v>0</v>
      </c>
      <c r="DM380" s="241">
        <f t="shared" si="74"/>
        <v>2.3E-3</v>
      </c>
      <c r="DN380" s="241">
        <f t="shared" si="74"/>
        <v>0</v>
      </c>
      <c r="DO380" s="241">
        <f t="shared" si="74"/>
        <v>9.9000000000000008E-3</v>
      </c>
      <c r="DP380" s="241">
        <f t="shared" si="74"/>
        <v>1.77E-2</v>
      </c>
      <c r="DQ380" s="241">
        <f t="shared" si="74"/>
        <v>0.1111</v>
      </c>
      <c r="DR380" s="3"/>
    </row>
    <row r="381" spans="1:134" x14ac:dyDescent="0.2">
      <c r="E381" s="166"/>
    </row>
    <row r="383" spans="1:134" x14ac:dyDescent="0.2">
      <c r="G383" s="24"/>
      <c r="H383" s="24"/>
      <c r="I383" s="24"/>
      <c r="J383" s="24"/>
      <c r="K383" s="24"/>
      <c r="L383" s="24"/>
      <c r="M383" s="171">
        <f t="shared" ref="M383:CR383" si="75">M377+M380</f>
        <v>0.01</v>
      </c>
      <c r="N383" s="171">
        <f t="shared" si="75"/>
        <v>0.01</v>
      </c>
      <c r="O383" s="171">
        <f t="shared" si="75"/>
        <v>0.02</v>
      </c>
      <c r="P383" s="171">
        <f t="shared" si="75"/>
        <v>0</v>
      </c>
      <c r="Q383" s="171">
        <f t="shared" si="75"/>
        <v>0.01</v>
      </c>
      <c r="R383" s="171">
        <f t="shared" si="75"/>
        <v>0.01</v>
      </c>
      <c r="S383" s="171">
        <f t="shared" si="75"/>
        <v>0.01</v>
      </c>
      <c r="T383" s="171">
        <f t="shared" si="75"/>
        <v>0.01</v>
      </c>
      <c r="U383" s="171">
        <f t="shared" si="75"/>
        <v>0.01</v>
      </c>
      <c r="V383" s="171">
        <f t="shared" si="75"/>
        <v>0</v>
      </c>
      <c r="W383" s="171">
        <f t="shared" si="75"/>
        <v>0.01</v>
      </c>
      <c r="X383" s="171">
        <f t="shared" si="75"/>
        <v>0.02</v>
      </c>
      <c r="Y383" s="171">
        <f t="shared" si="75"/>
        <v>0</v>
      </c>
      <c r="Z383" s="171">
        <f t="shared" si="75"/>
        <v>0</v>
      </c>
      <c r="AA383" s="171">
        <f t="shared" si="75"/>
        <v>0</v>
      </c>
      <c r="AB383" s="171">
        <f t="shared" si="75"/>
        <v>0</v>
      </c>
      <c r="AC383" s="171">
        <f t="shared" si="75"/>
        <v>0</v>
      </c>
      <c r="AD383" s="171">
        <f t="shared" si="75"/>
        <v>0</v>
      </c>
      <c r="AE383" s="171">
        <f t="shared" si="75"/>
        <v>0</v>
      </c>
      <c r="AF383" s="171">
        <f t="shared" si="75"/>
        <v>0.01</v>
      </c>
      <c r="AG383" s="171">
        <f t="shared" si="75"/>
        <v>0</v>
      </c>
      <c r="AH383" s="171">
        <f t="shared" si="75"/>
        <v>0</v>
      </c>
      <c r="AI383" s="171">
        <f t="shared" si="75"/>
        <v>0</v>
      </c>
      <c r="AJ383" s="171">
        <f t="shared" si="75"/>
        <v>0.01</v>
      </c>
      <c r="AK383" s="284">
        <f t="shared" si="75"/>
        <v>0</v>
      </c>
      <c r="AL383" s="171">
        <f t="shared" si="75"/>
        <v>0</v>
      </c>
      <c r="AM383" s="171">
        <f t="shared" si="75"/>
        <v>0</v>
      </c>
      <c r="AN383" s="171">
        <f t="shared" si="75"/>
        <v>0</v>
      </c>
      <c r="AO383" s="171">
        <f t="shared" si="75"/>
        <v>0.01</v>
      </c>
      <c r="AP383" s="256">
        <f t="shared" ref="AP383" si="76">AP377+AP380</f>
        <v>0.01</v>
      </c>
      <c r="AQ383" s="171">
        <f t="shared" si="75"/>
        <v>0</v>
      </c>
      <c r="AR383" s="171">
        <f t="shared" si="75"/>
        <v>0</v>
      </c>
      <c r="AS383" s="171">
        <f t="shared" si="75"/>
        <v>0.01</v>
      </c>
      <c r="AT383" s="256">
        <f t="shared" si="75"/>
        <v>0</v>
      </c>
      <c r="AU383" s="171">
        <f t="shared" si="75"/>
        <v>0</v>
      </c>
      <c r="AV383" s="171">
        <f t="shared" si="75"/>
        <v>0</v>
      </c>
      <c r="AW383" s="171">
        <f t="shared" si="75"/>
        <v>0</v>
      </c>
      <c r="AX383" s="171">
        <f t="shared" si="75"/>
        <v>0</v>
      </c>
      <c r="AY383" s="171">
        <f t="shared" si="75"/>
        <v>0.01</v>
      </c>
      <c r="AZ383" s="171">
        <f t="shared" si="75"/>
        <v>0.24</v>
      </c>
      <c r="BA383" s="171">
        <f t="shared" si="75"/>
        <v>0</v>
      </c>
      <c r="BB383" s="171">
        <f t="shared" si="75"/>
        <v>0</v>
      </c>
      <c r="BC383" s="171">
        <f t="shared" si="75"/>
        <v>0.01</v>
      </c>
      <c r="BD383" s="171">
        <f t="shared" si="75"/>
        <v>0.01</v>
      </c>
      <c r="BE383" s="171">
        <f t="shared" si="75"/>
        <v>0.01</v>
      </c>
      <c r="BF383" s="171">
        <f t="shared" si="75"/>
        <v>0.01</v>
      </c>
      <c r="BG383" s="171">
        <f t="shared" si="75"/>
        <v>0.01</v>
      </c>
      <c r="BH383" s="256">
        <f t="shared" ref="BH383:BI383" si="77">BH377+BH380</f>
        <v>0</v>
      </c>
      <c r="BI383" s="256">
        <f t="shared" si="77"/>
        <v>0</v>
      </c>
      <c r="BJ383" s="171">
        <f t="shared" si="75"/>
        <v>0</v>
      </c>
      <c r="BK383" s="171">
        <f t="shared" si="75"/>
        <v>0.02</v>
      </c>
      <c r="BL383" s="171">
        <f t="shared" si="75"/>
        <v>0.01</v>
      </c>
      <c r="BM383" s="171">
        <f t="shared" si="75"/>
        <v>0</v>
      </c>
      <c r="BN383" s="171">
        <f t="shared" si="75"/>
        <v>0</v>
      </c>
      <c r="BO383" s="171">
        <f t="shared" si="75"/>
        <v>0</v>
      </c>
      <c r="BP383" s="171">
        <f t="shared" si="75"/>
        <v>0</v>
      </c>
      <c r="BQ383" s="171">
        <f t="shared" si="75"/>
        <v>0</v>
      </c>
      <c r="BR383" s="171">
        <f t="shared" si="75"/>
        <v>0</v>
      </c>
      <c r="BS383" s="171">
        <f t="shared" si="75"/>
        <v>0</v>
      </c>
      <c r="BT383" s="171">
        <f t="shared" si="75"/>
        <v>0</v>
      </c>
      <c r="BU383" s="171">
        <f t="shared" si="75"/>
        <v>0.11</v>
      </c>
      <c r="BV383" s="171">
        <f t="shared" si="75"/>
        <v>0</v>
      </c>
      <c r="BW383" s="171">
        <f t="shared" si="75"/>
        <v>0</v>
      </c>
      <c r="BX383" s="171">
        <f t="shared" si="75"/>
        <v>0</v>
      </c>
      <c r="BY383" s="171">
        <f t="shared" si="75"/>
        <v>0.01</v>
      </c>
      <c r="BZ383" s="171">
        <f t="shared" si="75"/>
        <v>0.01</v>
      </c>
      <c r="CA383" s="171">
        <f t="shared" si="75"/>
        <v>0.01</v>
      </c>
      <c r="CB383" s="171">
        <f t="shared" si="75"/>
        <v>0</v>
      </c>
      <c r="CC383" s="171">
        <f t="shared" si="75"/>
        <v>0</v>
      </c>
      <c r="CD383" s="171">
        <f t="shared" si="75"/>
        <v>0</v>
      </c>
      <c r="CE383" s="171">
        <f t="shared" si="75"/>
        <v>0</v>
      </c>
      <c r="CF383" s="171">
        <f t="shared" si="75"/>
        <v>0</v>
      </c>
      <c r="CG383" s="171">
        <f t="shared" si="75"/>
        <v>0</v>
      </c>
      <c r="CH383" s="171">
        <f t="shared" si="75"/>
        <v>0.02</v>
      </c>
      <c r="CI383" s="171">
        <f t="shared" si="75"/>
        <v>0</v>
      </c>
      <c r="CJ383" s="171">
        <f t="shared" si="75"/>
        <v>0</v>
      </c>
      <c r="CK383" s="171">
        <f t="shared" si="75"/>
        <v>0.03</v>
      </c>
      <c r="CL383" s="171">
        <f t="shared" si="75"/>
        <v>0</v>
      </c>
      <c r="CM383" s="171">
        <f t="shared" si="75"/>
        <v>0</v>
      </c>
      <c r="CN383" s="171">
        <f t="shared" si="75"/>
        <v>0.01</v>
      </c>
      <c r="CO383" s="171">
        <f t="shared" si="75"/>
        <v>0</v>
      </c>
      <c r="CP383" s="171">
        <f t="shared" si="75"/>
        <v>0.01</v>
      </c>
      <c r="CQ383" s="171">
        <f t="shared" si="75"/>
        <v>0</v>
      </c>
      <c r="CR383" s="171">
        <f t="shared" si="75"/>
        <v>0</v>
      </c>
      <c r="CS383" s="171">
        <f t="shared" ref="CS383:DR383" si="78">CS377+CS380</f>
        <v>0.01</v>
      </c>
      <c r="CT383" s="171">
        <f t="shared" si="78"/>
        <v>0</v>
      </c>
      <c r="CU383" s="171">
        <f t="shared" si="78"/>
        <v>0</v>
      </c>
      <c r="CV383" s="171">
        <f t="shared" si="78"/>
        <v>0</v>
      </c>
      <c r="CW383" s="171">
        <f t="shared" si="78"/>
        <v>0</v>
      </c>
      <c r="CX383" s="171">
        <f t="shared" si="78"/>
        <v>0.01</v>
      </c>
      <c r="CY383" s="171">
        <f t="shared" si="78"/>
        <v>0.02</v>
      </c>
      <c r="CZ383" s="171">
        <f t="shared" si="78"/>
        <v>0.01</v>
      </c>
      <c r="DA383" s="171">
        <f t="shared" si="78"/>
        <v>0.01</v>
      </c>
      <c r="DB383" s="171">
        <f t="shared" si="78"/>
        <v>0.01</v>
      </c>
      <c r="DC383" s="171">
        <f t="shared" si="78"/>
        <v>0.01</v>
      </c>
      <c r="DD383" s="171">
        <f t="shared" si="78"/>
        <v>0.01</v>
      </c>
      <c r="DE383" s="171">
        <f t="shared" si="78"/>
        <v>0</v>
      </c>
      <c r="DF383" s="171">
        <f t="shared" si="78"/>
        <v>0</v>
      </c>
      <c r="DG383" s="171">
        <f t="shared" si="78"/>
        <v>0</v>
      </c>
      <c r="DH383" s="171">
        <f t="shared" si="78"/>
        <v>0</v>
      </c>
      <c r="DI383" s="171">
        <f t="shared" si="78"/>
        <v>0.01</v>
      </c>
      <c r="DJ383" s="171">
        <f t="shared" si="78"/>
        <v>0</v>
      </c>
      <c r="DK383" s="171">
        <f t="shared" si="78"/>
        <v>0</v>
      </c>
      <c r="DL383" s="171">
        <f t="shared" si="78"/>
        <v>0</v>
      </c>
      <c r="DM383" s="171">
        <f t="shared" si="78"/>
        <v>0</v>
      </c>
      <c r="DN383" s="171">
        <f t="shared" si="78"/>
        <v>0</v>
      </c>
      <c r="DO383" s="171">
        <f t="shared" si="78"/>
        <v>0.01</v>
      </c>
      <c r="DP383" s="171">
        <f t="shared" si="78"/>
        <v>0.02</v>
      </c>
      <c r="DQ383" s="171">
        <f>DQ377+DQ380</f>
        <v>0.11</v>
      </c>
      <c r="DR383" s="171">
        <f t="shared" si="78"/>
        <v>0</v>
      </c>
      <c r="DS383" s="33"/>
      <c r="DT383" s="33"/>
      <c r="DU383" s="33"/>
      <c r="DV383" s="33"/>
      <c r="DW383" s="33"/>
      <c r="DX383" s="33"/>
      <c r="DY383" s="33"/>
      <c r="DZ383" s="33"/>
      <c r="EA383" s="33"/>
      <c r="EB383" s="33"/>
      <c r="EC383" s="33"/>
      <c r="ED383" s="33"/>
    </row>
    <row r="384" spans="1:134" x14ac:dyDescent="0.2">
      <c r="G384" s="242"/>
    </row>
    <row r="385" spans="1:134" s="245" customFormat="1" ht="15.75" thickBot="1" x14ac:dyDescent="0.25">
      <c r="A385" s="25"/>
      <c r="B385" s="201"/>
      <c r="C385" s="201" t="s">
        <v>2936</v>
      </c>
      <c r="D385" s="201"/>
      <c r="E385" s="243"/>
      <c r="F385" s="201"/>
      <c r="G385" s="204">
        <f>+DR385</f>
        <v>15512390.17</v>
      </c>
      <c r="H385" s="244"/>
      <c r="I385" s="244"/>
      <c r="J385" s="244"/>
      <c r="K385" s="244"/>
      <c r="L385" s="244"/>
      <c r="M385" s="244">
        <v>158809.88</v>
      </c>
      <c r="N385" s="244">
        <v>56660.87</v>
      </c>
      <c r="O385" s="244">
        <v>380146.75</v>
      </c>
      <c r="P385" s="244">
        <v>68473.600000000006</v>
      </c>
      <c r="Q385" s="244">
        <v>90907.56</v>
      </c>
      <c r="R385" s="244">
        <v>245050.69</v>
      </c>
      <c r="S385" s="244">
        <v>61725.599999999999</v>
      </c>
      <c r="T385" s="244">
        <v>98972.32</v>
      </c>
      <c r="U385" s="244">
        <v>185423.06</v>
      </c>
      <c r="V385" s="244">
        <v>70439.240000000005</v>
      </c>
      <c r="W385" s="244">
        <v>50600.04</v>
      </c>
      <c r="X385" s="244">
        <v>255835.95</v>
      </c>
      <c r="Y385" s="244">
        <v>41307.82</v>
      </c>
      <c r="Z385" s="244">
        <v>67634.960000000006</v>
      </c>
      <c r="AA385" s="244">
        <v>25764.51</v>
      </c>
      <c r="AB385" s="244">
        <v>47471.26</v>
      </c>
      <c r="AC385" s="244">
        <v>40947.47</v>
      </c>
      <c r="AD385" s="244">
        <v>43577.04</v>
      </c>
      <c r="AE385" s="244">
        <v>40952.6</v>
      </c>
      <c r="AF385" s="244">
        <v>108600.47</v>
      </c>
      <c r="AG385" s="244">
        <v>0</v>
      </c>
      <c r="AH385" s="244">
        <v>69601.27</v>
      </c>
      <c r="AI385" s="244">
        <v>0</v>
      </c>
      <c r="AJ385" s="244">
        <v>203379.74</v>
      </c>
      <c r="AK385" s="283">
        <v>0</v>
      </c>
      <c r="AL385" s="244">
        <v>28079.96</v>
      </c>
      <c r="AM385" s="244">
        <v>0</v>
      </c>
      <c r="AN385" s="244">
        <v>23888.83</v>
      </c>
      <c r="AO385" s="244">
        <v>58985.47</v>
      </c>
      <c r="AP385" s="244">
        <v>0</v>
      </c>
      <c r="AQ385" s="244">
        <v>62841.8</v>
      </c>
      <c r="AR385" s="244">
        <v>46586.28</v>
      </c>
      <c r="AS385" s="244">
        <v>150257.49</v>
      </c>
      <c r="AT385" s="244">
        <v>30980.799999999999</v>
      </c>
      <c r="AU385" s="244">
        <v>26340.38</v>
      </c>
      <c r="AV385" s="244">
        <v>26416.66</v>
      </c>
      <c r="AW385" s="244">
        <v>23804.18</v>
      </c>
      <c r="AX385" s="244">
        <v>0</v>
      </c>
      <c r="AY385" s="244">
        <v>147911.45000000001</v>
      </c>
      <c r="AZ385" s="244">
        <v>3795763.44</v>
      </c>
      <c r="BA385" s="244">
        <v>0</v>
      </c>
      <c r="BB385" s="244">
        <v>26526.38</v>
      </c>
      <c r="BC385" s="244">
        <v>106124.07</v>
      </c>
      <c r="BD385" s="244">
        <v>158237.29</v>
      </c>
      <c r="BE385" s="244">
        <v>180997.94</v>
      </c>
      <c r="BF385" s="244">
        <v>156454.54999999999</v>
      </c>
      <c r="BG385" s="244">
        <v>80844.25</v>
      </c>
      <c r="BH385" s="244">
        <v>0</v>
      </c>
      <c r="BI385" s="244">
        <v>0</v>
      </c>
      <c r="BJ385" s="244">
        <v>31191.77</v>
      </c>
      <c r="BK385" s="244">
        <v>109696.2</v>
      </c>
      <c r="BL385" s="244">
        <v>141450.82</v>
      </c>
      <c r="BM385" s="244">
        <v>27245.06</v>
      </c>
      <c r="BN385" s="244">
        <v>24427.66</v>
      </c>
      <c r="BO385" s="244">
        <v>25679.46</v>
      </c>
      <c r="BP385" s="244">
        <v>0</v>
      </c>
      <c r="BQ385" s="244">
        <v>24847.599999999999</v>
      </c>
      <c r="BR385" s="244">
        <v>33251.01</v>
      </c>
      <c r="BS385" s="244">
        <v>0</v>
      </c>
      <c r="BT385" s="244">
        <v>0</v>
      </c>
      <c r="BU385" s="244">
        <v>1870706.93</v>
      </c>
      <c r="BV385" s="244">
        <v>27990.97</v>
      </c>
      <c r="BW385" s="244">
        <v>13204.05</v>
      </c>
      <c r="BX385" s="244">
        <v>117803.7</v>
      </c>
      <c r="BY385" s="244">
        <v>29615.01</v>
      </c>
      <c r="BZ385" s="244">
        <v>97357.42</v>
      </c>
      <c r="CA385" s="244">
        <v>229632.65</v>
      </c>
      <c r="CB385" s="244">
        <v>0</v>
      </c>
      <c r="CC385" s="244">
        <v>0</v>
      </c>
      <c r="CD385" s="244">
        <v>51210.54</v>
      </c>
      <c r="CE385" s="244">
        <v>29725.439999999999</v>
      </c>
      <c r="CF385" s="244">
        <v>30717.18</v>
      </c>
      <c r="CG385" s="244">
        <v>34265.339999999997</v>
      </c>
      <c r="CH385" s="244">
        <v>296767.34000000003</v>
      </c>
      <c r="CI385" s="244">
        <v>53133.04</v>
      </c>
      <c r="CJ385" s="244">
        <v>25053.07</v>
      </c>
      <c r="CK385" s="244">
        <v>361401.31</v>
      </c>
      <c r="CL385" s="244">
        <v>112290.81</v>
      </c>
      <c r="CM385" s="244">
        <v>0</v>
      </c>
      <c r="CN385" s="244">
        <v>180654.41</v>
      </c>
      <c r="CO385" s="244">
        <v>0</v>
      </c>
      <c r="CP385" s="244">
        <v>150577.72</v>
      </c>
      <c r="CQ385" s="244">
        <v>123174.8</v>
      </c>
      <c r="CR385" s="244">
        <v>3978.45</v>
      </c>
      <c r="CS385" s="244">
        <v>125012.6</v>
      </c>
      <c r="CT385" s="244">
        <v>0</v>
      </c>
      <c r="CU385" s="244">
        <v>47147.5</v>
      </c>
      <c r="CV385" s="244">
        <v>57744.72</v>
      </c>
      <c r="CW385" s="244">
        <v>66958.289999999994</v>
      </c>
      <c r="CX385" s="244">
        <v>124210.18</v>
      </c>
      <c r="CY385" s="244">
        <v>268290.93</v>
      </c>
      <c r="CZ385" s="244">
        <v>269039.96999999997</v>
      </c>
      <c r="DA385" s="244">
        <v>90807.97</v>
      </c>
      <c r="DB385" s="244">
        <v>107794.6</v>
      </c>
      <c r="DC385" s="244">
        <v>70688.86</v>
      </c>
      <c r="DD385" s="244">
        <v>116234.31</v>
      </c>
      <c r="DE385" s="244">
        <v>0</v>
      </c>
      <c r="DF385" s="244">
        <v>6094.57</v>
      </c>
      <c r="DG385" s="244">
        <v>17708.5</v>
      </c>
      <c r="DH385" s="244">
        <v>0</v>
      </c>
      <c r="DI385" s="244">
        <v>125737.60000000001</v>
      </c>
      <c r="DJ385" s="244">
        <v>0</v>
      </c>
      <c r="DK385" s="244">
        <v>0</v>
      </c>
      <c r="DL385" s="244">
        <v>0</v>
      </c>
      <c r="DM385" s="244">
        <v>39895.56</v>
      </c>
      <c r="DN385" s="244">
        <v>0</v>
      </c>
      <c r="DO385" s="244">
        <v>123536.8</v>
      </c>
      <c r="DP385" s="244">
        <v>291000</v>
      </c>
      <c r="DQ385" s="244">
        <v>1764113.53</v>
      </c>
      <c r="DR385" s="244">
        <f>SUM(M385:DQ385)</f>
        <v>15512390.17</v>
      </c>
      <c r="DS385" s="201"/>
      <c r="DT385" s="201"/>
      <c r="DU385" s="201"/>
      <c r="DV385" s="201"/>
      <c r="DW385" s="201"/>
      <c r="DX385" s="201"/>
      <c r="DY385" s="201"/>
      <c r="DZ385" s="201"/>
      <c r="EA385" s="201"/>
      <c r="EB385" s="201"/>
      <c r="EC385" s="201"/>
      <c r="ED385" s="201"/>
    </row>
    <row r="386" spans="1:134" ht="15.75" thickTop="1" x14ac:dyDescent="0.2">
      <c r="G386" s="242"/>
    </row>
    <row r="387" spans="1:134" x14ac:dyDescent="0.2">
      <c r="E387" s="1"/>
      <c r="F387" s="33"/>
      <c r="G387" s="246"/>
    </row>
    <row r="388" spans="1:134" x14ac:dyDescent="0.2">
      <c r="G388" s="334">
        <f>+G378-G385</f>
        <v>13504.74</v>
      </c>
      <c r="M388" s="334">
        <f t="shared" ref="M388:BZ388" si="79">+M378-M385</f>
        <v>-6676.89</v>
      </c>
      <c r="N388" s="334">
        <f t="shared" si="79"/>
        <v>47215.38</v>
      </c>
      <c r="O388" s="334">
        <f t="shared" si="79"/>
        <v>-32903</v>
      </c>
      <c r="P388" s="334">
        <f t="shared" si="79"/>
        <v>-4600.1899999999996</v>
      </c>
      <c r="Q388" s="334">
        <f t="shared" si="79"/>
        <v>-11071.43</v>
      </c>
      <c r="R388" s="334">
        <f t="shared" si="79"/>
        <v>-26727.16</v>
      </c>
      <c r="S388" s="334">
        <f t="shared" si="79"/>
        <v>43202.62</v>
      </c>
      <c r="T388" s="334">
        <f t="shared" si="79"/>
        <v>2071.9699999999998</v>
      </c>
      <c r="U388" s="334">
        <f t="shared" si="79"/>
        <v>1891.22</v>
      </c>
      <c r="V388" s="334">
        <f t="shared" si="79"/>
        <v>6150.06</v>
      </c>
      <c r="W388" s="334">
        <f t="shared" si="79"/>
        <v>46147.3</v>
      </c>
      <c r="X388" s="334">
        <f t="shared" si="79"/>
        <v>3741.72</v>
      </c>
      <c r="Y388" s="334">
        <f t="shared" si="79"/>
        <v>495.84</v>
      </c>
      <c r="Z388" s="334">
        <f t="shared" si="79"/>
        <v>1470.23</v>
      </c>
      <c r="AA388" s="334">
        <f t="shared" si="79"/>
        <v>-25764.51</v>
      </c>
      <c r="AB388" s="334">
        <f t="shared" si="79"/>
        <v>-14610.32</v>
      </c>
      <c r="AC388" s="334">
        <f t="shared" si="79"/>
        <v>491.38</v>
      </c>
      <c r="AD388" s="334">
        <f t="shared" si="79"/>
        <v>522.91999999999996</v>
      </c>
      <c r="AE388" s="334">
        <f t="shared" si="79"/>
        <v>486.37</v>
      </c>
      <c r="AF388" s="334">
        <f t="shared" si="79"/>
        <v>-18074.419999999998</v>
      </c>
      <c r="AG388" s="334">
        <f t="shared" si="79"/>
        <v>0</v>
      </c>
      <c r="AH388" s="334">
        <f t="shared" si="79"/>
        <v>1574.17</v>
      </c>
      <c r="AI388" s="334">
        <f t="shared" si="79"/>
        <v>0</v>
      </c>
      <c r="AJ388" s="334">
        <f t="shared" si="79"/>
        <v>-2540.1999999999998</v>
      </c>
      <c r="AK388" s="334">
        <f t="shared" si="79"/>
        <v>0</v>
      </c>
      <c r="AL388" s="334">
        <f t="shared" si="79"/>
        <v>1055.04</v>
      </c>
      <c r="AM388" s="334">
        <f t="shared" si="79"/>
        <v>0</v>
      </c>
      <c r="AN388" s="334">
        <f t="shared" si="79"/>
        <v>-16743.72</v>
      </c>
      <c r="AO388" s="334">
        <f t="shared" si="79"/>
        <v>82436.69</v>
      </c>
      <c r="AP388" s="334">
        <f t="shared" si="79"/>
        <v>82388.070000000007</v>
      </c>
      <c r="AQ388" s="334">
        <f t="shared" si="79"/>
        <v>-62841.8</v>
      </c>
      <c r="AR388" s="334">
        <f t="shared" si="79"/>
        <v>8043.38</v>
      </c>
      <c r="AS388" s="334">
        <f t="shared" si="79"/>
        <v>-31029.759999999998</v>
      </c>
      <c r="AT388" s="334">
        <f t="shared" si="79"/>
        <v>-135.01</v>
      </c>
      <c r="AU388" s="334">
        <f t="shared" si="79"/>
        <v>32452.65</v>
      </c>
      <c r="AV388" s="334">
        <f t="shared" si="79"/>
        <v>932.78</v>
      </c>
      <c r="AW388" s="334">
        <f t="shared" si="79"/>
        <v>2254.7800000000002</v>
      </c>
      <c r="AX388" s="334">
        <f t="shared" si="79"/>
        <v>0</v>
      </c>
      <c r="AY388" s="334">
        <f t="shared" si="79"/>
        <v>402.31</v>
      </c>
      <c r="AZ388" s="334">
        <f t="shared" si="79"/>
        <v>-49471.68</v>
      </c>
      <c r="BA388" s="334">
        <f t="shared" si="79"/>
        <v>40480</v>
      </c>
      <c r="BB388" s="334">
        <f t="shared" si="79"/>
        <v>34193.620000000003</v>
      </c>
      <c r="BC388" s="334">
        <f t="shared" si="79"/>
        <v>33453.440000000002</v>
      </c>
      <c r="BD388" s="334">
        <f t="shared" si="79"/>
        <v>33645.11</v>
      </c>
      <c r="BE388" s="334">
        <f t="shared" si="79"/>
        <v>-38173.81</v>
      </c>
      <c r="BF388" s="334">
        <f t="shared" si="79"/>
        <v>2902.39</v>
      </c>
      <c r="BG388" s="334">
        <f t="shared" si="79"/>
        <v>1166.03</v>
      </c>
      <c r="BH388" s="334">
        <f t="shared" ref="BH388:BI388" si="80">+BH378-BH385</f>
        <v>44099.96</v>
      </c>
      <c r="BI388" s="334">
        <f t="shared" si="80"/>
        <v>40166.519999999997</v>
      </c>
      <c r="BJ388" s="334">
        <f t="shared" si="79"/>
        <v>-1.35</v>
      </c>
      <c r="BK388" s="334">
        <f t="shared" si="79"/>
        <v>134585.46</v>
      </c>
      <c r="BL388" s="334">
        <f t="shared" si="79"/>
        <v>64944.27</v>
      </c>
      <c r="BM388" s="334">
        <f t="shared" si="79"/>
        <v>1029</v>
      </c>
      <c r="BN388" s="334">
        <f t="shared" si="79"/>
        <v>1807.5</v>
      </c>
      <c r="BO388" s="334">
        <f t="shared" si="79"/>
        <v>984.15</v>
      </c>
      <c r="BP388" s="334">
        <f t="shared" si="79"/>
        <v>0</v>
      </c>
      <c r="BQ388" s="334">
        <f t="shared" si="79"/>
        <v>957.06</v>
      </c>
      <c r="BR388" s="334">
        <f t="shared" si="79"/>
        <v>-1782.87</v>
      </c>
      <c r="BS388" s="334">
        <f t="shared" si="79"/>
        <v>0</v>
      </c>
      <c r="BT388" s="334">
        <f t="shared" si="79"/>
        <v>0</v>
      </c>
      <c r="BU388" s="334">
        <f t="shared" si="79"/>
        <v>-163239.71</v>
      </c>
      <c r="BV388" s="334">
        <f t="shared" si="79"/>
        <v>-835.2</v>
      </c>
      <c r="BW388" s="334">
        <f t="shared" si="79"/>
        <v>4658.74</v>
      </c>
      <c r="BX388" s="334">
        <f t="shared" si="79"/>
        <v>-56958.3</v>
      </c>
      <c r="BY388" s="334">
        <f t="shared" si="79"/>
        <v>50504.12</v>
      </c>
      <c r="BZ388" s="334">
        <f t="shared" si="79"/>
        <v>-12048.74</v>
      </c>
      <c r="CA388" s="334">
        <f t="shared" ref="CA388:DQ388" si="81">+CA378-CA385</f>
        <v>-48384.73</v>
      </c>
      <c r="CB388" s="334">
        <f t="shared" si="81"/>
        <v>0</v>
      </c>
      <c r="CC388" s="334">
        <f t="shared" si="81"/>
        <v>0</v>
      </c>
      <c r="CD388" s="334">
        <f t="shared" si="81"/>
        <v>-51210.54</v>
      </c>
      <c r="CE388" s="334">
        <f t="shared" si="81"/>
        <v>698.35</v>
      </c>
      <c r="CF388" s="334">
        <f t="shared" si="81"/>
        <v>-1475.67</v>
      </c>
      <c r="CG388" s="334">
        <f t="shared" si="81"/>
        <v>2885.58</v>
      </c>
      <c r="CH388" s="334">
        <f t="shared" si="81"/>
        <v>-51508.01</v>
      </c>
      <c r="CI388" s="334">
        <f t="shared" si="81"/>
        <v>2020.27</v>
      </c>
      <c r="CJ388" s="334">
        <f t="shared" si="81"/>
        <v>965.24</v>
      </c>
      <c r="CK388" s="334">
        <f t="shared" si="81"/>
        <v>50425.21</v>
      </c>
      <c r="CL388" s="334">
        <f t="shared" si="81"/>
        <v>-36514.17</v>
      </c>
      <c r="CM388" s="334">
        <f t="shared" si="81"/>
        <v>0</v>
      </c>
      <c r="CN388" s="334">
        <f t="shared" si="81"/>
        <v>-8259.49</v>
      </c>
      <c r="CO388" s="334">
        <f t="shared" si="81"/>
        <v>0</v>
      </c>
      <c r="CP388" s="334">
        <f t="shared" si="81"/>
        <v>35386.81</v>
      </c>
      <c r="CQ388" s="334">
        <f t="shared" si="81"/>
        <v>-123174.8</v>
      </c>
      <c r="CR388" s="334">
        <f t="shared" si="81"/>
        <v>-3065.75</v>
      </c>
      <c r="CS388" s="334">
        <f t="shared" si="81"/>
        <v>-6736.43</v>
      </c>
      <c r="CT388" s="334">
        <f t="shared" si="81"/>
        <v>0</v>
      </c>
      <c r="CU388" s="334">
        <f t="shared" si="81"/>
        <v>565.79</v>
      </c>
      <c r="CV388" s="334">
        <f t="shared" si="81"/>
        <v>692.94</v>
      </c>
      <c r="CW388" s="334">
        <f t="shared" si="81"/>
        <v>-595.32000000000005</v>
      </c>
      <c r="CX388" s="334">
        <f t="shared" si="81"/>
        <v>-9068.91</v>
      </c>
      <c r="CY388" s="334">
        <f t="shared" si="81"/>
        <v>36406.31</v>
      </c>
      <c r="CZ388" s="334">
        <f t="shared" si="81"/>
        <v>-52684.92</v>
      </c>
      <c r="DA388" s="334">
        <f t="shared" si="81"/>
        <v>3743.25</v>
      </c>
      <c r="DB388" s="334">
        <f t="shared" si="81"/>
        <v>-8755.39</v>
      </c>
      <c r="DC388" s="334">
        <f t="shared" si="81"/>
        <v>29564.48</v>
      </c>
      <c r="DD388" s="334">
        <f t="shared" si="81"/>
        <v>1237.0899999999999</v>
      </c>
      <c r="DE388" s="334">
        <f t="shared" si="81"/>
        <v>0</v>
      </c>
      <c r="DF388" s="334">
        <f t="shared" si="81"/>
        <v>-568.29999999999995</v>
      </c>
      <c r="DG388" s="334">
        <f t="shared" si="81"/>
        <v>750.28</v>
      </c>
      <c r="DH388" s="334">
        <f t="shared" si="81"/>
        <v>0</v>
      </c>
      <c r="DI388" s="334">
        <f t="shared" si="81"/>
        <v>-78.2</v>
      </c>
      <c r="DJ388" s="334">
        <f t="shared" si="81"/>
        <v>0</v>
      </c>
      <c r="DK388" s="334">
        <f t="shared" si="81"/>
        <v>0</v>
      </c>
      <c r="DL388" s="334">
        <f t="shared" si="81"/>
        <v>0</v>
      </c>
      <c r="DM388" s="334">
        <f t="shared" si="81"/>
        <v>-3989.76</v>
      </c>
      <c r="DN388" s="334">
        <f t="shared" si="81"/>
        <v>0</v>
      </c>
      <c r="DO388" s="334">
        <f t="shared" si="81"/>
        <v>30572.880000000001</v>
      </c>
      <c r="DP388" s="334">
        <f t="shared" si="81"/>
        <v>-16000</v>
      </c>
      <c r="DQ388" s="334">
        <f t="shared" si="81"/>
        <v>-39113.53</v>
      </c>
      <c r="DR388" s="334">
        <f>+DR378-DR385</f>
        <v>13504.74</v>
      </c>
    </row>
    <row r="389" spans="1:134" x14ac:dyDescent="0.2">
      <c r="G389" s="242"/>
      <c r="DR389" s="334">
        <f>SUM(M388:DQ388)-DR388</f>
        <v>0</v>
      </c>
      <c r="DS389" s="7" t="s">
        <v>3066</v>
      </c>
    </row>
    <row r="390" spans="1:134" x14ac:dyDescent="0.2">
      <c r="E390" s="1"/>
      <c r="G390" s="246"/>
    </row>
    <row r="391" spans="1:134" x14ac:dyDescent="0.2">
      <c r="C391" s="7" t="s">
        <v>2995</v>
      </c>
      <c r="D391" s="7" t="s">
        <v>2996</v>
      </c>
      <c r="E391" s="152" t="s">
        <v>2997</v>
      </c>
      <c r="F391" s="255" t="s">
        <v>2659</v>
      </c>
      <c r="G391" s="231">
        <v>57485</v>
      </c>
      <c r="H391" s="207"/>
      <c r="I391" s="2" t="s">
        <v>2692</v>
      </c>
      <c r="K391" s="7" t="s">
        <v>3062</v>
      </c>
    </row>
    <row r="392" spans="1:134" x14ac:dyDescent="0.2">
      <c r="C392" s="7" t="s">
        <v>2998</v>
      </c>
      <c r="D392" s="7" t="s">
        <v>2999</v>
      </c>
      <c r="E392" s="149" t="s">
        <v>3000</v>
      </c>
      <c r="F392" s="255" t="s">
        <v>2659</v>
      </c>
      <c r="G392" s="231">
        <v>0</v>
      </c>
      <c r="H392" s="207"/>
      <c r="I392" s="2" t="s">
        <v>2687</v>
      </c>
      <c r="K392" s="7" t="s">
        <v>3038</v>
      </c>
    </row>
    <row r="393" spans="1:134" x14ac:dyDescent="0.2">
      <c r="C393" s="7" t="s">
        <v>2597</v>
      </c>
      <c r="D393" s="7" t="s">
        <v>3001</v>
      </c>
      <c r="E393" s="149" t="s">
        <v>3002</v>
      </c>
      <c r="F393" s="255" t="s">
        <v>2659</v>
      </c>
      <c r="G393" s="231">
        <v>44224</v>
      </c>
      <c r="H393" s="208"/>
      <c r="I393" s="2" t="s">
        <v>2687</v>
      </c>
      <c r="K393" s="7" t="s">
        <v>3032</v>
      </c>
    </row>
    <row r="394" spans="1:134" x14ac:dyDescent="0.2">
      <c r="C394" s="7" t="s">
        <v>3003</v>
      </c>
      <c r="D394" s="7" t="s">
        <v>3004</v>
      </c>
      <c r="E394" s="153" t="s">
        <v>3005</v>
      </c>
      <c r="F394" s="255" t="s">
        <v>2661</v>
      </c>
      <c r="G394" s="230">
        <v>60943</v>
      </c>
      <c r="H394" s="207"/>
      <c r="I394" s="2" t="s">
        <v>2692</v>
      </c>
      <c r="K394" s="7" t="s">
        <v>3060</v>
      </c>
    </row>
    <row r="395" spans="1:134" x14ac:dyDescent="0.2">
      <c r="C395" s="7" t="s">
        <v>3006</v>
      </c>
      <c r="D395" s="7" t="s">
        <v>3007</v>
      </c>
      <c r="E395" s="152" t="s">
        <v>3008</v>
      </c>
      <c r="F395" s="255" t="s">
        <v>2661</v>
      </c>
      <c r="G395" s="230">
        <v>52259</v>
      </c>
      <c r="H395" s="207"/>
      <c r="I395" s="2" t="s">
        <v>2692</v>
      </c>
      <c r="K395" s="7" t="s">
        <v>3061</v>
      </c>
    </row>
    <row r="396" spans="1:134" x14ac:dyDescent="0.2">
      <c r="C396" s="7" t="s">
        <v>2359</v>
      </c>
      <c r="D396" s="7" t="s">
        <v>3009</v>
      </c>
      <c r="E396" s="205" t="s">
        <v>3010</v>
      </c>
      <c r="F396" s="255" t="s">
        <v>2661</v>
      </c>
      <c r="G396" s="206">
        <v>16000</v>
      </c>
      <c r="H396" s="207"/>
      <c r="I396" s="2" t="s">
        <v>2985</v>
      </c>
      <c r="K396" s="7" t="s">
        <v>3063</v>
      </c>
    </row>
    <row r="397" spans="1:134" x14ac:dyDescent="0.2">
      <c r="A397" s="7"/>
      <c r="C397" s="7" t="s">
        <v>3011</v>
      </c>
      <c r="D397" s="7" t="s">
        <v>2523</v>
      </c>
      <c r="E397" s="147" t="s">
        <v>3012</v>
      </c>
      <c r="F397" s="255" t="s">
        <v>2658</v>
      </c>
      <c r="G397" s="231">
        <v>40874.04</v>
      </c>
      <c r="H397" s="207"/>
      <c r="I397" s="24" t="s">
        <v>2687</v>
      </c>
      <c r="K397" s="7" t="s">
        <v>3064</v>
      </c>
      <c r="AK397" s="7"/>
    </row>
    <row r="398" spans="1:134" x14ac:dyDescent="0.2">
      <c r="A398" s="7"/>
      <c r="C398" s="7" t="s">
        <v>2231</v>
      </c>
      <c r="D398" s="7" t="s">
        <v>2291</v>
      </c>
      <c r="E398" s="152" t="s">
        <v>3013</v>
      </c>
      <c r="F398" s="255" t="s">
        <v>2661</v>
      </c>
      <c r="G398" s="231">
        <v>0</v>
      </c>
      <c r="H398" s="207"/>
      <c r="I398" s="2" t="s">
        <v>2692</v>
      </c>
      <c r="K398" s="7" t="s">
        <v>3038</v>
      </c>
      <c r="AK398" s="7"/>
    </row>
    <row r="399" spans="1:134" x14ac:dyDescent="0.2">
      <c r="A399" s="7"/>
      <c r="C399" s="7" t="s">
        <v>3014</v>
      </c>
      <c r="D399" s="7" t="s">
        <v>3015</v>
      </c>
      <c r="E399" s="205" t="s">
        <v>3016</v>
      </c>
      <c r="F399" s="255" t="s">
        <v>2662</v>
      </c>
      <c r="G399" s="231">
        <v>24138</v>
      </c>
      <c r="H399" s="207"/>
      <c r="I399" s="3" t="s">
        <v>3019</v>
      </c>
      <c r="K399" s="7" t="s">
        <v>3059</v>
      </c>
      <c r="AK399" s="7"/>
    </row>
    <row r="400" spans="1:134" x14ac:dyDescent="0.2">
      <c r="A400" s="7"/>
      <c r="C400" s="7" t="s">
        <v>2251</v>
      </c>
      <c r="D400" s="7" t="s">
        <v>3017</v>
      </c>
      <c r="E400" s="222" t="s">
        <v>3018</v>
      </c>
      <c r="F400" s="255" t="s">
        <v>2663</v>
      </c>
      <c r="G400" s="231">
        <v>41455.99</v>
      </c>
      <c r="H400" s="207"/>
      <c r="I400" s="2" t="s">
        <v>2703</v>
      </c>
      <c r="K400" s="7" t="s">
        <v>3067</v>
      </c>
      <c r="AK400" s="7"/>
    </row>
    <row r="401" spans="1:37" x14ac:dyDescent="0.2">
      <c r="A401" s="7"/>
      <c r="C401" s="7" t="s">
        <v>2402</v>
      </c>
      <c r="D401" s="7" t="s">
        <v>2287</v>
      </c>
      <c r="E401" s="203" t="s">
        <v>2766</v>
      </c>
      <c r="F401" s="255" t="s">
        <v>2767</v>
      </c>
      <c r="G401" s="231">
        <v>20192.28</v>
      </c>
      <c r="H401" s="207"/>
      <c r="I401" s="2" t="s">
        <v>2687</v>
      </c>
      <c r="K401" s="7" t="s">
        <v>3029</v>
      </c>
      <c r="AK401" s="7"/>
    </row>
    <row r="402" spans="1:37" x14ac:dyDescent="0.2">
      <c r="A402" s="7"/>
      <c r="C402" s="7" t="s">
        <v>2533</v>
      </c>
      <c r="D402" s="7" t="s">
        <v>2534</v>
      </c>
      <c r="E402" s="147" t="s">
        <v>2835</v>
      </c>
      <c r="F402" s="255" t="s">
        <v>2658</v>
      </c>
      <c r="G402" s="230">
        <v>0</v>
      </c>
      <c r="H402" s="207"/>
      <c r="I402" s="2" t="s">
        <v>2687</v>
      </c>
      <c r="K402" s="7" t="s">
        <v>3038</v>
      </c>
      <c r="AK402" s="7"/>
    </row>
    <row r="403" spans="1:37" x14ac:dyDescent="0.2">
      <c r="A403" s="7"/>
      <c r="C403" s="7" t="s">
        <v>2360</v>
      </c>
      <c r="D403" s="7" t="s">
        <v>2635</v>
      </c>
      <c r="E403" s="158" t="s">
        <v>1321</v>
      </c>
      <c r="F403" s="255" t="s">
        <v>2659</v>
      </c>
      <c r="G403" s="230">
        <v>110676.72</v>
      </c>
      <c r="H403" s="208"/>
      <c r="I403" s="3" t="s">
        <v>2675</v>
      </c>
      <c r="K403" s="7" t="s">
        <v>3058</v>
      </c>
      <c r="AK403" s="7"/>
    </row>
    <row r="404" spans="1:37" x14ac:dyDescent="0.2">
      <c r="A404" s="7"/>
      <c r="C404" s="7" t="s">
        <v>2248</v>
      </c>
      <c r="D404" s="7" t="s">
        <v>2469</v>
      </c>
      <c r="E404" s="147" t="s">
        <v>2213</v>
      </c>
      <c r="F404" s="255" t="s">
        <v>2658</v>
      </c>
      <c r="G404" s="231">
        <v>30613.439999999999</v>
      </c>
      <c r="H404" s="207"/>
      <c r="I404" s="2" t="s">
        <v>2857</v>
      </c>
      <c r="K404" s="7" t="s">
        <v>3057</v>
      </c>
      <c r="AK404" s="7"/>
    </row>
    <row r="405" spans="1:37" x14ac:dyDescent="0.2">
      <c r="A405" s="7"/>
      <c r="C405" s="7" t="s">
        <v>2490</v>
      </c>
      <c r="D405" s="7" t="s">
        <v>2498</v>
      </c>
      <c r="E405" s="202" t="s">
        <v>2043</v>
      </c>
      <c r="F405" s="255" t="s">
        <v>2661</v>
      </c>
      <c r="G405" s="231">
        <v>40300.559999999998</v>
      </c>
      <c r="H405" s="207"/>
      <c r="I405" s="2" t="s">
        <v>2694</v>
      </c>
      <c r="K405" s="7" t="s">
        <v>3067</v>
      </c>
      <c r="AK405" s="7"/>
    </row>
    <row r="406" spans="1:37" x14ac:dyDescent="0.2">
      <c r="A406" s="7"/>
      <c r="C406" s="7" t="s">
        <v>2381</v>
      </c>
      <c r="D406" s="7" t="s">
        <v>2382</v>
      </c>
      <c r="E406" s="202" t="s">
        <v>1406</v>
      </c>
      <c r="F406" s="255" t="s">
        <v>2662</v>
      </c>
      <c r="G406" s="231"/>
      <c r="H406" s="207"/>
      <c r="I406" s="2" t="s">
        <v>2684</v>
      </c>
      <c r="J406" s="3" t="s">
        <v>2699</v>
      </c>
      <c r="K406" s="7" t="s">
        <v>3056</v>
      </c>
      <c r="AK406" s="7"/>
    </row>
    <row r="407" spans="1:37" x14ac:dyDescent="0.2">
      <c r="A407" s="7"/>
      <c r="C407" s="7" t="s">
        <v>2310</v>
      </c>
      <c r="D407" s="7" t="s">
        <v>2311</v>
      </c>
      <c r="E407" s="205" t="s">
        <v>2300</v>
      </c>
      <c r="F407" s="255" t="s">
        <v>2662</v>
      </c>
      <c r="G407" s="231"/>
      <c r="H407" s="207"/>
      <c r="I407" s="7" t="s">
        <v>2971</v>
      </c>
      <c r="J407" s="3" t="s">
        <v>2807</v>
      </c>
      <c r="K407" s="7" t="s">
        <v>3065</v>
      </c>
      <c r="AK407" s="7"/>
    </row>
    <row r="408" spans="1:37" x14ac:dyDescent="0.2">
      <c r="A408" s="7"/>
      <c r="G408" s="242"/>
      <c r="AK408" s="7"/>
    </row>
  </sheetData>
  <sortState ref="A318:DZ361">
    <sortCondition ref="D318:D361"/>
    <sortCondition ref="C318:C361"/>
  </sortState>
  <customSheetViews>
    <customSheetView guid="{32908539-2542-409A-8F82-90CA4AF2FA22}" showPageBreaks="1" printArea="1" topLeftCell="B1">
      <pane xSplit="4.1138211382113825" ySplit="4.0999999999999996" topLeftCell="DC307" activePane="bottomRight"/>
      <selection pane="bottomRight" activeCell="DF346" sqref="DF346"/>
      <rowBreaks count="3" manualBreakCount="3">
        <brk id="111" min="1" max="15" man="1"/>
        <brk id="225" min="1" max="15" man="1"/>
        <brk id="298" min="1" max="15" man="1"/>
      </rowBreaks>
      <pageMargins left="0.75" right="0.75" top="1" bottom="1" header="0.5" footer="0.5"/>
      <printOptions horizontalCentered="1" gridLines="1"/>
      <pageSetup orientation="portrait" horizontalDpi="4294967292" verticalDpi="4294967292" r:id="rId1"/>
      <headerFooter alignWithMargins="0"/>
    </customSheetView>
    <customSheetView guid="{A8860A6A-D8F5-A548-B67D-3E99578E1F8E}" showPageBreaks="1" printArea="1" topLeftCell="B1">
      <pane xSplit="3.6666666666666665" ySplit="4.2666666666666666" topLeftCell="DC340" activePane="bottomRight"/>
      <selection pane="bottomRight" activeCell="DF368" sqref="DF368"/>
      <rowBreaks count="3" manualBreakCount="3">
        <brk id="111" min="1" max="15" man="1"/>
        <brk id="225" min="1" max="15" man="1"/>
        <brk id="298" min="1" max="15" man="1"/>
      </rowBreaks>
      <pageMargins left="0.7" right="0.7" top="0.75" bottom="0.75" header="0.3" footer="0.3"/>
      <printOptions horizontalCentered="1" gridLines="1"/>
      <headerFooter alignWithMargins="0"/>
    </customSheetView>
  </customSheetViews>
  <mergeCells count="22">
    <mergeCell ref="E357:G357"/>
    <mergeCell ref="DR1:DR2"/>
    <mergeCell ref="E7:G7"/>
    <mergeCell ref="X1:Z1"/>
    <mergeCell ref="X2:Z2"/>
    <mergeCell ref="U1:W1"/>
    <mergeCell ref="U2:W2"/>
    <mergeCell ref="CH2:CJ2"/>
    <mergeCell ref="CH1:CJ1"/>
    <mergeCell ref="AU1:AX1"/>
    <mergeCell ref="AU2:AX2"/>
    <mergeCell ref="BD1:BG1"/>
    <mergeCell ref="BD2:BG2"/>
    <mergeCell ref="CZ1:DB1"/>
    <mergeCell ref="CZ2:DB2"/>
    <mergeCell ref="CD2:CF2"/>
    <mergeCell ref="E309:G309"/>
    <mergeCell ref="CD1:CF1"/>
    <mergeCell ref="AB1:AD1"/>
    <mergeCell ref="AB2:AD2"/>
    <mergeCell ref="E95:G95"/>
    <mergeCell ref="E226:G226"/>
  </mergeCells>
  <phoneticPr fontId="0" type="noConversion"/>
  <conditionalFormatting sqref="E1:E1048576">
    <cfRule type="duplicateValues" dxfId="13" priority="1"/>
  </conditionalFormatting>
  <printOptions horizontalCentered="1" gridLines="1"/>
  <pageMargins left="0.7" right="0.7" top="0" bottom="0" header="0.3" footer="0.3"/>
  <pageSetup scale="80" orientation="landscape" r:id="rId2"/>
  <headerFooter alignWithMargins="0"/>
  <rowBreaks count="2" manualBreakCount="2">
    <brk id="102" min="1" max="15" man="1"/>
    <brk id="288" min="1" max="15" man="1"/>
  </rowBreak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542"/>
  <sheetViews>
    <sheetView topLeftCell="A243" workbookViewId="0">
      <selection activeCell="C252" sqref="C252:C253"/>
    </sheetView>
  </sheetViews>
  <sheetFormatPr defaultColWidth="8.6640625" defaultRowHeight="12.75" x14ac:dyDescent="0.2"/>
  <cols>
    <col min="1" max="1" width="2.77734375" style="27" customWidth="1"/>
    <col min="2" max="2" width="14.77734375" style="27" customWidth="1"/>
    <col min="3" max="3" width="12.77734375" style="71" customWidth="1"/>
    <col min="4" max="4" width="12.77734375" style="72" customWidth="1"/>
    <col min="5" max="5" width="20.77734375" style="27" customWidth="1"/>
    <col min="6" max="6" width="4.77734375" style="27" customWidth="1"/>
    <col min="7" max="7" width="8.77734375" style="27" customWidth="1"/>
    <col min="8" max="16384" width="8.6640625" style="27"/>
  </cols>
  <sheetData>
    <row r="1" spans="1:7" x14ac:dyDescent="0.2">
      <c r="A1" s="27" t="s">
        <v>175</v>
      </c>
      <c r="B1" s="323" t="str">
        <f>'Revenue Start'!D47</f>
        <v xml:space="preserve"> 12-050000-4010-01</v>
      </c>
      <c r="C1" s="319"/>
      <c r="D1" s="318">
        <f>'Revenue Start'!F47</f>
        <v>7311744</v>
      </c>
      <c r="E1" s="27" t="s">
        <v>176</v>
      </c>
      <c r="F1" s="27" t="s">
        <v>177</v>
      </c>
      <c r="G1" s="38">
        <v>41518</v>
      </c>
    </row>
    <row r="2" spans="1:7" x14ac:dyDescent="0.2">
      <c r="A2" s="27" t="s">
        <v>175</v>
      </c>
      <c r="B2" s="323" t="str">
        <f>'Revenue Start'!D48</f>
        <v xml:space="preserve"> 12-050000-4011-01</v>
      </c>
      <c r="C2" s="319"/>
      <c r="D2" s="318">
        <f>'Revenue Start'!F48</f>
        <v>0</v>
      </c>
      <c r="E2" s="27" t="s">
        <v>176</v>
      </c>
      <c r="F2" s="27" t="s">
        <v>177</v>
      </c>
      <c r="G2" s="38">
        <v>41518</v>
      </c>
    </row>
    <row r="3" spans="1:7" x14ac:dyDescent="0.2">
      <c r="A3" s="27" t="s">
        <v>175</v>
      </c>
      <c r="B3" s="323" t="str">
        <f>'Revenue Start'!D50</f>
        <v xml:space="preserve"> 76-050000-4030-01</v>
      </c>
      <c r="C3" s="319"/>
      <c r="D3" s="318">
        <f>'Revenue Start'!F50</f>
        <v>1154648</v>
      </c>
      <c r="E3" s="27" t="s">
        <v>176</v>
      </c>
      <c r="F3" s="27" t="s">
        <v>177</v>
      </c>
      <c r="G3" s="38">
        <v>41518</v>
      </c>
    </row>
    <row r="4" spans="1:7" x14ac:dyDescent="0.2">
      <c r="A4" s="27" t="s">
        <v>175</v>
      </c>
      <c r="B4" s="323" t="str">
        <f>'Revenue Start'!D51</f>
        <v xml:space="preserve"> 76-050000-4040-01</v>
      </c>
      <c r="C4" s="319"/>
      <c r="D4" s="318">
        <f>'Revenue Start'!F51</f>
        <v>460000</v>
      </c>
      <c r="E4" s="27" t="s">
        <v>176</v>
      </c>
      <c r="F4" s="27" t="s">
        <v>177</v>
      </c>
      <c r="G4" s="38">
        <v>41518</v>
      </c>
    </row>
    <row r="5" spans="1:7" x14ac:dyDescent="0.2">
      <c r="A5" s="27" t="s">
        <v>175</v>
      </c>
      <c r="B5" s="323" t="str">
        <f>'Revenue Start'!D54</f>
        <v xml:space="preserve"> 76-074000-4141-01</v>
      </c>
      <c r="C5" s="319"/>
      <c r="D5" s="318">
        <f>'Revenue Start'!F54</f>
        <v>122602</v>
      </c>
      <c r="E5" s="27" t="s">
        <v>176</v>
      </c>
      <c r="F5" s="27" t="s">
        <v>177</v>
      </c>
      <c r="G5" s="38">
        <v>41518</v>
      </c>
    </row>
    <row r="6" spans="1:7" x14ac:dyDescent="0.2">
      <c r="A6" s="27" t="s">
        <v>175</v>
      </c>
      <c r="B6" s="323" t="str">
        <f>'Revenue Start'!D55</f>
        <v xml:space="preserve"> 76-074000-4148-01</v>
      </c>
      <c r="C6" s="319"/>
      <c r="D6" s="318">
        <f>'Revenue Start'!F55</f>
        <v>32205</v>
      </c>
      <c r="E6" s="27" t="s">
        <v>176</v>
      </c>
      <c r="F6" s="27" t="s">
        <v>177</v>
      </c>
      <c r="G6" s="38">
        <v>41518</v>
      </c>
    </row>
    <row r="7" spans="1:7" x14ac:dyDescent="0.2">
      <c r="A7" s="27" t="s">
        <v>175</v>
      </c>
      <c r="B7" s="323" t="str">
        <f>'Revenue Start'!D56</f>
        <v xml:space="preserve"> 76-074000-4150-01</v>
      </c>
      <c r="C7" s="319"/>
      <c r="D7" s="318">
        <f>'Revenue Start'!F56</f>
        <v>0</v>
      </c>
      <c r="E7" s="27" t="s">
        <v>176</v>
      </c>
      <c r="F7" s="27" t="s">
        <v>177</v>
      </c>
      <c r="G7" s="38">
        <v>41518</v>
      </c>
    </row>
    <row r="8" spans="1:7" x14ac:dyDescent="0.2">
      <c r="A8" s="27" t="s">
        <v>175</v>
      </c>
      <c r="B8" s="323" t="str">
        <f>'Revenue Start'!D57</f>
        <v xml:space="preserve"> 76-075000-4200-01</v>
      </c>
      <c r="C8" s="319"/>
      <c r="D8" s="318">
        <f>'Revenue Start'!F57</f>
        <v>62130</v>
      </c>
      <c r="E8" s="27" t="s">
        <v>176</v>
      </c>
      <c r="F8" s="27" t="s">
        <v>177</v>
      </c>
      <c r="G8" s="38">
        <v>41518</v>
      </c>
    </row>
    <row r="9" spans="1:7" x14ac:dyDescent="0.2">
      <c r="A9" s="27" t="s">
        <v>175</v>
      </c>
      <c r="B9" s="323" t="str">
        <f>'Revenue Start'!D58</f>
        <v xml:space="preserve"> 76-075000-4214-01</v>
      </c>
      <c r="C9" s="319"/>
      <c r="D9" s="318">
        <f>'Revenue Start'!F58</f>
        <v>646017</v>
      </c>
      <c r="E9" s="27" t="s">
        <v>176</v>
      </c>
      <c r="F9" s="27" t="s">
        <v>177</v>
      </c>
      <c r="G9" s="38">
        <v>41518</v>
      </c>
    </row>
    <row r="10" spans="1:7" x14ac:dyDescent="0.2">
      <c r="A10" s="27" t="s">
        <v>175</v>
      </c>
      <c r="B10" s="323" t="str">
        <f>'Revenue Start'!D59</f>
        <v xml:space="preserve"> 76-075000-4217-01</v>
      </c>
      <c r="C10" s="319"/>
      <c r="D10" s="318">
        <f>'Revenue Start'!F59</f>
        <v>102000</v>
      </c>
      <c r="E10" s="27" t="s">
        <v>176</v>
      </c>
      <c r="F10" s="27" t="s">
        <v>177</v>
      </c>
      <c r="G10" s="38">
        <v>41518</v>
      </c>
    </row>
    <row r="11" spans="1:7" x14ac:dyDescent="0.2">
      <c r="A11" s="27" t="s">
        <v>175</v>
      </c>
      <c r="B11" s="323" t="str">
        <f>'Revenue Start'!D60</f>
        <v xml:space="preserve"> 76-075000-4228-01</v>
      </c>
      <c r="C11" s="319"/>
      <c r="D11" s="318">
        <f>'Revenue Start'!F60</f>
        <v>300923</v>
      </c>
      <c r="E11" s="27" t="s">
        <v>176</v>
      </c>
      <c r="F11" s="27" t="s">
        <v>177</v>
      </c>
      <c r="G11" s="38">
        <v>41518</v>
      </c>
    </row>
    <row r="12" spans="1:7" x14ac:dyDescent="0.2">
      <c r="A12" s="27" t="s">
        <v>175</v>
      </c>
      <c r="B12" s="323" t="str">
        <f>'Revenue Start'!D61</f>
        <v xml:space="preserve"> 76-075000-4229-01</v>
      </c>
      <c r="C12" s="319"/>
      <c r="D12" s="318">
        <f>'Revenue Start'!F61</f>
        <v>226197</v>
      </c>
      <c r="E12" s="27" t="s">
        <v>176</v>
      </c>
      <c r="F12" s="27" t="s">
        <v>177</v>
      </c>
      <c r="G12" s="38">
        <v>41518</v>
      </c>
    </row>
    <row r="13" spans="1:7" x14ac:dyDescent="0.2">
      <c r="A13" s="27" t="s">
        <v>175</v>
      </c>
      <c r="B13" s="323" t="str">
        <f>'Revenue Start'!D62</f>
        <v xml:space="preserve"> 76-075000-4242-01</v>
      </c>
      <c r="C13" s="319"/>
      <c r="D13" s="318">
        <f>'Revenue Start'!F62</f>
        <v>246952</v>
      </c>
      <c r="E13" s="27" t="s">
        <v>176</v>
      </c>
      <c r="F13" s="27" t="s">
        <v>177</v>
      </c>
      <c r="G13" s="38">
        <v>41518</v>
      </c>
    </row>
    <row r="14" spans="1:7" x14ac:dyDescent="0.2">
      <c r="A14" s="27" t="s">
        <v>175</v>
      </c>
      <c r="B14" s="323" t="str">
        <f>'Revenue Start'!D63</f>
        <v xml:space="preserve"> 76-079000-4577-01</v>
      </c>
      <c r="C14" s="319"/>
      <c r="D14" s="318">
        <f>'Revenue Start'!F63</f>
        <v>0</v>
      </c>
      <c r="E14" s="27" t="s">
        <v>176</v>
      </c>
      <c r="F14" s="27" t="s">
        <v>177</v>
      </c>
      <c r="G14" s="38">
        <v>41518</v>
      </c>
    </row>
    <row r="15" spans="1:7" x14ac:dyDescent="0.2">
      <c r="A15" s="27" t="s">
        <v>175</v>
      </c>
      <c r="B15" s="323" t="str">
        <f>'Revenue Start'!D64</f>
        <v xml:space="preserve"> 76-079000-4578-01</v>
      </c>
      <c r="C15" s="319"/>
      <c r="D15" s="318">
        <f>'Revenue Start'!F64</f>
        <v>300000</v>
      </c>
      <c r="E15" s="27" t="s">
        <v>176</v>
      </c>
      <c r="F15" s="27" t="s">
        <v>177</v>
      </c>
      <c r="G15" s="38">
        <v>41518</v>
      </c>
    </row>
    <row r="16" spans="1:7" x14ac:dyDescent="0.2">
      <c r="A16" s="27" t="s">
        <v>175</v>
      </c>
      <c r="B16" s="323" t="str">
        <f>'Revenue Start'!D67</f>
        <v xml:space="preserve"> 76-075000-4282-01</v>
      </c>
      <c r="C16" s="319"/>
      <c r="D16" s="318">
        <f>'Revenue Start'!F67</f>
        <v>0</v>
      </c>
      <c r="E16" s="27" t="s">
        <v>176</v>
      </c>
      <c r="F16" s="27" t="s">
        <v>177</v>
      </c>
      <c r="G16" s="38">
        <v>41518</v>
      </c>
    </row>
    <row r="17" spans="1:7" x14ac:dyDescent="0.2">
      <c r="A17" s="27" t="s">
        <v>175</v>
      </c>
      <c r="B17" s="323" t="str">
        <f>'Revenue Start'!D65</f>
        <v>76-075000-4295-01</v>
      </c>
      <c r="C17" s="319"/>
      <c r="D17" s="318">
        <f>'Revenue Start'!F65</f>
        <v>0</v>
      </c>
      <c r="E17" s="27" t="s">
        <v>176</v>
      </c>
      <c r="F17" s="27" t="s">
        <v>177</v>
      </c>
      <c r="G17" s="38">
        <v>41518</v>
      </c>
    </row>
    <row r="18" spans="1:7" x14ac:dyDescent="0.2">
      <c r="A18" s="27" t="s">
        <v>175</v>
      </c>
      <c r="B18" s="323" t="str">
        <f>'Revenue Start'!D66</f>
        <v xml:space="preserve"> 76-075000-4270-01</v>
      </c>
      <c r="C18" s="319"/>
      <c r="D18" s="318">
        <f>'Revenue Start'!F66</f>
        <v>0</v>
      </c>
      <c r="E18" s="27" t="s">
        <v>176</v>
      </c>
      <c r="F18" s="27" t="s">
        <v>177</v>
      </c>
      <c r="G18" s="38">
        <v>41518</v>
      </c>
    </row>
    <row r="19" spans="1:7" x14ac:dyDescent="0.2">
      <c r="A19" s="27" t="s">
        <v>175</v>
      </c>
      <c r="B19" s="323" t="str">
        <f>'Revenue Start'!D7</f>
        <v xml:space="preserve"> 11-052000-4300-01</v>
      </c>
      <c r="C19" s="319"/>
      <c r="D19" s="318">
        <f>'Revenue Start'!F7</f>
        <v>5498155</v>
      </c>
      <c r="E19" s="27" t="s">
        <v>176</v>
      </c>
      <c r="F19" s="27" t="s">
        <v>177</v>
      </c>
      <c r="G19" s="38">
        <v>41518</v>
      </c>
    </row>
    <row r="20" spans="1:7" x14ac:dyDescent="0.2">
      <c r="A20" s="27" t="s">
        <v>175</v>
      </c>
      <c r="B20" s="323" t="str">
        <f>'Revenue Start'!D11</f>
        <v xml:space="preserve"> 11-052000-4380-01</v>
      </c>
      <c r="C20" s="319"/>
      <c r="D20" s="318">
        <f>'Revenue Start'!F11</f>
        <v>880000</v>
      </c>
      <c r="E20" s="27" t="s">
        <v>176</v>
      </c>
      <c r="F20" s="27" t="s">
        <v>177</v>
      </c>
      <c r="G20" s="38">
        <v>41518</v>
      </c>
    </row>
    <row r="21" spans="1:7" x14ac:dyDescent="0.2">
      <c r="A21" s="27" t="s">
        <v>175</v>
      </c>
      <c r="B21" s="323" t="str">
        <f>'Revenue Start'!D12</f>
        <v xml:space="preserve"> 11-052000-4330-01</v>
      </c>
      <c r="C21" s="319"/>
      <c r="D21" s="318">
        <f>'Revenue Start'!F12</f>
        <v>907500</v>
      </c>
      <c r="E21" s="27" t="s">
        <v>176</v>
      </c>
      <c r="F21" s="27" t="s">
        <v>177</v>
      </c>
      <c r="G21" s="38">
        <v>41518</v>
      </c>
    </row>
    <row r="22" spans="1:7" x14ac:dyDescent="0.2">
      <c r="A22" s="27" t="s">
        <v>175</v>
      </c>
      <c r="B22" s="323" t="str">
        <f>'Revenue Start'!D13</f>
        <v xml:space="preserve"> 11-052000-4335-01</v>
      </c>
      <c r="C22" s="319"/>
      <c r="D22" s="318">
        <f>'Revenue Start'!F13</f>
        <v>350000</v>
      </c>
      <c r="E22" s="27" t="s">
        <v>176</v>
      </c>
      <c r="F22" s="27" t="s">
        <v>177</v>
      </c>
      <c r="G22" s="38">
        <v>41518</v>
      </c>
    </row>
    <row r="23" spans="1:7" x14ac:dyDescent="0.2">
      <c r="A23" s="27" t="s">
        <v>175</v>
      </c>
      <c r="B23" s="323" t="str">
        <f>'Revenue Start'!D14</f>
        <v xml:space="preserve"> 11-052000-4345-01</v>
      </c>
      <c r="C23" s="319"/>
      <c r="D23" s="318">
        <f>'Revenue Start'!F14</f>
        <v>8500</v>
      </c>
      <c r="E23" s="27" t="s">
        <v>176</v>
      </c>
      <c r="F23" s="27" t="s">
        <v>177</v>
      </c>
      <c r="G23" s="38">
        <v>41518</v>
      </c>
    </row>
    <row r="24" spans="1:7" x14ac:dyDescent="0.2">
      <c r="A24" s="27" t="s">
        <v>175</v>
      </c>
      <c r="B24" s="323" t="str">
        <f>'Revenue Start'!D15</f>
        <v xml:space="preserve"> 11-052000-4350-01</v>
      </c>
      <c r="C24" s="319"/>
      <c r="D24" s="318">
        <f>'Revenue Start'!F15</f>
        <v>4197600</v>
      </c>
      <c r="E24" s="27" t="s">
        <v>176</v>
      </c>
      <c r="F24" s="27" t="s">
        <v>177</v>
      </c>
      <c r="G24" s="38">
        <v>41518</v>
      </c>
    </row>
    <row r="25" spans="1:7" x14ac:dyDescent="0.2">
      <c r="A25" s="27" t="s">
        <v>175</v>
      </c>
      <c r="B25" s="323" t="str">
        <f>'Revenue Start'!D16</f>
        <v xml:space="preserve"> 11-052000-4360-01</v>
      </c>
      <c r="C25" s="319"/>
      <c r="D25" s="318">
        <f>'Revenue Start'!F16</f>
        <v>-1330948</v>
      </c>
      <c r="E25" s="27" t="s">
        <v>176</v>
      </c>
      <c r="F25" s="27" t="s">
        <v>177</v>
      </c>
      <c r="G25" s="38">
        <v>41518</v>
      </c>
    </row>
    <row r="26" spans="1:7" x14ac:dyDescent="0.2">
      <c r="A26" s="27" t="s">
        <v>175</v>
      </c>
      <c r="B26" s="323" t="str">
        <f>'Revenue Start'!D17</f>
        <v xml:space="preserve"> 11-052000-4365-01</v>
      </c>
      <c r="C26" s="319"/>
      <c r="D26" s="318">
        <f>'Revenue Start'!F17</f>
        <v>135000</v>
      </c>
      <c r="E26" s="27" t="s">
        <v>176</v>
      </c>
      <c r="F26" s="27" t="s">
        <v>177</v>
      </c>
      <c r="G26" s="38">
        <v>41518</v>
      </c>
    </row>
    <row r="27" spans="1:7" x14ac:dyDescent="0.2">
      <c r="A27" s="27" t="s">
        <v>175</v>
      </c>
      <c r="B27" s="323" t="str">
        <f>'Revenue Start'!D18</f>
        <v xml:space="preserve"> 11-052000-4370-01</v>
      </c>
      <c r="C27" s="319"/>
      <c r="D27" s="318">
        <f>'Revenue Start'!F18</f>
        <v>25000</v>
      </c>
      <c r="E27" s="27" t="s">
        <v>176</v>
      </c>
      <c r="F27" s="27" t="s">
        <v>177</v>
      </c>
      <c r="G27" s="38">
        <v>41518</v>
      </c>
    </row>
    <row r="28" spans="1:7" x14ac:dyDescent="0.2">
      <c r="A28" s="27" t="s">
        <v>175</v>
      </c>
      <c r="B28" s="323" t="str">
        <f>'Revenue Start'!D19</f>
        <v xml:space="preserve"> 11-052000-4375-01</v>
      </c>
      <c r="C28" s="319"/>
      <c r="D28" s="318">
        <f>'Revenue Start'!F19</f>
        <v>12000</v>
      </c>
      <c r="E28" s="27" t="s">
        <v>176</v>
      </c>
      <c r="F28" s="27" t="s">
        <v>177</v>
      </c>
      <c r="G28" s="38">
        <v>41518</v>
      </c>
    </row>
    <row r="29" spans="1:7" x14ac:dyDescent="0.2">
      <c r="A29" s="27" t="s">
        <v>175</v>
      </c>
      <c r="B29" s="323" t="str">
        <f>'Revenue Start'!D20</f>
        <v xml:space="preserve"> 11-052000-4384-01</v>
      </c>
      <c r="C29" s="319"/>
      <c r="D29" s="318">
        <f>'Revenue Start'!F20</f>
        <v>125000</v>
      </c>
      <c r="E29" s="27" t="s">
        <v>176</v>
      </c>
      <c r="F29" s="27" t="s">
        <v>177</v>
      </c>
      <c r="G29" s="38">
        <v>41518</v>
      </c>
    </row>
    <row r="30" spans="1:7" x14ac:dyDescent="0.2">
      <c r="A30" s="27" t="s">
        <v>175</v>
      </c>
      <c r="B30" s="323" t="str">
        <f>'Revenue Start'!D21</f>
        <v xml:space="preserve"> 11-052000-4355-01</v>
      </c>
      <c r="C30" s="319"/>
      <c r="D30" s="318">
        <f>'Revenue Start'!F21</f>
        <v>1430000</v>
      </c>
      <c r="E30" s="27" t="s">
        <v>176</v>
      </c>
      <c r="F30" s="27" t="s">
        <v>177</v>
      </c>
      <c r="G30" s="38">
        <v>41518</v>
      </c>
    </row>
    <row r="31" spans="1:7" x14ac:dyDescent="0.2">
      <c r="A31" s="27" t="s">
        <v>175</v>
      </c>
      <c r="B31" s="323" t="str">
        <f>'Revenue Start'!D22</f>
        <v>11-052000-4383-01</v>
      </c>
      <c r="C31" s="319"/>
      <c r="D31" s="318">
        <f>'Revenue Start'!F22</f>
        <v>30600</v>
      </c>
      <c r="E31" s="27" t="s">
        <v>176</v>
      </c>
      <c r="F31" s="27" t="s">
        <v>177</v>
      </c>
      <c r="G31" s="38">
        <v>41518</v>
      </c>
    </row>
    <row r="32" spans="1:7" x14ac:dyDescent="0.2">
      <c r="A32" s="27" t="s">
        <v>175</v>
      </c>
      <c r="B32" s="323" t="str">
        <f>'Revenue Start'!D23</f>
        <v>11-052000-4381-01</v>
      </c>
      <c r="C32" s="319"/>
      <c r="D32" s="318">
        <f>'Revenue Start'!F23</f>
        <v>130000</v>
      </c>
      <c r="E32" s="27" t="s">
        <v>176</v>
      </c>
      <c r="F32" s="27" t="s">
        <v>177</v>
      </c>
      <c r="G32" s="38">
        <v>41518</v>
      </c>
    </row>
    <row r="33" spans="1:7" x14ac:dyDescent="0.2">
      <c r="A33" s="27" t="s">
        <v>175</v>
      </c>
      <c r="B33" s="325" t="str">
        <f>'Revenue Start'!D25</f>
        <v>11-052000-4329-01</v>
      </c>
      <c r="C33" s="319">
        <f>-'Revenue Start'!F25</f>
        <v>900000</v>
      </c>
      <c r="D33" s="318"/>
      <c r="E33" s="27" t="s">
        <v>176</v>
      </c>
      <c r="F33" s="27" t="s">
        <v>177</v>
      </c>
      <c r="G33" s="38">
        <v>41518</v>
      </c>
    </row>
    <row r="34" spans="1:7" x14ac:dyDescent="0.2">
      <c r="A34" s="27" t="s">
        <v>175</v>
      </c>
      <c r="B34" s="323" t="str">
        <f>'Revenue Start'!D37</f>
        <v xml:space="preserve"> 11-053000-4390-90</v>
      </c>
      <c r="C34" s="319"/>
      <c r="D34" s="318">
        <f>'Revenue Start'!F37</f>
        <v>1620000</v>
      </c>
      <c r="E34" s="27" t="s">
        <v>176</v>
      </c>
      <c r="F34" s="27" t="s">
        <v>177</v>
      </c>
      <c r="G34" s="38">
        <v>41518</v>
      </c>
    </row>
    <row r="35" spans="1:7" x14ac:dyDescent="0.2">
      <c r="A35" s="27" t="s">
        <v>175</v>
      </c>
      <c r="B35" s="323" t="str">
        <f>'Revenue Start'!D38</f>
        <v xml:space="preserve"> 11-053000-4390-92</v>
      </c>
      <c r="C35" s="319"/>
      <c r="D35" s="318">
        <f>'Revenue Start'!F38</f>
        <v>422000</v>
      </c>
      <c r="E35" s="27" t="s">
        <v>176</v>
      </c>
      <c r="F35" s="27" t="s">
        <v>177</v>
      </c>
      <c r="G35" s="38">
        <v>41518</v>
      </c>
    </row>
    <row r="36" spans="1:7" x14ac:dyDescent="0.2">
      <c r="A36" s="27" t="s">
        <v>175</v>
      </c>
      <c r="B36" s="323" t="str">
        <f>'Revenue Start'!D39</f>
        <v xml:space="preserve"> 11-053000-4390-91</v>
      </c>
      <c r="C36" s="319"/>
      <c r="D36" s="318">
        <f>'Revenue Start'!F39</f>
        <v>425000</v>
      </c>
      <c r="E36" s="27" t="s">
        <v>176</v>
      </c>
      <c r="F36" s="27" t="s">
        <v>177</v>
      </c>
      <c r="G36" s="38">
        <v>41518</v>
      </c>
    </row>
    <row r="37" spans="1:7" x14ac:dyDescent="0.2">
      <c r="A37" s="27" t="s">
        <v>175</v>
      </c>
      <c r="B37" s="323" t="str">
        <f>'Revenue Start'!D42</f>
        <v xml:space="preserve"> 11-053000-4391-90</v>
      </c>
      <c r="C37" s="319"/>
      <c r="D37" s="318">
        <f>'Revenue Start'!F42</f>
        <v>35000</v>
      </c>
      <c r="E37" s="27" t="s">
        <v>176</v>
      </c>
      <c r="F37" s="27" t="s">
        <v>177</v>
      </c>
      <c r="G37" s="38">
        <v>41518</v>
      </c>
    </row>
    <row r="38" spans="1:7" x14ac:dyDescent="0.2">
      <c r="A38" s="27" t="s">
        <v>175</v>
      </c>
      <c r="B38" s="323" t="str">
        <f>'Revenue Start'!D43</f>
        <v xml:space="preserve"> 11-053000-4391-92</v>
      </c>
      <c r="C38" s="319"/>
      <c r="D38" s="318">
        <f>'Revenue Start'!F43</f>
        <v>12000</v>
      </c>
      <c r="E38" s="27" t="s">
        <v>176</v>
      </c>
      <c r="F38" s="27" t="s">
        <v>177</v>
      </c>
      <c r="G38" s="38">
        <v>41518</v>
      </c>
    </row>
    <row r="39" spans="1:7" x14ac:dyDescent="0.2">
      <c r="A39" s="27" t="s">
        <v>175</v>
      </c>
      <c r="B39" s="323" t="str">
        <f>'Revenue Start'!D44</f>
        <v xml:space="preserve"> 11-053000-4391-91</v>
      </c>
      <c r="C39" s="319"/>
      <c r="D39" s="318">
        <f>'Revenue Start'!F44</f>
        <v>7000</v>
      </c>
      <c r="E39" s="27" t="s">
        <v>176</v>
      </c>
      <c r="F39" s="27" t="s">
        <v>177</v>
      </c>
      <c r="G39" s="38">
        <v>41518</v>
      </c>
    </row>
    <row r="40" spans="1:7" x14ac:dyDescent="0.2">
      <c r="A40" s="27" t="s">
        <v>175</v>
      </c>
      <c r="B40" s="323" t="str">
        <f>'Revenue Start'!D28</f>
        <v xml:space="preserve"> 11-052000-4302-01</v>
      </c>
      <c r="C40" s="319"/>
      <c r="D40" s="318">
        <f>'Revenue Start'!F28+'Revenue Start'!F29+'Revenue Start'!F30+'Revenue Start'!F31+'Revenue Start'!F32+'Revenue Start'!F33+'Revenue Start'!F34</f>
        <v>1419180</v>
      </c>
      <c r="E40" s="27" t="s">
        <v>176</v>
      </c>
      <c r="F40" s="27" t="s">
        <v>177</v>
      </c>
      <c r="G40" s="38">
        <v>41518</v>
      </c>
    </row>
    <row r="41" spans="1:7" x14ac:dyDescent="0.2">
      <c r="A41" s="27" t="s">
        <v>175</v>
      </c>
      <c r="B41" s="323" t="str">
        <f>'Revenue Start'!D90</f>
        <v xml:space="preserve"> 11-056000-4450-01</v>
      </c>
      <c r="C41" s="319"/>
      <c r="D41" s="318">
        <f>'Revenue Start'!F90</f>
        <v>9000</v>
      </c>
      <c r="E41" s="27" t="s">
        <v>176</v>
      </c>
      <c r="F41" s="27" t="s">
        <v>177</v>
      </c>
      <c r="G41" s="38">
        <v>41518</v>
      </c>
    </row>
    <row r="42" spans="1:7" x14ac:dyDescent="0.2">
      <c r="A42" s="27" t="s">
        <v>175</v>
      </c>
      <c r="B42" s="323" t="str">
        <f>'Revenue Start'!D91</f>
        <v xml:space="preserve"> 11-056000-4451-01</v>
      </c>
      <c r="C42" s="319"/>
      <c r="D42" s="318">
        <f>'Revenue Start'!F91</f>
        <v>12000</v>
      </c>
      <c r="E42" s="27" t="s">
        <v>176</v>
      </c>
      <c r="F42" s="27" t="s">
        <v>177</v>
      </c>
      <c r="G42" s="38">
        <v>41518</v>
      </c>
    </row>
    <row r="43" spans="1:7" x14ac:dyDescent="0.2">
      <c r="A43" s="27" t="s">
        <v>175</v>
      </c>
      <c r="B43" s="323" t="str">
        <f>'Revenue Start'!D80</f>
        <v xml:space="preserve"> 11-059000-4500-01</v>
      </c>
      <c r="C43" s="319"/>
      <c r="D43" s="318">
        <f>'Revenue Start'!F80</f>
        <v>1270272</v>
      </c>
      <c r="E43" s="27" t="s">
        <v>176</v>
      </c>
      <c r="F43" s="27" t="s">
        <v>177</v>
      </c>
      <c r="G43" s="38">
        <v>41518</v>
      </c>
    </row>
    <row r="44" spans="1:7" x14ac:dyDescent="0.2">
      <c r="A44" s="27" t="s">
        <v>175</v>
      </c>
      <c r="B44" s="323" t="str">
        <f>'Revenue Start'!D81</f>
        <v xml:space="preserve"> 11-059000-4501-01</v>
      </c>
      <c r="C44" s="319"/>
      <c r="D44" s="318">
        <f>'Revenue Start'!F81</f>
        <v>142200</v>
      </c>
      <c r="E44" s="27" t="s">
        <v>176</v>
      </c>
      <c r="F44" s="27" t="s">
        <v>177</v>
      </c>
      <c r="G44" s="38">
        <v>41518</v>
      </c>
    </row>
    <row r="45" spans="1:7" x14ac:dyDescent="0.2">
      <c r="A45" s="27" t="s">
        <v>175</v>
      </c>
      <c r="B45" s="323" t="str">
        <f>'Revenue Start'!D82</f>
        <v xml:space="preserve"> 11-059000-4510-01</v>
      </c>
      <c r="C45" s="319"/>
      <c r="D45" s="318">
        <f>'Revenue Start'!F82</f>
        <v>15000</v>
      </c>
      <c r="E45" s="27" t="s">
        <v>176</v>
      </c>
      <c r="F45" s="27" t="s">
        <v>177</v>
      </c>
      <c r="G45" s="38">
        <v>41518</v>
      </c>
    </row>
    <row r="46" spans="1:7" x14ac:dyDescent="0.2">
      <c r="A46" s="27" t="s">
        <v>175</v>
      </c>
      <c r="B46" s="323" t="str">
        <f>'Revenue Start'!D83</f>
        <v xml:space="preserve"> 11-059000-4299-01</v>
      </c>
      <c r="C46" s="319"/>
      <c r="D46" s="318">
        <f>'Revenue Start'!F83</f>
        <v>140000</v>
      </c>
      <c r="E46" s="27" t="s">
        <v>176</v>
      </c>
      <c r="F46" s="27" t="s">
        <v>177</v>
      </c>
      <c r="G46" s="38">
        <v>41518</v>
      </c>
    </row>
    <row r="47" spans="1:7" x14ac:dyDescent="0.2">
      <c r="A47" s="27" t="s">
        <v>175</v>
      </c>
      <c r="B47" s="323" t="str">
        <f>'Revenue Start'!D84</f>
        <v xml:space="preserve"> 11-059000-4520-01</v>
      </c>
      <c r="C47" s="319"/>
      <c r="D47" s="318">
        <f>'Revenue Start'!F84</f>
        <v>26000</v>
      </c>
      <c r="E47" s="27" t="s">
        <v>176</v>
      </c>
      <c r="F47" s="27" t="s">
        <v>177</v>
      </c>
      <c r="G47" s="38">
        <v>41518</v>
      </c>
    </row>
    <row r="48" spans="1:7" x14ac:dyDescent="0.2">
      <c r="A48" s="27" t="s">
        <v>175</v>
      </c>
      <c r="B48" s="323" t="str">
        <f>'Revenue Start'!D85</f>
        <v xml:space="preserve"> 11-059000-4599-01</v>
      </c>
      <c r="C48" s="319"/>
      <c r="D48" s="318">
        <f>'Revenue Start'!F85</f>
        <v>82000</v>
      </c>
      <c r="E48" s="27" t="s">
        <v>176</v>
      </c>
      <c r="F48" s="27" t="s">
        <v>177</v>
      </c>
      <c r="G48" s="38">
        <v>41518</v>
      </c>
    </row>
    <row r="49" spans="1:7" x14ac:dyDescent="0.2">
      <c r="A49" s="27" t="s">
        <v>175</v>
      </c>
      <c r="B49" s="323" t="str">
        <f>'Revenue Start'!D86</f>
        <v xml:space="preserve"> 11-059000-4530-01</v>
      </c>
      <c r="C49" s="319"/>
      <c r="D49" s="318">
        <f>'Revenue Start'!F86</f>
        <v>25000</v>
      </c>
      <c r="E49" s="27" t="s">
        <v>176</v>
      </c>
      <c r="F49" s="27" t="s">
        <v>177</v>
      </c>
      <c r="G49" s="38">
        <v>41518</v>
      </c>
    </row>
    <row r="50" spans="1:7" x14ac:dyDescent="0.2">
      <c r="A50" s="27" t="s">
        <v>175</v>
      </c>
      <c r="B50" s="323" t="str">
        <f>'Revenue Start'!D87</f>
        <v xml:space="preserve"> 11-059000-4535-01</v>
      </c>
      <c r="C50" s="319"/>
      <c r="D50" s="318">
        <f>'Revenue Start'!F87</f>
        <v>21000</v>
      </c>
      <c r="E50" s="27" t="s">
        <v>176</v>
      </c>
      <c r="F50" s="27" t="s">
        <v>177</v>
      </c>
      <c r="G50" s="38">
        <v>41518</v>
      </c>
    </row>
    <row r="51" spans="1:7" x14ac:dyDescent="0.2">
      <c r="A51" s="27" t="s">
        <v>175</v>
      </c>
      <c r="B51" s="323" t="str">
        <f>'Revenue Start'!D88</f>
        <v xml:space="preserve"> 11-059000-4536-01</v>
      </c>
      <c r="C51" s="319"/>
      <c r="D51" s="318">
        <f>'Revenue Start'!F88</f>
        <v>140000</v>
      </c>
      <c r="E51" s="27" t="s">
        <v>176</v>
      </c>
      <c r="F51" s="27" t="s">
        <v>177</v>
      </c>
      <c r="G51" s="38">
        <v>41518</v>
      </c>
    </row>
    <row r="52" spans="1:7" x14ac:dyDescent="0.2">
      <c r="A52" s="27" t="s">
        <v>175</v>
      </c>
      <c r="B52" s="323" t="str">
        <f>'Revenue Start'!D89</f>
        <v xml:space="preserve"> 11-059000-4542-01</v>
      </c>
      <c r="C52" s="319"/>
      <c r="D52" s="318">
        <f>'Revenue Start'!F89</f>
        <v>30000</v>
      </c>
      <c r="E52" s="27" t="s">
        <v>176</v>
      </c>
      <c r="F52" s="27" t="s">
        <v>177</v>
      </c>
      <c r="G52" s="38">
        <v>41518</v>
      </c>
    </row>
    <row r="53" spans="1:7" x14ac:dyDescent="0.2">
      <c r="A53" s="27" t="s">
        <v>175</v>
      </c>
      <c r="B53" s="323" t="str">
        <f>'Revenue Start'!D70</f>
        <v xml:space="preserve"> 74-075000-4600-01</v>
      </c>
      <c r="C53" s="319"/>
      <c r="D53" s="318">
        <f>'Revenue Start'!F70</f>
        <v>147534</v>
      </c>
      <c r="E53" s="27" t="s">
        <v>176</v>
      </c>
      <c r="F53" s="27" t="s">
        <v>177</v>
      </c>
      <c r="G53" s="38">
        <v>41518</v>
      </c>
    </row>
    <row r="54" spans="1:7" x14ac:dyDescent="0.2">
      <c r="A54" s="27" t="s">
        <v>175</v>
      </c>
      <c r="B54" s="323" t="str">
        <f>'Revenue Start'!D71</f>
        <v xml:space="preserve"> 73-074000-4640-01</v>
      </c>
      <c r="C54" s="319"/>
      <c r="D54" s="318">
        <f>'Revenue Start'!F71</f>
        <v>33881</v>
      </c>
      <c r="E54" s="27" t="s">
        <v>176</v>
      </c>
      <c r="F54" s="27" t="s">
        <v>177</v>
      </c>
      <c r="G54" s="38">
        <v>41518</v>
      </c>
    </row>
    <row r="55" spans="1:7" x14ac:dyDescent="0.2">
      <c r="A55" s="27" t="s">
        <v>175</v>
      </c>
      <c r="B55" s="323" t="str">
        <f>'Revenue Start'!D72</f>
        <v xml:space="preserve"> 72-075000-4620-01</v>
      </c>
      <c r="C55" s="319"/>
      <c r="D55" s="318">
        <f>'Revenue Start'!F72</f>
        <v>12000000</v>
      </c>
      <c r="E55" s="27" t="s">
        <v>176</v>
      </c>
      <c r="F55" s="27" t="s">
        <v>177</v>
      </c>
      <c r="G55" s="38">
        <v>41518</v>
      </c>
    </row>
    <row r="56" spans="1:7" x14ac:dyDescent="0.2">
      <c r="A56" s="27" t="s">
        <v>175</v>
      </c>
      <c r="B56" s="323" t="str">
        <f>'Revenue Start'!D73</f>
        <v xml:space="preserve"> 72-075000-4604-01</v>
      </c>
      <c r="C56" s="319"/>
      <c r="D56" s="318">
        <f>'Revenue Start'!F73</f>
        <v>0</v>
      </c>
      <c r="E56" s="27" t="s">
        <v>176</v>
      </c>
      <c r="F56" s="27" t="s">
        <v>177</v>
      </c>
      <c r="G56" s="38">
        <v>41518</v>
      </c>
    </row>
    <row r="57" spans="1:7" x14ac:dyDescent="0.2">
      <c r="A57" s="27" t="s">
        <v>175</v>
      </c>
      <c r="B57" s="323" t="str">
        <f>'Revenue Start'!D74</f>
        <v xml:space="preserve"> 73-074000-4647-01</v>
      </c>
      <c r="C57" s="319"/>
      <c r="D57" s="318">
        <f>'Revenue Start'!F74</f>
        <v>0</v>
      </c>
      <c r="E57" s="27" t="s">
        <v>176</v>
      </c>
      <c r="F57" s="27" t="s">
        <v>177</v>
      </c>
      <c r="G57" s="38">
        <v>41518</v>
      </c>
    </row>
    <row r="58" spans="1:7" x14ac:dyDescent="0.2">
      <c r="A58" s="27" t="s">
        <v>175</v>
      </c>
      <c r="B58" s="323" t="str">
        <f>'Revenue Start'!D76</f>
        <v xml:space="preserve"> 73-074000-4636-01</v>
      </c>
      <c r="C58" s="319"/>
      <c r="D58" s="318">
        <f>'Revenue Start'!F76</f>
        <v>136913</v>
      </c>
      <c r="E58" s="27" t="s">
        <v>176</v>
      </c>
      <c r="F58" s="27" t="s">
        <v>177</v>
      </c>
      <c r="G58" s="38">
        <v>41518</v>
      </c>
    </row>
    <row r="59" spans="1:7" x14ac:dyDescent="0.2">
      <c r="A59" s="27" t="s">
        <v>175</v>
      </c>
      <c r="B59" s="323" t="str">
        <f>'Revenue Start'!D77</f>
        <v xml:space="preserve"> 73-074000-4649-01</v>
      </c>
      <c r="C59" s="319"/>
      <c r="D59" s="318">
        <f>'Revenue Start'!F77</f>
        <v>435925</v>
      </c>
      <c r="E59" s="27" t="s">
        <v>176</v>
      </c>
      <c r="F59" s="27" t="s">
        <v>177</v>
      </c>
      <c r="G59" s="38">
        <v>41518</v>
      </c>
    </row>
    <row r="60" spans="1:7" x14ac:dyDescent="0.2">
      <c r="A60" s="27" t="s">
        <v>175</v>
      </c>
      <c r="B60" s="323" t="str">
        <f>'Revenue Start'!D94</f>
        <v xml:space="preserve"> 40-060000-4770-01</v>
      </c>
      <c r="C60" s="319"/>
      <c r="D60" s="318">
        <f>'Revenue Start'!F94</f>
        <v>330000</v>
      </c>
      <c r="E60" s="27" t="s">
        <v>176</v>
      </c>
      <c r="F60" s="27" t="s">
        <v>177</v>
      </c>
      <c r="G60" s="38">
        <v>41518</v>
      </c>
    </row>
    <row r="61" spans="1:7" x14ac:dyDescent="0.2">
      <c r="A61" s="27" t="s">
        <v>175</v>
      </c>
      <c r="B61" s="323" t="str">
        <f>'Revenue Start'!D95</f>
        <v xml:space="preserve"> 40-060000-4771-01</v>
      </c>
      <c r="C61" s="319"/>
      <c r="D61" s="318">
        <f>'Revenue Start'!F95</f>
        <v>50000</v>
      </c>
      <c r="E61" s="27" t="s">
        <v>176</v>
      </c>
      <c r="F61" s="27" t="s">
        <v>177</v>
      </c>
      <c r="G61" s="38">
        <v>41518</v>
      </c>
    </row>
    <row r="62" spans="1:7" x14ac:dyDescent="0.2">
      <c r="A62" s="27" t="s">
        <v>175</v>
      </c>
      <c r="B62" s="323" t="str">
        <f>'Revenue Start'!D97</f>
        <v xml:space="preserve"> 40-060000-4756-01</v>
      </c>
      <c r="C62" s="319"/>
      <c r="D62" s="318">
        <f>'Revenue Start'!F97</f>
        <v>445000</v>
      </c>
      <c r="E62" s="27" t="s">
        <v>176</v>
      </c>
      <c r="F62" s="27" t="s">
        <v>177</v>
      </c>
      <c r="G62" s="38">
        <v>41518</v>
      </c>
    </row>
    <row r="63" spans="1:7" x14ac:dyDescent="0.2">
      <c r="A63" s="27" t="s">
        <v>175</v>
      </c>
      <c r="B63" s="323" t="str">
        <f>'Revenue Start'!D98</f>
        <v xml:space="preserve"> 40-060000-4757-01</v>
      </c>
      <c r="C63" s="319"/>
      <c r="D63" s="318">
        <f>'Revenue Start'!F98</f>
        <v>100000</v>
      </c>
      <c r="E63" s="27" t="s">
        <v>176</v>
      </c>
      <c r="F63" s="27" t="s">
        <v>177</v>
      </c>
      <c r="G63" s="38">
        <v>41518</v>
      </c>
    </row>
    <row r="64" spans="1:7" x14ac:dyDescent="0.2">
      <c r="A64" s="27" t="s">
        <v>175</v>
      </c>
      <c r="B64" s="323" t="str">
        <f>'Revenue Start'!D99</f>
        <v xml:space="preserve"> 40-060000-4758-01</v>
      </c>
      <c r="C64" s="319"/>
      <c r="D64" s="318">
        <f>'Revenue Start'!F99</f>
        <v>2500</v>
      </c>
      <c r="E64" s="27" t="s">
        <v>176</v>
      </c>
      <c r="F64" s="27" t="s">
        <v>177</v>
      </c>
      <c r="G64" s="38">
        <v>41518</v>
      </c>
    </row>
    <row r="65" spans="1:7" x14ac:dyDescent="0.2">
      <c r="A65" s="27" t="s">
        <v>175</v>
      </c>
      <c r="B65" s="323" t="str">
        <f>'Revenue Start'!D100</f>
        <v xml:space="preserve"> 40-060000-4740-01</v>
      </c>
      <c r="C65" s="319"/>
      <c r="D65" s="318">
        <f>'Revenue Start'!F100</f>
        <v>20000</v>
      </c>
      <c r="E65" s="27" t="s">
        <v>176</v>
      </c>
      <c r="F65" s="27" t="s">
        <v>177</v>
      </c>
      <c r="G65" s="38">
        <v>41518</v>
      </c>
    </row>
    <row r="66" spans="1:7" x14ac:dyDescent="0.2">
      <c r="A66" s="27" t="s">
        <v>175</v>
      </c>
      <c r="B66" s="323" t="str">
        <f>+'Revenue Start'!D96</f>
        <v xml:space="preserve"> 40-060000-4745-01</v>
      </c>
      <c r="C66" s="319"/>
      <c r="D66" s="323">
        <f>+'Revenue Start'!F96</f>
        <v>80000</v>
      </c>
      <c r="E66" s="27" t="s">
        <v>176</v>
      </c>
      <c r="F66" s="27" t="s">
        <v>177</v>
      </c>
      <c r="G66" s="38">
        <v>41518</v>
      </c>
    </row>
    <row r="67" spans="1:7" x14ac:dyDescent="0.2">
      <c r="A67" s="27" t="s">
        <v>175</v>
      </c>
      <c r="B67" s="323" t="str">
        <f>'Revenue Start'!D101</f>
        <v xml:space="preserve"> 40-060000-4775-01</v>
      </c>
      <c r="C67" s="319"/>
      <c r="D67" s="318">
        <f>'Revenue Start'!F101</f>
        <v>100000</v>
      </c>
      <c r="E67" s="27" t="s">
        <v>176</v>
      </c>
      <c r="F67" s="27" t="s">
        <v>177</v>
      </c>
      <c r="G67" s="38">
        <v>41518</v>
      </c>
    </row>
    <row r="68" spans="1:7" x14ac:dyDescent="0.2">
      <c r="A68" s="27" t="s">
        <v>175</v>
      </c>
      <c r="B68" s="323" t="str">
        <f>'Revenue Start'!D102</f>
        <v xml:space="preserve"> 40-060000-4799-01</v>
      </c>
      <c r="C68" s="319"/>
      <c r="D68" s="318">
        <f>'Revenue Start'!F102</f>
        <v>5000</v>
      </c>
      <c r="E68" s="27" t="s">
        <v>176</v>
      </c>
      <c r="F68" s="27" t="s">
        <v>177</v>
      </c>
      <c r="G68" s="38">
        <v>41518</v>
      </c>
    </row>
    <row r="69" spans="1:7" x14ac:dyDescent="0.2">
      <c r="A69" s="27" t="s">
        <v>175</v>
      </c>
      <c r="B69" s="323" t="str">
        <f>'Revenue Start'!D103</f>
        <v xml:space="preserve"> 40-060000-4510-01</v>
      </c>
      <c r="C69" s="319"/>
      <c r="D69" s="318">
        <f>'Revenue Start'!F103</f>
        <v>2000</v>
      </c>
      <c r="E69" s="27" t="s">
        <v>176</v>
      </c>
      <c r="F69" s="27" t="s">
        <v>177</v>
      </c>
      <c r="G69" s="38">
        <v>41518</v>
      </c>
    </row>
    <row r="70" spans="1:7" x14ac:dyDescent="0.2">
      <c r="A70" s="27" t="s">
        <v>175</v>
      </c>
      <c r="B70" s="326" t="str">
        <f>+'Combine Sal Op'!E320</f>
        <v xml:space="preserve"> 12-500010-5000-01</v>
      </c>
      <c r="C70" s="319">
        <f>'Combine Sal Op'!I320</f>
        <v>9000</v>
      </c>
      <c r="E70" s="27" t="s">
        <v>176</v>
      </c>
      <c r="F70" s="27" t="s">
        <v>177</v>
      </c>
      <c r="G70" s="38">
        <v>41518</v>
      </c>
    </row>
    <row r="71" spans="1:7" x14ac:dyDescent="0.2">
      <c r="A71" s="27" t="s">
        <v>175</v>
      </c>
      <c r="B71" s="326" t="str">
        <f>+'Combine Sal Op'!E322</f>
        <v xml:space="preserve"> 12-500020-5000-01</v>
      </c>
      <c r="C71" s="319">
        <f>'Combine Sal Op'!I322</f>
        <v>16700</v>
      </c>
      <c r="E71" s="27" t="s">
        <v>176</v>
      </c>
      <c r="F71" s="27" t="s">
        <v>177</v>
      </c>
      <c r="G71" s="38">
        <v>41518</v>
      </c>
    </row>
    <row r="72" spans="1:7" x14ac:dyDescent="0.2">
      <c r="A72" s="27" t="s">
        <v>175</v>
      </c>
      <c r="B72" s="326" t="str">
        <f>+'Combine Sal Op'!E323</f>
        <v xml:space="preserve"> 12-500020-7000-01</v>
      </c>
      <c r="C72" s="319">
        <f>'Combine Sal Op'!I323</f>
        <v>152132.99</v>
      </c>
      <c r="E72" s="27" t="s">
        <v>176</v>
      </c>
      <c r="F72" s="27" t="s">
        <v>177</v>
      </c>
      <c r="G72" s="38">
        <v>41518</v>
      </c>
    </row>
    <row r="73" spans="1:7" x14ac:dyDescent="0.2">
      <c r="A73" s="27" t="s">
        <v>175</v>
      </c>
      <c r="B73" s="326" t="str">
        <f>+'Combine Sal Op'!E325</f>
        <v>12-500021-5000-01</v>
      </c>
      <c r="C73" s="319">
        <f>'Combine Sal Op'!I325</f>
        <v>0</v>
      </c>
      <c r="E73" s="27" t="s">
        <v>176</v>
      </c>
      <c r="F73" s="27" t="s">
        <v>177</v>
      </c>
      <c r="G73" s="38">
        <v>41518</v>
      </c>
    </row>
    <row r="74" spans="1:7" x14ac:dyDescent="0.2">
      <c r="A74" s="27" t="s">
        <v>175</v>
      </c>
      <c r="B74" s="326" t="str">
        <f>+'Combine Sal Op'!E327</f>
        <v xml:space="preserve"> 12-510040-5000-01</v>
      </c>
      <c r="C74" s="319">
        <f>'Combine Sal Op'!I327</f>
        <v>15000</v>
      </c>
      <c r="E74" s="27" t="s">
        <v>176</v>
      </c>
      <c r="F74" s="27" t="s">
        <v>177</v>
      </c>
      <c r="G74" s="38">
        <v>41518</v>
      </c>
    </row>
    <row r="75" spans="1:7" x14ac:dyDescent="0.2">
      <c r="A75" s="27" t="s">
        <v>175</v>
      </c>
      <c r="B75" s="326" t="str">
        <f>+'Combine Sal Op'!E328</f>
        <v xml:space="preserve"> 12-510040-7000-01</v>
      </c>
      <c r="C75" s="319">
        <f>'Combine Sal Op'!I328</f>
        <v>0</v>
      </c>
      <c r="E75" s="27" t="s">
        <v>176</v>
      </c>
      <c r="F75" s="27" t="s">
        <v>177</v>
      </c>
      <c r="G75" s="38">
        <v>41518</v>
      </c>
    </row>
    <row r="76" spans="1:7" x14ac:dyDescent="0.2">
      <c r="A76" s="27" t="s">
        <v>175</v>
      </c>
      <c r="B76" s="326" t="str">
        <f>+'Combine Sal Op'!E330</f>
        <v xml:space="preserve"> 12-500022-5000-01</v>
      </c>
      <c r="C76" s="319">
        <f>'Combine Sal Op'!I330</f>
        <v>3425</v>
      </c>
      <c r="E76" s="27" t="s">
        <v>176</v>
      </c>
      <c r="F76" s="27" t="s">
        <v>177</v>
      </c>
      <c r="G76" s="38">
        <v>41518</v>
      </c>
    </row>
    <row r="77" spans="1:7" x14ac:dyDescent="0.2">
      <c r="A77" s="27" t="s">
        <v>175</v>
      </c>
      <c r="B77" s="326" t="str">
        <f>+'Combine Sal Op'!E331</f>
        <v xml:space="preserve"> 12-500022-7000-01</v>
      </c>
      <c r="C77" s="319">
        <f>'Combine Sal Op'!I331</f>
        <v>103876.25</v>
      </c>
      <c r="E77" s="27" t="s">
        <v>176</v>
      </c>
      <c r="F77" s="27" t="s">
        <v>177</v>
      </c>
      <c r="G77" s="38">
        <v>41518</v>
      </c>
    </row>
    <row r="78" spans="1:7" x14ac:dyDescent="0.2">
      <c r="A78" s="27" t="s">
        <v>175</v>
      </c>
      <c r="B78" s="326" t="str">
        <f>+'Combine Sal Op'!E333</f>
        <v xml:space="preserve"> 12-500025-5000-01</v>
      </c>
      <c r="C78" s="319">
        <f>'Combine Sal Op'!I333</f>
        <v>4280</v>
      </c>
      <c r="E78" s="27" t="s">
        <v>176</v>
      </c>
      <c r="F78" s="27" t="s">
        <v>177</v>
      </c>
      <c r="G78" s="38">
        <v>41518</v>
      </c>
    </row>
    <row r="79" spans="1:7" x14ac:dyDescent="0.2">
      <c r="A79" s="27" t="s">
        <v>175</v>
      </c>
      <c r="B79" s="326" t="str">
        <f>+'Combine Sal Op'!E334</f>
        <v xml:space="preserve"> 12-500025-7000-01</v>
      </c>
      <c r="C79" s="319">
        <f>'Combine Sal Op'!I334</f>
        <v>101044.29</v>
      </c>
      <c r="E79" s="27" t="s">
        <v>176</v>
      </c>
      <c r="F79" s="27" t="s">
        <v>177</v>
      </c>
      <c r="G79" s="38">
        <v>41518</v>
      </c>
    </row>
    <row r="80" spans="1:7" x14ac:dyDescent="0.2">
      <c r="A80" s="27" t="s">
        <v>175</v>
      </c>
      <c r="B80" s="325" t="str">
        <f>'Combine Sal Op'!E336</f>
        <v xml:space="preserve"> 12-500050-5000-01</v>
      </c>
      <c r="C80" s="319">
        <f>'Combine Sal Op'!I336</f>
        <v>92312</v>
      </c>
      <c r="E80" s="27" t="s">
        <v>176</v>
      </c>
      <c r="F80" s="27" t="s">
        <v>177</v>
      </c>
      <c r="G80" s="38">
        <v>41518</v>
      </c>
    </row>
    <row r="81" spans="1:7" x14ac:dyDescent="0.2">
      <c r="A81" s="27" t="s">
        <v>175</v>
      </c>
      <c r="B81" s="325" t="str">
        <f>'Combine Sal Op'!E337</f>
        <v xml:space="preserve"> 12-500050-7000-01</v>
      </c>
      <c r="C81" s="319">
        <f>'Combine Sal Op'!I337</f>
        <v>347243.75</v>
      </c>
      <c r="E81" s="27" t="s">
        <v>176</v>
      </c>
      <c r="F81" s="27" t="s">
        <v>177</v>
      </c>
      <c r="G81" s="38">
        <v>41518</v>
      </c>
    </row>
    <row r="82" spans="1:7" x14ac:dyDescent="0.2">
      <c r="A82" s="27" t="s">
        <v>175</v>
      </c>
      <c r="B82" s="325" t="str">
        <f>'Combine Sal Op'!E339</f>
        <v xml:space="preserve"> 12-500051-5000-01</v>
      </c>
      <c r="C82" s="319">
        <f>'Combine Sal Op'!I339</f>
        <v>24984</v>
      </c>
      <c r="E82" s="27" t="s">
        <v>176</v>
      </c>
      <c r="F82" s="27" t="s">
        <v>177</v>
      </c>
      <c r="G82" s="38">
        <v>41518</v>
      </c>
    </row>
    <row r="83" spans="1:7" x14ac:dyDescent="0.2">
      <c r="A83" s="27" t="s">
        <v>175</v>
      </c>
      <c r="B83" s="325" t="str">
        <f>'Combine Sal Op'!E340</f>
        <v xml:space="preserve"> 12-500051-7000-01</v>
      </c>
      <c r="C83" s="319">
        <f>'Combine Sal Op'!I340</f>
        <v>79836.13</v>
      </c>
      <c r="E83" s="27" t="s">
        <v>176</v>
      </c>
      <c r="F83" s="27" t="s">
        <v>177</v>
      </c>
      <c r="G83" s="38">
        <v>41518</v>
      </c>
    </row>
    <row r="84" spans="1:7" x14ac:dyDescent="0.2">
      <c r="A84" s="27" t="s">
        <v>175</v>
      </c>
      <c r="B84" s="325" t="str">
        <f>'Combine Sal Op'!E342</f>
        <v xml:space="preserve"> 12-500052-5000-01</v>
      </c>
      <c r="C84" s="319">
        <f>'Combine Sal Op'!I342</f>
        <v>14540</v>
      </c>
      <c r="E84" s="27" t="s">
        <v>176</v>
      </c>
      <c r="F84" s="27" t="s">
        <v>177</v>
      </c>
      <c r="G84" s="38">
        <v>41518</v>
      </c>
    </row>
    <row r="85" spans="1:7" x14ac:dyDescent="0.2">
      <c r="A85" s="27" t="s">
        <v>175</v>
      </c>
      <c r="B85" s="325" t="str">
        <f>'Combine Sal Op'!E343</f>
        <v xml:space="preserve"> 12-500052-7000-01</v>
      </c>
      <c r="C85" s="319">
        <f>'Combine Sal Op'!I343</f>
        <v>63873.41</v>
      </c>
      <c r="E85" s="27" t="s">
        <v>176</v>
      </c>
      <c r="F85" s="27" t="s">
        <v>177</v>
      </c>
      <c r="G85" s="38">
        <v>41518</v>
      </c>
    </row>
    <row r="86" spans="1:7" x14ac:dyDescent="0.2">
      <c r="A86" s="27" t="s">
        <v>175</v>
      </c>
      <c r="B86" s="325" t="str">
        <f>'Combine Sal Op'!E348</f>
        <v>12-500084-5000-01</v>
      </c>
      <c r="C86" s="319">
        <f>'Combine Sal Op'!I348</f>
        <v>3000</v>
      </c>
      <c r="E86" s="27" t="s">
        <v>176</v>
      </c>
      <c r="F86" s="27" t="s">
        <v>177</v>
      </c>
      <c r="G86" s="38">
        <v>41518</v>
      </c>
    </row>
    <row r="87" spans="1:7" x14ac:dyDescent="0.2">
      <c r="A87" s="27" t="s">
        <v>175</v>
      </c>
      <c r="B87" s="325" t="str">
        <f>'Combine Sal Op'!E349</f>
        <v>12-500084-7000-01</v>
      </c>
      <c r="C87" s="319">
        <f>'Combine Sal Op'!I349</f>
        <v>30845.79</v>
      </c>
      <c r="E87" s="27" t="s">
        <v>176</v>
      </c>
      <c r="F87" s="27" t="s">
        <v>177</v>
      </c>
      <c r="G87" s="38">
        <v>41518</v>
      </c>
    </row>
    <row r="88" spans="1:7" x14ac:dyDescent="0.2">
      <c r="A88" s="27" t="s">
        <v>175</v>
      </c>
      <c r="B88" s="325" t="str">
        <f>'Combine Sal Op'!E402</f>
        <v>12-500085-5000-01</v>
      </c>
      <c r="C88" s="319">
        <f>'Combine Sal Op'!I402</f>
        <v>218000</v>
      </c>
      <c r="E88" s="27" t="s">
        <v>176</v>
      </c>
      <c r="F88" s="27" t="s">
        <v>177</v>
      </c>
      <c r="G88" s="38">
        <v>41518</v>
      </c>
    </row>
    <row r="89" spans="1:7" x14ac:dyDescent="0.2">
      <c r="A89" s="27" t="s">
        <v>175</v>
      </c>
      <c r="B89" s="325" t="str">
        <f>'Combine Sal Op'!E205</f>
        <v xml:space="preserve"> 12-400010-5000-01</v>
      </c>
      <c r="C89" s="319">
        <f>'Combine Sal Op'!I205</f>
        <v>41240</v>
      </c>
      <c r="E89" s="27" t="s">
        <v>176</v>
      </c>
      <c r="F89" s="27" t="s">
        <v>177</v>
      </c>
      <c r="G89" s="38">
        <v>41518</v>
      </c>
    </row>
    <row r="90" spans="1:7" x14ac:dyDescent="0.2">
      <c r="A90" s="27" t="s">
        <v>175</v>
      </c>
      <c r="B90" s="325" t="str">
        <f>'Combine Sal Op'!E206</f>
        <v xml:space="preserve"> 12-400010-7000-01</v>
      </c>
      <c r="C90" s="319">
        <f>'Combine Sal Op'!I206</f>
        <v>218323.53</v>
      </c>
      <c r="E90" s="27" t="s">
        <v>176</v>
      </c>
      <c r="F90" s="27" t="s">
        <v>177</v>
      </c>
      <c r="G90" s="38">
        <v>41518</v>
      </c>
    </row>
    <row r="91" spans="1:7" x14ac:dyDescent="0.2">
      <c r="A91" s="27" t="s">
        <v>175</v>
      </c>
      <c r="B91" s="325" t="str">
        <f>'Combine Sal Op'!E208</f>
        <v xml:space="preserve"> 12-400025-5000-01</v>
      </c>
      <c r="C91" s="319">
        <f>'Combine Sal Op'!I208</f>
        <v>2120</v>
      </c>
      <c r="E91" s="27" t="s">
        <v>176</v>
      </c>
      <c r="F91" s="27" t="s">
        <v>177</v>
      </c>
      <c r="G91" s="38">
        <v>41518</v>
      </c>
    </row>
    <row r="92" spans="1:7" x14ac:dyDescent="0.2">
      <c r="A92" s="27" t="s">
        <v>175</v>
      </c>
      <c r="B92" s="325" t="str">
        <f>'Combine Sal Op'!E209</f>
        <v xml:space="preserve"> 12-400025-7000-01</v>
      </c>
      <c r="C92" s="319">
        <f>'Combine Sal Op'!I209</f>
        <v>104928.22</v>
      </c>
      <c r="E92" s="27" t="s">
        <v>176</v>
      </c>
      <c r="F92" s="27" t="s">
        <v>177</v>
      </c>
      <c r="G92" s="38">
        <v>41518</v>
      </c>
    </row>
    <row r="93" spans="1:7" x14ac:dyDescent="0.2">
      <c r="A93" s="27" t="s">
        <v>175</v>
      </c>
      <c r="B93" s="325" t="str">
        <f>'Combine Sal Op'!E211</f>
        <v xml:space="preserve"> 12-400050-5000-01</v>
      </c>
      <c r="C93" s="319">
        <f>'Combine Sal Op'!I211</f>
        <v>2120</v>
      </c>
      <c r="E93" s="27" t="s">
        <v>176</v>
      </c>
      <c r="F93" s="27" t="s">
        <v>177</v>
      </c>
      <c r="G93" s="38">
        <v>41518</v>
      </c>
    </row>
    <row r="94" spans="1:7" x14ac:dyDescent="0.2">
      <c r="A94" s="27" t="s">
        <v>175</v>
      </c>
      <c r="B94" s="325" t="str">
        <f>'Combine Sal Op'!E213</f>
        <v xml:space="preserve"> 12-400015-5000-01</v>
      </c>
      <c r="C94" s="319">
        <f>'Combine Sal Op'!I213</f>
        <v>3000</v>
      </c>
      <c r="E94" s="27" t="s">
        <v>176</v>
      </c>
      <c r="F94" s="27" t="s">
        <v>177</v>
      </c>
      <c r="G94" s="38">
        <v>41518</v>
      </c>
    </row>
    <row r="95" spans="1:7" x14ac:dyDescent="0.2">
      <c r="A95" s="27" t="s">
        <v>175</v>
      </c>
      <c r="B95" s="325" t="str">
        <f>'Combine Sal Op'!E214</f>
        <v xml:space="preserve"> 12-400015-7000-01</v>
      </c>
      <c r="C95" s="319">
        <f>'Combine Sal Op'!I214</f>
        <v>187314.28</v>
      </c>
      <c r="E95" s="27" t="s">
        <v>176</v>
      </c>
      <c r="F95" s="27" t="s">
        <v>177</v>
      </c>
      <c r="G95" s="38">
        <v>41518</v>
      </c>
    </row>
    <row r="96" spans="1:7" x14ac:dyDescent="0.2">
      <c r="A96" s="27" t="s">
        <v>175</v>
      </c>
      <c r="B96" s="325" t="str">
        <f>'Combine Sal Op'!E219</f>
        <v xml:space="preserve"> 12-400020-5000-01</v>
      </c>
      <c r="C96" s="319">
        <f>'Combine Sal Op'!I219</f>
        <v>32000</v>
      </c>
      <c r="E96" s="27" t="s">
        <v>176</v>
      </c>
      <c r="F96" s="27" t="s">
        <v>177</v>
      </c>
      <c r="G96" s="38">
        <v>41518</v>
      </c>
    </row>
    <row r="97" spans="1:7" x14ac:dyDescent="0.2">
      <c r="A97" s="27" t="s">
        <v>175</v>
      </c>
      <c r="B97" s="325" t="str">
        <f>'Combine Sal Op'!E220</f>
        <v xml:space="preserve"> 12-400020-7000-01</v>
      </c>
      <c r="C97" s="319">
        <f>'Combine Sal Op'!I220</f>
        <v>259577.67</v>
      </c>
      <c r="E97" s="27" t="s">
        <v>176</v>
      </c>
      <c r="F97" s="27" t="s">
        <v>177</v>
      </c>
      <c r="G97" s="38">
        <v>41518</v>
      </c>
    </row>
    <row r="98" spans="1:7" x14ac:dyDescent="0.2">
      <c r="A98" s="27" t="s">
        <v>175</v>
      </c>
      <c r="B98" s="325" t="str">
        <f>'Combine Sal Op'!E224</f>
        <v xml:space="preserve"> 12-400035-5000-01</v>
      </c>
      <c r="C98" s="319">
        <f>'Combine Sal Op'!I224</f>
        <v>0</v>
      </c>
      <c r="E98" s="27" t="s">
        <v>176</v>
      </c>
      <c r="F98" s="27" t="s">
        <v>177</v>
      </c>
      <c r="G98" s="38">
        <v>41518</v>
      </c>
    </row>
    <row r="99" spans="1:7" x14ac:dyDescent="0.2">
      <c r="A99" s="27" t="s">
        <v>175</v>
      </c>
      <c r="B99" s="325" t="str">
        <f>'Combine Sal Op'!E225</f>
        <v xml:space="preserve"> 12-400035-7000-01</v>
      </c>
      <c r="C99" s="319">
        <f>'Combine Sal Op'!I225</f>
        <v>0</v>
      </c>
      <c r="E99" s="27" t="s">
        <v>176</v>
      </c>
      <c r="F99" s="27" t="s">
        <v>177</v>
      </c>
      <c r="G99" s="38">
        <v>41518</v>
      </c>
    </row>
    <row r="100" spans="1:7" x14ac:dyDescent="0.2">
      <c r="A100" s="27" t="s">
        <v>175</v>
      </c>
      <c r="B100" s="325" t="str">
        <f>'Combine Sal Op'!E233</f>
        <v xml:space="preserve"> 12-400030-7000-01</v>
      </c>
      <c r="C100" s="319">
        <f>'Combine Sal Op'!I233</f>
        <v>32860.94</v>
      </c>
      <c r="E100" s="27" t="s">
        <v>176</v>
      </c>
      <c r="F100" s="27" t="s">
        <v>177</v>
      </c>
      <c r="G100" s="38">
        <v>41518</v>
      </c>
    </row>
    <row r="101" spans="1:7" x14ac:dyDescent="0.2">
      <c r="A101" s="27" t="s">
        <v>175</v>
      </c>
      <c r="B101" s="325" t="str">
        <f>'Combine Sal Op'!E232</f>
        <v xml:space="preserve"> 12-400030-5000-01</v>
      </c>
      <c r="C101" s="319">
        <f>'Combine Sal Op'!I232</f>
        <v>16640</v>
      </c>
      <c r="E101" s="27" t="s">
        <v>176</v>
      </c>
      <c r="F101" s="27" t="s">
        <v>177</v>
      </c>
      <c r="G101" s="38">
        <v>41518</v>
      </c>
    </row>
    <row r="102" spans="1:7" x14ac:dyDescent="0.2">
      <c r="A102" s="27" t="s">
        <v>175</v>
      </c>
      <c r="B102" s="325" t="str">
        <f>'Combine Sal Op'!E236</f>
        <v xml:space="preserve"> 61-820001-5000-01</v>
      </c>
      <c r="C102" s="319">
        <f>'Combine Sal Op'!I236</f>
        <v>0</v>
      </c>
      <c r="E102" s="27" t="s">
        <v>176</v>
      </c>
      <c r="F102" s="27" t="s">
        <v>177</v>
      </c>
      <c r="G102" s="38">
        <v>41518</v>
      </c>
    </row>
    <row r="103" spans="1:7" x14ac:dyDescent="0.2">
      <c r="A103" s="27" t="s">
        <v>175</v>
      </c>
      <c r="B103" s="325" t="str">
        <f>'Combine Sal Op'!E633</f>
        <v xml:space="preserve"> 61-820002-5000-02</v>
      </c>
      <c r="C103" s="319">
        <f>'Combine Sal Op'!I633</f>
        <v>13310</v>
      </c>
      <c r="E103" s="27" t="s">
        <v>176</v>
      </c>
      <c r="F103" s="27" t="s">
        <v>177</v>
      </c>
      <c r="G103" s="38">
        <v>41518</v>
      </c>
    </row>
    <row r="104" spans="1:7" x14ac:dyDescent="0.2">
      <c r="A104" s="27" t="s">
        <v>175</v>
      </c>
      <c r="B104" s="325" t="str">
        <f>'Combine Sal Op'!E238</f>
        <v xml:space="preserve"> 61-820003-5000-01</v>
      </c>
      <c r="C104" s="319">
        <f>'Combine Sal Op'!I238</f>
        <v>0</v>
      </c>
      <c r="E104" s="27" t="s">
        <v>176</v>
      </c>
      <c r="F104" s="27" t="s">
        <v>177</v>
      </c>
      <c r="G104" s="38">
        <v>41518</v>
      </c>
    </row>
    <row r="105" spans="1:7" x14ac:dyDescent="0.2">
      <c r="A105" s="27" t="s">
        <v>175</v>
      </c>
      <c r="B105" s="325" t="str">
        <f>'Combine Sal Op'!E240</f>
        <v xml:space="preserve"> 61-820004-5000-01</v>
      </c>
      <c r="C105" s="319">
        <f>'Combine Sal Op'!I240</f>
        <v>400</v>
      </c>
      <c r="E105" s="27" t="s">
        <v>176</v>
      </c>
      <c r="F105" s="27" t="s">
        <v>177</v>
      </c>
      <c r="G105" s="38">
        <v>41518</v>
      </c>
    </row>
    <row r="106" spans="1:7" x14ac:dyDescent="0.2">
      <c r="A106" s="27" t="s">
        <v>175</v>
      </c>
      <c r="B106" s="325" t="str">
        <f>'Combine Sal Op'!E242</f>
        <v xml:space="preserve"> 61-820005-5000-01</v>
      </c>
      <c r="C106" s="319">
        <f>'Combine Sal Op'!I242</f>
        <v>0</v>
      </c>
      <c r="E106" s="27" t="s">
        <v>176</v>
      </c>
      <c r="F106" s="27" t="s">
        <v>177</v>
      </c>
      <c r="G106" s="38">
        <v>41518</v>
      </c>
    </row>
    <row r="107" spans="1:7" x14ac:dyDescent="0.2">
      <c r="A107" s="27" t="s">
        <v>175</v>
      </c>
      <c r="B107" s="325" t="str">
        <f>'Combine Sal Op'!E244</f>
        <v xml:space="preserve"> 61-820006-5000-01</v>
      </c>
      <c r="C107" s="319">
        <f>'Combine Sal Op'!I244</f>
        <v>5500</v>
      </c>
      <c r="E107" s="27" t="s">
        <v>176</v>
      </c>
      <c r="F107" s="27" t="s">
        <v>177</v>
      </c>
      <c r="G107" s="38">
        <v>41518</v>
      </c>
    </row>
    <row r="108" spans="1:7" x14ac:dyDescent="0.2">
      <c r="A108" s="27" t="s">
        <v>175</v>
      </c>
      <c r="B108" s="325" t="str">
        <f>'Combine Sal Op'!E246</f>
        <v xml:space="preserve"> 61-820042-5000-01</v>
      </c>
      <c r="C108" s="319">
        <f>'Combine Sal Op'!I246</f>
        <v>0</v>
      </c>
      <c r="E108" s="27" t="s">
        <v>176</v>
      </c>
      <c r="F108" s="27" t="s">
        <v>177</v>
      </c>
      <c r="G108" s="38">
        <v>41518</v>
      </c>
    </row>
    <row r="109" spans="1:7" x14ac:dyDescent="0.2">
      <c r="A109" s="27" t="s">
        <v>175</v>
      </c>
      <c r="B109" s="325" t="str">
        <f>'Combine Sal Op'!E248</f>
        <v xml:space="preserve"> 61-820008-5000-01</v>
      </c>
      <c r="C109" s="319">
        <f>'Combine Sal Op'!I248</f>
        <v>0</v>
      </c>
      <c r="E109" s="27" t="s">
        <v>176</v>
      </c>
      <c r="F109" s="27" t="s">
        <v>177</v>
      </c>
      <c r="G109" s="38">
        <v>41518</v>
      </c>
    </row>
    <row r="110" spans="1:7" x14ac:dyDescent="0.2">
      <c r="A110" s="27" t="s">
        <v>175</v>
      </c>
      <c r="B110" s="325" t="str">
        <f>'Combine Sal Op'!E635</f>
        <v xml:space="preserve"> 61-820043-5000-01</v>
      </c>
      <c r="C110" s="319">
        <f>'Combine Sal Op'!I635</f>
        <v>0</v>
      </c>
      <c r="E110" s="27" t="s">
        <v>176</v>
      </c>
      <c r="F110" s="27" t="s">
        <v>177</v>
      </c>
      <c r="G110" s="38">
        <v>41518</v>
      </c>
    </row>
    <row r="111" spans="1:7" x14ac:dyDescent="0.2">
      <c r="A111" s="27" t="s">
        <v>175</v>
      </c>
      <c r="B111" s="325" t="str">
        <f>'Combine Sal Op'!E250</f>
        <v xml:space="preserve"> 61-820011-5000-01</v>
      </c>
      <c r="C111" s="319">
        <f>'Combine Sal Op'!I250</f>
        <v>11950</v>
      </c>
      <c r="E111" s="27" t="s">
        <v>176</v>
      </c>
      <c r="F111" s="27" t="s">
        <v>177</v>
      </c>
      <c r="G111" s="38">
        <v>41518</v>
      </c>
    </row>
    <row r="112" spans="1:7" x14ac:dyDescent="0.2">
      <c r="A112" s="27" t="s">
        <v>175</v>
      </c>
      <c r="B112" s="325" t="str">
        <f>'Combine Sal Op'!E252</f>
        <v xml:space="preserve"> 61-820012-5000-01</v>
      </c>
      <c r="C112" s="319">
        <f>'Combine Sal Op'!I252</f>
        <v>2980</v>
      </c>
      <c r="E112" s="27" t="s">
        <v>176</v>
      </c>
      <c r="F112" s="27" t="s">
        <v>177</v>
      </c>
      <c r="G112" s="38">
        <v>41518</v>
      </c>
    </row>
    <row r="113" spans="1:7" x14ac:dyDescent="0.2">
      <c r="A113" s="27" t="s">
        <v>175</v>
      </c>
      <c r="B113" s="325" t="str">
        <f>'Combine Sal Op'!E254</f>
        <v xml:space="preserve"> 61-820013-5000-01</v>
      </c>
      <c r="C113" s="319">
        <f>'Combine Sal Op'!I254</f>
        <v>0</v>
      </c>
      <c r="E113" s="27" t="s">
        <v>176</v>
      </c>
      <c r="F113" s="27" t="s">
        <v>177</v>
      </c>
      <c r="G113" s="38">
        <v>41518</v>
      </c>
    </row>
    <row r="114" spans="1:7" x14ac:dyDescent="0.2">
      <c r="A114" s="27" t="s">
        <v>175</v>
      </c>
      <c r="B114" s="325" t="str">
        <f>'Combine Sal Op'!E256</f>
        <v xml:space="preserve"> 61-820014-5000-01</v>
      </c>
      <c r="C114" s="319">
        <f>'Combine Sal Op'!I256</f>
        <v>0</v>
      </c>
      <c r="E114" s="27" t="s">
        <v>176</v>
      </c>
      <c r="F114" s="27" t="s">
        <v>177</v>
      </c>
      <c r="G114" s="38">
        <v>41518</v>
      </c>
    </row>
    <row r="115" spans="1:7" x14ac:dyDescent="0.2">
      <c r="A115" s="27" t="s">
        <v>175</v>
      </c>
      <c r="B115" s="325" t="str">
        <f>'Combine Sal Op'!E258</f>
        <v xml:space="preserve"> 61-820015-5000-01</v>
      </c>
      <c r="C115" s="319">
        <f>'Combine Sal Op'!I258</f>
        <v>0</v>
      </c>
      <c r="E115" s="27" t="s">
        <v>176</v>
      </c>
      <c r="F115" s="27" t="s">
        <v>177</v>
      </c>
      <c r="G115" s="38">
        <v>41518</v>
      </c>
    </row>
    <row r="116" spans="1:7" x14ac:dyDescent="0.2">
      <c r="A116" s="27" t="s">
        <v>175</v>
      </c>
      <c r="B116" s="325" t="str">
        <f>'Combine Sal Op'!E260</f>
        <v xml:space="preserve"> 61-820016-5000-01</v>
      </c>
      <c r="C116" s="319">
        <f>'Combine Sal Op'!I260</f>
        <v>20950</v>
      </c>
      <c r="E116" s="27" t="s">
        <v>176</v>
      </c>
      <c r="F116" s="27" t="s">
        <v>177</v>
      </c>
      <c r="G116" s="38">
        <v>41518</v>
      </c>
    </row>
    <row r="117" spans="1:7" x14ac:dyDescent="0.2">
      <c r="A117" s="27" t="s">
        <v>175</v>
      </c>
      <c r="B117" s="325" t="str">
        <f>'Combine Sal Op'!E262</f>
        <v xml:space="preserve"> 61-820017-5000-01</v>
      </c>
      <c r="C117" s="319">
        <f>'Combine Sal Op'!I262</f>
        <v>0</v>
      </c>
      <c r="E117" s="27" t="s">
        <v>176</v>
      </c>
      <c r="F117" s="27" t="s">
        <v>177</v>
      </c>
      <c r="G117" s="38">
        <v>41518</v>
      </c>
    </row>
    <row r="118" spans="1:7" x14ac:dyDescent="0.2">
      <c r="A118" s="27" t="s">
        <v>175</v>
      </c>
      <c r="B118" s="325" t="str">
        <f>'Combine Sal Op'!E264</f>
        <v xml:space="preserve"> 61-820018-5000-01</v>
      </c>
      <c r="C118" s="319">
        <f>'Combine Sal Op'!I264</f>
        <v>0</v>
      </c>
      <c r="E118" s="27" t="s">
        <v>176</v>
      </c>
      <c r="F118" s="27" t="s">
        <v>177</v>
      </c>
      <c r="G118" s="38">
        <v>41518</v>
      </c>
    </row>
    <row r="119" spans="1:7" x14ac:dyDescent="0.2">
      <c r="A119" s="27" t="s">
        <v>175</v>
      </c>
      <c r="B119" s="325" t="str">
        <f>'Combine Sal Op'!E266</f>
        <v xml:space="preserve"> 61-820019-5000-01</v>
      </c>
      <c r="C119" s="319">
        <f>'Combine Sal Op'!I266</f>
        <v>0</v>
      </c>
      <c r="E119" s="27" t="s">
        <v>176</v>
      </c>
      <c r="F119" s="27" t="s">
        <v>177</v>
      </c>
      <c r="G119" s="38">
        <v>41518</v>
      </c>
    </row>
    <row r="120" spans="1:7" x14ac:dyDescent="0.2">
      <c r="A120" s="27" t="s">
        <v>175</v>
      </c>
      <c r="B120" s="325" t="str">
        <f>'Combine Sal Op'!E268</f>
        <v xml:space="preserve"> 61-820021-5000-01</v>
      </c>
      <c r="C120" s="319">
        <f>'Combine Sal Op'!I268</f>
        <v>400</v>
      </c>
      <c r="E120" s="27" t="s">
        <v>176</v>
      </c>
      <c r="F120" s="27" t="s">
        <v>177</v>
      </c>
      <c r="G120" s="38">
        <v>41518</v>
      </c>
    </row>
    <row r="121" spans="1:7" x14ac:dyDescent="0.2">
      <c r="A121" s="27" t="s">
        <v>175</v>
      </c>
      <c r="B121" s="325" t="str">
        <f>'Combine Sal Op'!E637</f>
        <v xml:space="preserve"> 61-820022-5000-02</v>
      </c>
      <c r="C121" s="319">
        <f>'Combine Sal Op'!I637</f>
        <v>200</v>
      </c>
      <c r="E121" s="27" t="s">
        <v>176</v>
      </c>
      <c r="F121" s="27" t="s">
        <v>177</v>
      </c>
      <c r="G121" s="38">
        <v>41518</v>
      </c>
    </row>
    <row r="122" spans="1:7" x14ac:dyDescent="0.2">
      <c r="A122" s="27" t="s">
        <v>175</v>
      </c>
      <c r="B122" s="325" t="str">
        <f>'Combine Sal Op'!E270</f>
        <v xml:space="preserve"> 61-820044-5000-01</v>
      </c>
      <c r="C122" s="319">
        <f>'Combine Sal Op'!I270</f>
        <v>1500</v>
      </c>
      <c r="E122" s="27" t="s">
        <v>176</v>
      </c>
      <c r="F122" s="27" t="s">
        <v>177</v>
      </c>
      <c r="G122" s="38">
        <v>41518</v>
      </c>
    </row>
    <row r="123" spans="1:7" x14ac:dyDescent="0.2">
      <c r="A123" s="27" t="s">
        <v>175</v>
      </c>
      <c r="B123" s="325" t="str">
        <f>'Combine Sal Op'!E272</f>
        <v xml:space="preserve"> 61-820024-5000-01</v>
      </c>
      <c r="C123" s="319">
        <f>'Combine Sal Op'!I272</f>
        <v>200</v>
      </c>
      <c r="E123" s="27" t="s">
        <v>176</v>
      </c>
      <c r="F123" s="27" t="s">
        <v>177</v>
      </c>
      <c r="G123" s="38">
        <v>41518</v>
      </c>
    </row>
    <row r="124" spans="1:7" x14ac:dyDescent="0.2">
      <c r="A124" s="27" t="s">
        <v>175</v>
      </c>
      <c r="B124" s="325" t="str">
        <f>'Combine Sal Op'!E274</f>
        <v xml:space="preserve"> 61-820025-5000-01</v>
      </c>
      <c r="C124" s="319">
        <f>'Combine Sal Op'!I274</f>
        <v>0</v>
      </c>
      <c r="E124" s="27" t="s">
        <v>176</v>
      </c>
      <c r="F124" s="27" t="s">
        <v>177</v>
      </c>
      <c r="G124" s="38">
        <v>41518</v>
      </c>
    </row>
    <row r="125" spans="1:7" x14ac:dyDescent="0.2">
      <c r="A125" s="27" t="s">
        <v>175</v>
      </c>
      <c r="B125" s="325" t="str">
        <f>'Combine Sal Op'!E276</f>
        <v xml:space="preserve"> 61-820026-5000-01</v>
      </c>
      <c r="C125" s="319">
        <f>'Combine Sal Op'!I276</f>
        <v>1000</v>
      </c>
      <c r="E125" s="27" t="s">
        <v>176</v>
      </c>
      <c r="F125" s="27" t="s">
        <v>177</v>
      </c>
      <c r="G125" s="38">
        <v>41518</v>
      </c>
    </row>
    <row r="126" spans="1:7" x14ac:dyDescent="0.2">
      <c r="A126" s="27" t="s">
        <v>175</v>
      </c>
      <c r="B126" s="325" t="str">
        <f>'Combine Sal Op'!E278</f>
        <v xml:space="preserve"> 61-820027-5000-01</v>
      </c>
      <c r="C126" s="319">
        <f>'Combine Sal Op'!I278</f>
        <v>2400</v>
      </c>
      <c r="E126" s="27" t="s">
        <v>176</v>
      </c>
      <c r="F126" s="27" t="s">
        <v>177</v>
      </c>
      <c r="G126" s="38">
        <v>41518</v>
      </c>
    </row>
    <row r="127" spans="1:7" x14ac:dyDescent="0.2">
      <c r="A127" s="27" t="s">
        <v>175</v>
      </c>
      <c r="B127" s="325" t="str">
        <f>'Combine Sal Op'!E743</f>
        <v xml:space="preserve"> 61-820030-5000-03</v>
      </c>
      <c r="C127" s="319">
        <f>'Combine Sal Op'!I743</f>
        <v>6400</v>
      </c>
      <c r="E127" s="27" t="s">
        <v>176</v>
      </c>
      <c r="F127" s="27" t="s">
        <v>177</v>
      </c>
      <c r="G127" s="38">
        <v>41518</v>
      </c>
    </row>
    <row r="128" spans="1:7" x14ac:dyDescent="0.2">
      <c r="A128" s="27" t="s">
        <v>175</v>
      </c>
      <c r="B128" s="325" t="str">
        <f>'Combine Sal Op'!E280</f>
        <v xml:space="preserve"> 61-820031-5000-01</v>
      </c>
      <c r="C128" s="319">
        <f>'Combine Sal Op'!I280</f>
        <v>700</v>
      </c>
      <c r="E128" s="27" t="s">
        <v>176</v>
      </c>
      <c r="F128" s="27" t="s">
        <v>177</v>
      </c>
      <c r="G128" s="38">
        <v>41518</v>
      </c>
    </row>
    <row r="129" spans="1:7" x14ac:dyDescent="0.2">
      <c r="A129" s="27" t="s">
        <v>175</v>
      </c>
      <c r="B129" s="325" t="str">
        <f>'Combine Sal Op'!E282</f>
        <v xml:space="preserve"> 61-820032-5000-01</v>
      </c>
      <c r="C129" s="319">
        <f>'Combine Sal Op'!I282</f>
        <v>0</v>
      </c>
      <c r="E129" s="27" t="s">
        <v>176</v>
      </c>
      <c r="F129" s="27" t="s">
        <v>177</v>
      </c>
      <c r="G129" s="38">
        <v>41518</v>
      </c>
    </row>
    <row r="130" spans="1:7" x14ac:dyDescent="0.2">
      <c r="A130" s="27" t="s">
        <v>175</v>
      </c>
      <c r="B130" s="325" t="str">
        <f>'Combine Sal Op'!E745</f>
        <v>61-820039-5000-01</v>
      </c>
      <c r="C130" s="319">
        <f>'Combine Sal Op'!I745</f>
        <v>0</v>
      </c>
      <c r="E130" s="27" t="s">
        <v>176</v>
      </c>
      <c r="F130" s="27" t="s">
        <v>177</v>
      </c>
      <c r="G130" s="38">
        <v>41518</v>
      </c>
    </row>
    <row r="131" spans="1:7" x14ac:dyDescent="0.2">
      <c r="A131" s="27" t="s">
        <v>175</v>
      </c>
      <c r="B131" s="325" t="str">
        <f>'Combine Sal Op'!E747</f>
        <v xml:space="preserve"> 61-820036-5000-03</v>
      </c>
      <c r="C131" s="319">
        <f>'Combine Sal Op'!I747</f>
        <v>0</v>
      </c>
      <c r="E131" s="27" t="s">
        <v>176</v>
      </c>
      <c r="F131" s="27" t="s">
        <v>177</v>
      </c>
      <c r="G131" s="38">
        <v>41518</v>
      </c>
    </row>
    <row r="132" spans="1:7" x14ac:dyDescent="0.2">
      <c r="A132" s="27" t="s">
        <v>175</v>
      </c>
      <c r="B132" s="325" t="str">
        <f>'Combine Sal Op'!E284</f>
        <v xml:space="preserve"> 61-820035-5000-01</v>
      </c>
      <c r="C132" s="319">
        <f>'Combine Sal Op'!I284</f>
        <v>0</v>
      </c>
      <c r="E132" s="27" t="s">
        <v>176</v>
      </c>
      <c r="F132" s="27" t="s">
        <v>177</v>
      </c>
      <c r="G132" s="38">
        <v>41518</v>
      </c>
    </row>
    <row r="133" spans="1:7" x14ac:dyDescent="0.2">
      <c r="A133" s="27" t="s">
        <v>175</v>
      </c>
      <c r="B133" s="325" t="str">
        <f>'Combine Sal Op'!E286</f>
        <v xml:space="preserve"> 61-820037-5000-01</v>
      </c>
      <c r="C133" s="319">
        <f>'Combine Sal Op'!I286</f>
        <v>0</v>
      </c>
      <c r="E133" s="27" t="s">
        <v>176</v>
      </c>
      <c r="F133" s="27" t="s">
        <v>177</v>
      </c>
      <c r="G133" s="38">
        <v>41518</v>
      </c>
    </row>
    <row r="134" spans="1:7" x14ac:dyDescent="0.2">
      <c r="A134" s="27" t="s">
        <v>175</v>
      </c>
      <c r="B134" s="325" t="str">
        <f>'Combine Sal Op'!E288</f>
        <v xml:space="preserve"> 61-820034-5000-01</v>
      </c>
      <c r="C134" s="319">
        <f>'Combine Sal Op'!I288</f>
        <v>4450</v>
      </c>
      <c r="E134" s="27" t="s">
        <v>176</v>
      </c>
      <c r="F134" s="27" t="s">
        <v>177</v>
      </c>
      <c r="G134" s="38">
        <v>41518</v>
      </c>
    </row>
    <row r="135" spans="1:7" x14ac:dyDescent="0.2">
      <c r="A135" s="27" t="s">
        <v>175</v>
      </c>
      <c r="B135" s="325" t="str">
        <f>'Combine Sal Op'!E290</f>
        <v xml:space="preserve"> 61-820041-5000-01</v>
      </c>
      <c r="C135" s="319">
        <f>'Combine Sal Op'!I290</f>
        <v>3000</v>
      </c>
      <c r="E135" s="27" t="s">
        <v>176</v>
      </c>
      <c r="F135" s="27" t="s">
        <v>177</v>
      </c>
      <c r="G135" s="38">
        <v>41518</v>
      </c>
    </row>
    <row r="136" spans="1:7" x14ac:dyDescent="0.2">
      <c r="A136" s="27" t="s">
        <v>175</v>
      </c>
      <c r="B136" s="325" t="str">
        <f>'Combine Sal Op'!E749</f>
        <v xml:space="preserve"> 61-820046-5000-03</v>
      </c>
      <c r="C136" s="319">
        <f>'Combine Sal Op'!I749</f>
        <v>600</v>
      </c>
      <c r="E136" s="27" t="s">
        <v>176</v>
      </c>
      <c r="F136" s="27" t="s">
        <v>177</v>
      </c>
      <c r="G136" s="38">
        <v>41518</v>
      </c>
    </row>
    <row r="137" spans="1:7" x14ac:dyDescent="0.2">
      <c r="A137" s="27" t="s">
        <v>175</v>
      </c>
      <c r="B137" s="325" t="str">
        <f>'Combine Sal Op'!E751</f>
        <v>61-820038-5000-03</v>
      </c>
      <c r="C137" s="319">
        <f>'Combine Sal Op'!I751</f>
        <v>0</v>
      </c>
      <c r="E137" s="27" t="s">
        <v>176</v>
      </c>
      <c r="F137" s="27" t="s">
        <v>177</v>
      </c>
      <c r="G137" s="38">
        <v>41518</v>
      </c>
    </row>
    <row r="138" spans="1:7" x14ac:dyDescent="0.2">
      <c r="A138" s="27" t="s">
        <v>175</v>
      </c>
      <c r="B138" s="325" t="str">
        <f>'Combine Sal Op'!E753</f>
        <v>61-820033-5000-03</v>
      </c>
      <c r="C138" s="319">
        <f>'Combine Sal Op'!I753</f>
        <v>8000</v>
      </c>
      <c r="E138" s="27" t="s">
        <v>176</v>
      </c>
      <c r="F138" s="27" t="s">
        <v>177</v>
      </c>
      <c r="G138" s="38">
        <v>41518</v>
      </c>
    </row>
    <row r="139" spans="1:7" x14ac:dyDescent="0.2">
      <c r="A139" s="27" t="s">
        <v>175</v>
      </c>
      <c r="B139" s="325" t="str">
        <f>'Combine Sal Op'!E755</f>
        <v>61-820045-5000-03</v>
      </c>
      <c r="C139" s="319">
        <f>'Combine Sal Op'!I755</f>
        <v>0</v>
      </c>
      <c r="E139" s="27" t="s">
        <v>176</v>
      </c>
      <c r="F139" s="27" t="s">
        <v>177</v>
      </c>
      <c r="G139" s="38">
        <v>41518</v>
      </c>
    </row>
    <row r="140" spans="1:7" x14ac:dyDescent="0.2">
      <c r="A140" s="27" t="s">
        <v>175</v>
      </c>
      <c r="B140" s="325" t="str">
        <f>'Combine Sal Op'!E292</f>
        <v xml:space="preserve"> 61-820048-5000-01</v>
      </c>
      <c r="C140" s="319">
        <f>'Combine Sal Op'!I292</f>
        <v>0</v>
      </c>
      <c r="E140" s="27" t="s">
        <v>176</v>
      </c>
      <c r="F140" s="27" t="s">
        <v>177</v>
      </c>
      <c r="G140" s="38">
        <v>41518</v>
      </c>
    </row>
    <row r="141" spans="1:7" x14ac:dyDescent="0.2">
      <c r="A141" s="27" t="s">
        <v>175</v>
      </c>
      <c r="B141" s="325" t="str">
        <f>'Combine Sal Op'!E639</f>
        <v>61-820047-5000-02</v>
      </c>
      <c r="C141" s="319">
        <f>'Combine Sal Op'!I639</f>
        <v>0</v>
      </c>
      <c r="E141" s="27" t="s">
        <v>176</v>
      </c>
      <c r="F141" s="27" t="s">
        <v>177</v>
      </c>
      <c r="G141" s="38">
        <v>41518</v>
      </c>
    </row>
    <row r="142" spans="1:7" x14ac:dyDescent="0.2">
      <c r="A142" s="27" t="s">
        <v>175</v>
      </c>
      <c r="B142" s="325" t="str">
        <f>'Combine Sal Op'!E641</f>
        <v>61-820054-5000-02</v>
      </c>
      <c r="C142" s="319">
        <f>'Combine Sal Op'!I641</f>
        <v>0</v>
      </c>
      <c r="E142" s="27" t="s">
        <v>176</v>
      </c>
      <c r="F142" s="27" t="s">
        <v>177</v>
      </c>
      <c r="G142" s="38">
        <v>41518</v>
      </c>
    </row>
    <row r="143" spans="1:7" x14ac:dyDescent="0.2">
      <c r="A143" s="27" t="s">
        <v>175</v>
      </c>
      <c r="B143" s="325" t="str">
        <f>'Combine Sal Op'!E294</f>
        <v>61-820053-5000-01</v>
      </c>
      <c r="C143" s="319">
        <f>'Combine Sal Op'!I294</f>
        <v>0</v>
      </c>
      <c r="E143" s="27" t="s">
        <v>176</v>
      </c>
      <c r="F143" s="27" t="s">
        <v>177</v>
      </c>
      <c r="G143" s="38">
        <v>41518</v>
      </c>
    </row>
    <row r="144" spans="1:7" x14ac:dyDescent="0.2">
      <c r="A144" s="27" t="s">
        <v>175</v>
      </c>
      <c r="B144" s="325" t="str">
        <f>'Combine Sal Op'!E298</f>
        <v>61-820050-5000-01</v>
      </c>
      <c r="C144" s="319">
        <f>'Combine Sal Op'!I298</f>
        <v>8000</v>
      </c>
      <c r="E144" s="27" t="s">
        <v>176</v>
      </c>
      <c r="F144" s="27" t="s">
        <v>177</v>
      </c>
      <c r="G144" s="38">
        <v>41518</v>
      </c>
    </row>
    <row r="145" spans="1:7" x14ac:dyDescent="0.2">
      <c r="A145" s="27" t="s">
        <v>175</v>
      </c>
      <c r="B145" s="325" t="str">
        <f>'Combine Sal Op'!E300</f>
        <v>61-820051-5000-01</v>
      </c>
      <c r="C145" s="319">
        <f>'Combine Sal Op'!I300</f>
        <v>0</v>
      </c>
      <c r="E145" s="27" t="s">
        <v>176</v>
      </c>
      <c r="F145" s="27" t="s">
        <v>177</v>
      </c>
      <c r="G145" s="38">
        <v>41518</v>
      </c>
    </row>
    <row r="146" spans="1:7" x14ac:dyDescent="0.2">
      <c r="A146" s="27" t="s">
        <v>175</v>
      </c>
      <c r="B146" s="325" t="str">
        <f>'Combine Sal Op'!E302</f>
        <v>61-820009-5000-01</v>
      </c>
      <c r="C146" s="319">
        <f>'Combine Sal Op'!I302</f>
        <v>520</v>
      </c>
      <c r="E146" s="27" t="s">
        <v>176</v>
      </c>
      <c r="F146" s="27" t="s">
        <v>177</v>
      </c>
      <c r="G146" s="38">
        <v>41518</v>
      </c>
    </row>
    <row r="147" spans="1:7" x14ac:dyDescent="0.2">
      <c r="A147" s="27" t="s">
        <v>175</v>
      </c>
      <c r="B147" s="325" t="str">
        <f>'Combine Sal Op'!E643</f>
        <v>61-820055-5000-02</v>
      </c>
      <c r="C147" s="319">
        <f>'Combine Sal Op'!I643</f>
        <v>5000</v>
      </c>
      <c r="E147" s="27" t="s">
        <v>176</v>
      </c>
      <c r="F147" s="27" t="s">
        <v>177</v>
      </c>
      <c r="G147" s="38">
        <v>41518</v>
      </c>
    </row>
    <row r="148" spans="1:7" x14ac:dyDescent="0.2">
      <c r="A148" s="27" t="s">
        <v>175</v>
      </c>
      <c r="B148" s="325" t="str">
        <f>'Combine Sal Op'!E757</f>
        <v xml:space="preserve"> 61-820056-5000-03</v>
      </c>
      <c r="C148" s="319">
        <f>'Combine Sal Op'!I757</f>
        <v>0</v>
      </c>
      <c r="E148" s="27" t="s">
        <v>176</v>
      </c>
      <c r="F148" s="27" t="s">
        <v>177</v>
      </c>
      <c r="G148" s="38">
        <v>41518</v>
      </c>
    </row>
    <row r="149" spans="1:7" x14ac:dyDescent="0.2">
      <c r="A149" s="27" t="s">
        <v>175</v>
      </c>
      <c r="B149" s="325" t="str">
        <f>'Combine Sal Op'!E304</f>
        <v xml:space="preserve"> 61-820057-5000-01</v>
      </c>
      <c r="C149" s="319">
        <f>'Combine Sal Op'!I304</f>
        <v>2500</v>
      </c>
      <c r="E149" s="27" t="s">
        <v>176</v>
      </c>
      <c r="F149" s="27" t="s">
        <v>177</v>
      </c>
      <c r="G149" s="38">
        <v>41518</v>
      </c>
    </row>
    <row r="150" spans="1:7" x14ac:dyDescent="0.2">
      <c r="A150" s="27" t="s">
        <v>175</v>
      </c>
      <c r="B150" s="325" t="str">
        <f>'Combine Sal Op'!E306</f>
        <v xml:space="preserve"> 61-820058-5000-01</v>
      </c>
      <c r="C150" s="319">
        <f>'Combine Sal Op'!I306</f>
        <v>0</v>
      </c>
      <c r="E150" s="27" t="s">
        <v>176</v>
      </c>
      <c r="F150" s="27" t="s">
        <v>177</v>
      </c>
      <c r="G150" s="38">
        <v>41518</v>
      </c>
    </row>
    <row r="151" spans="1:7" x14ac:dyDescent="0.2">
      <c r="A151" s="27" t="s">
        <v>175</v>
      </c>
      <c r="B151" s="325" t="str">
        <f>'Combine Sal Op'!E308</f>
        <v xml:space="preserve"> 61-820059-5000-01</v>
      </c>
      <c r="C151" s="319">
        <f>'Combine Sal Op'!I308</f>
        <v>3500</v>
      </c>
      <c r="E151" s="27" t="s">
        <v>176</v>
      </c>
      <c r="F151" s="27" t="s">
        <v>177</v>
      </c>
      <c r="G151" s="38">
        <v>41518</v>
      </c>
    </row>
    <row r="152" spans="1:7" x14ac:dyDescent="0.2">
      <c r="A152" s="27" t="s">
        <v>175</v>
      </c>
      <c r="B152" s="325" t="str">
        <f>'Combine Sal Op'!E310</f>
        <v xml:space="preserve"> 61-820071-5000-01</v>
      </c>
      <c r="C152" s="319">
        <f>'Combine Sal Op'!I310</f>
        <v>0</v>
      </c>
      <c r="E152" s="27" t="s">
        <v>176</v>
      </c>
      <c r="F152" s="27" t="s">
        <v>177</v>
      </c>
      <c r="G152" s="38">
        <v>41518</v>
      </c>
    </row>
    <row r="153" spans="1:7" x14ac:dyDescent="0.2">
      <c r="A153" s="27" t="s">
        <v>175</v>
      </c>
      <c r="B153" s="325" t="str">
        <f>'Combine Sal Op'!E645</f>
        <v xml:space="preserve"> 61-820062-5000-02</v>
      </c>
      <c r="C153" s="319">
        <f>'Combine Sal Op'!I645</f>
        <v>8300</v>
      </c>
      <c r="E153" s="27" t="s">
        <v>176</v>
      </c>
      <c r="F153" s="27" t="s">
        <v>177</v>
      </c>
      <c r="G153" s="38">
        <v>41518</v>
      </c>
    </row>
    <row r="154" spans="1:7" x14ac:dyDescent="0.2">
      <c r="A154" s="27" t="s">
        <v>175</v>
      </c>
      <c r="B154" s="325" t="str">
        <f>'Combine Sal Op'!E759</f>
        <v xml:space="preserve"> 61-820063-5000-03</v>
      </c>
      <c r="C154" s="319">
        <f>'Combine Sal Op'!I759</f>
        <v>9800</v>
      </c>
      <c r="E154" s="27" t="s">
        <v>176</v>
      </c>
      <c r="F154" s="27" t="s">
        <v>177</v>
      </c>
      <c r="G154" s="38">
        <v>41518</v>
      </c>
    </row>
    <row r="155" spans="1:7" x14ac:dyDescent="0.2">
      <c r="A155" s="27" t="s">
        <v>175</v>
      </c>
      <c r="B155" s="325" t="str">
        <f>'Combine Sal Op'!E312</f>
        <v xml:space="preserve"> 61-820065-5000-01</v>
      </c>
      <c r="C155" s="319">
        <f>'Combine Sal Op'!I312</f>
        <v>0</v>
      </c>
      <c r="E155" s="27" t="s">
        <v>176</v>
      </c>
      <c r="F155" s="27" t="s">
        <v>177</v>
      </c>
      <c r="G155" s="38">
        <v>41518</v>
      </c>
    </row>
    <row r="156" spans="1:7" x14ac:dyDescent="0.2">
      <c r="A156" s="27" t="s">
        <v>175</v>
      </c>
      <c r="B156" s="325" t="str">
        <f>'Combine Sal Op'!E761</f>
        <v xml:space="preserve"> 61-820077-5000-03</v>
      </c>
      <c r="C156" s="319">
        <f>'Combine Sal Op'!I761</f>
        <v>200</v>
      </c>
      <c r="E156" s="27" t="s">
        <v>176</v>
      </c>
      <c r="F156" s="27" t="s">
        <v>177</v>
      </c>
      <c r="G156" s="38">
        <v>41518</v>
      </c>
    </row>
    <row r="157" spans="1:7" x14ac:dyDescent="0.2">
      <c r="A157" s="27" t="s">
        <v>175</v>
      </c>
      <c r="B157" s="325" t="str">
        <f>'Combine Sal Op'!E314</f>
        <v xml:space="preserve"> 61-820078-5000-01</v>
      </c>
      <c r="C157" s="319">
        <f>'Combine Sal Op'!I314</f>
        <v>1000</v>
      </c>
      <c r="E157" s="27" t="s">
        <v>176</v>
      </c>
      <c r="F157" s="27" t="s">
        <v>177</v>
      </c>
      <c r="G157" s="38">
        <v>41518</v>
      </c>
    </row>
    <row r="158" spans="1:7" x14ac:dyDescent="0.2">
      <c r="A158" s="27" t="s">
        <v>175</v>
      </c>
      <c r="B158" s="325" t="str">
        <f>'Combine Sal Op'!E316</f>
        <v xml:space="preserve"> 61-820079-5000-01</v>
      </c>
      <c r="C158" s="319">
        <f>'Combine Sal Op'!I316</f>
        <v>200</v>
      </c>
      <c r="E158" s="27" t="s">
        <v>176</v>
      </c>
      <c r="F158" s="27" t="s">
        <v>177</v>
      </c>
      <c r="G158" s="38">
        <v>41518</v>
      </c>
    </row>
    <row r="159" spans="1:7" x14ac:dyDescent="0.2">
      <c r="A159" s="27" t="s">
        <v>175</v>
      </c>
      <c r="B159" s="325" t="str">
        <f>'Combine Sal Op'!E227</f>
        <v xml:space="preserve"> 12-400040-5000-01</v>
      </c>
      <c r="C159" s="319">
        <f>'Combine Sal Op'!I227</f>
        <v>51165</v>
      </c>
      <c r="E159" s="27" t="s">
        <v>176</v>
      </c>
      <c r="F159" s="27" t="s">
        <v>177</v>
      </c>
      <c r="G159" s="38">
        <v>41518</v>
      </c>
    </row>
    <row r="160" spans="1:7" x14ac:dyDescent="0.2">
      <c r="A160" s="27" t="s">
        <v>175</v>
      </c>
      <c r="B160" s="325" t="str">
        <f>'Combine Sal Op'!E228</f>
        <v xml:space="preserve"> 12-400040-7000-01</v>
      </c>
      <c r="C160" s="319">
        <f>'Combine Sal Op'!I228</f>
        <v>41438.97</v>
      </c>
      <c r="E160" s="27" t="s">
        <v>176</v>
      </c>
      <c r="F160" s="27" t="s">
        <v>177</v>
      </c>
      <c r="G160" s="38">
        <v>41518</v>
      </c>
    </row>
    <row r="161" spans="1:7" x14ac:dyDescent="0.2">
      <c r="A161" s="27" t="s">
        <v>175</v>
      </c>
      <c r="B161" s="325" t="str">
        <f>'Combine Sal Op'!E230</f>
        <v xml:space="preserve"> 12-400045-5000-01</v>
      </c>
      <c r="C161" s="319">
        <f>'Combine Sal Op'!I230</f>
        <v>2360</v>
      </c>
      <c r="E161" s="27" t="s">
        <v>176</v>
      </c>
      <c r="F161" s="27" t="s">
        <v>177</v>
      </c>
      <c r="G161" s="38">
        <v>41518</v>
      </c>
    </row>
    <row r="162" spans="1:7" x14ac:dyDescent="0.2">
      <c r="A162" s="27" t="s">
        <v>175</v>
      </c>
      <c r="B162" s="325" t="str">
        <f>'Combine Sal Op'!E222</f>
        <v>12-400021-5000-01</v>
      </c>
      <c r="C162" s="319">
        <f>'Combine Sal Op'!I222</f>
        <v>3600</v>
      </c>
      <c r="E162" s="27" t="s">
        <v>176</v>
      </c>
      <c r="F162" s="27" t="s">
        <v>177</v>
      </c>
      <c r="G162" s="38">
        <v>41518</v>
      </c>
    </row>
    <row r="163" spans="1:7" x14ac:dyDescent="0.2">
      <c r="A163" s="27" t="s">
        <v>175</v>
      </c>
      <c r="B163" s="325" t="str">
        <f>'Combine Sal Op'!E353</f>
        <v xml:space="preserve"> 12-510020-5000-01</v>
      </c>
      <c r="C163" s="319">
        <f>'Combine Sal Op'!I353</f>
        <v>17200</v>
      </c>
      <c r="E163" s="27" t="s">
        <v>176</v>
      </c>
      <c r="F163" s="27" t="s">
        <v>177</v>
      </c>
      <c r="G163" s="38">
        <v>41518</v>
      </c>
    </row>
    <row r="164" spans="1:7" x14ac:dyDescent="0.2">
      <c r="A164" s="27" t="s">
        <v>175</v>
      </c>
      <c r="B164" s="325" t="str">
        <f>'Combine Sal Op'!E354</f>
        <v xml:space="preserve"> 12-510020-7000-01</v>
      </c>
      <c r="C164" s="319">
        <f>'Combine Sal Op'!I354</f>
        <v>90526.05</v>
      </c>
      <c r="E164" s="27" t="s">
        <v>176</v>
      </c>
      <c r="F164" s="27" t="s">
        <v>177</v>
      </c>
      <c r="G164" s="38">
        <v>41518</v>
      </c>
    </row>
    <row r="165" spans="1:7" x14ac:dyDescent="0.2">
      <c r="A165" s="27" t="s">
        <v>175</v>
      </c>
      <c r="B165" s="325" t="str">
        <f>'Combine Sal Op'!E356</f>
        <v xml:space="preserve"> 12-510018-5000-01</v>
      </c>
      <c r="C165" s="319">
        <f>'Combine Sal Op'!I356</f>
        <v>5200</v>
      </c>
      <c r="E165" s="27" t="s">
        <v>176</v>
      </c>
      <c r="F165" s="27" t="s">
        <v>177</v>
      </c>
      <c r="G165" s="38">
        <v>41518</v>
      </c>
    </row>
    <row r="166" spans="1:7" x14ac:dyDescent="0.2">
      <c r="A166" s="27" t="s">
        <v>175</v>
      </c>
      <c r="B166" s="325" t="str">
        <f>'Combine Sal Op'!E357</f>
        <v xml:space="preserve"> 12-510018-7000-01</v>
      </c>
      <c r="C166" s="319">
        <f>'Combine Sal Op'!I357</f>
        <v>54629.66</v>
      </c>
      <c r="E166" s="27" t="s">
        <v>176</v>
      </c>
      <c r="F166" s="27" t="s">
        <v>177</v>
      </c>
      <c r="G166" s="38">
        <v>41518</v>
      </c>
    </row>
    <row r="167" spans="1:7" x14ac:dyDescent="0.2">
      <c r="A167" s="27" t="s">
        <v>175</v>
      </c>
      <c r="B167" s="325" t="str">
        <f>'Combine Sal Op'!E359</f>
        <v xml:space="preserve"> 12-510014-5000-01</v>
      </c>
      <c r="C167" s="325">
        <f>'Combine Sal Op'!I359</f>
        <v>5000</v>
      </c>
      <c r="E167" s="27" t="s">
        <v>176</v>
      </c>
      <c r="F167" s="27" t="s">
        <v>177</v>
      </c>
      <c r="G167" s="38">
        <v>41518</v>
      </c>
    </row>
    <row r="168" spans="1:7" x14ac:dyDescent="0.2">
      <c r="A168" s="27" t="s">
        <v>175</v>
      </c>
      <c r="B168" s="325" t="str">
        <f>'Combine Sal Op'!E360</f>
        <v xml:space="preserve"> 12-510014-7000-01</v>
      </c>
      <c r="C168" s="325">
        <f>'Combine Sal Op'!I360</f>
        <v>82388.070000000007</v>
      </c>
      <c r="E168" s="27" t="s">
        <v>176</v>
      </c>
      <c r="F168" s="27" t="s">
        <v>177</v>
      </c>
      <c r="G168" s="38">
        <v>41518</v>
      </c>
    </row>
    <row r="169" spans="1:7" x14ac:dyDescent="0.2">
      <c r="A169" s="27" t="s">
        <v>175</v>
      </c>
      <c r="B169" s="325" t="str">
        <f>'Combine Sal Op'!E365</f>
        <v xml:space="preserve"> 12-510012-5000-01</v>
      </c>
      <c r="C169" s="319">
        <f>'Combine Sal Op'!I365</f>
        <v>46823</v>
      </c>
      <c r="E169" s="27" t="s">
        <v>176</v>
      </c>
      <c r="F169" s="27" t="s">
        <v>177</v>
      </c>
      <c r="G169" s="38">
        <v>41518</v>
      </c>
    </row>
    <row r="170" spans="1:7" x14ac:dyDescent="0.2">
      <c r="A170" s="27" t="s">
        <v>175</v>
      </c>
      <c r="B170" s="325" t="str">
        <f>'Combine Sal Op'!E366</f>
        <v xml:space="preserve"> 12-510012-7000-01</v>
      </c>
      <c r="C170" s="319">
        <f>'Combine Sal Op'!I366</f>
        <v>148313.76</v>
      </c>
      <c r="E170" s="27" t="s">
        <v>176</v>
      </c>
      <c r="F170" s="27" t="s">
        <v>177</v>
      </c>
      <c r="G170" s="38">
        <v>41518</v>
      </c>
    </row>
    <row r="171" spans="1:7" x14ac:dyDescent="0.2">
      <c r="A171" s="27" t="s">
        <v>175</v>
      </c>
      <c r="B171" s="325" t="str">
        <f>'Combine Sal Op'!E368</f>
        <v xml:space="preserve"> 12-510010-5000-01</v>
      </c>
      <c r="C171" s="319">
        <f>'Combine Sal Op'!I368</f>
        <v>21750</v>
      </c>
      <c r="E171" s="27" t="s">
        <v>176</v>
      </c>
      <c r="F171" s="27" t="s">
        <v>177</v>
      </c>
      <c r="G171" s="38">
        <v>41518</v>
      </c>
    </row>
    <row r="172" spans="1:7" x14ac:dyDescent="0.2">
      <c r="A172" s="27" t="s">
        <v>175</v>
      </c>
      <c r="B172" s="325" t="str">
        <f>'Combine Sal Op'!E369</f>
        <v xml:space="preserve"> 12-510010-7000-01</v>
      </c>
      <c r="C172" s="319">
        <f>'Combine Sal Op'!I369</f>
        <v>141422.16</v>
      </c>
      <c r="E172" s="27" t="s">
        <v>176</v>
      </c>
      <c r="F172" s="27" t="s">
        <v>177</v>
      </c>
      <c r="G172" s="38">
        <v>41518</v>
      </c>
    </row>
    <row r="173" spans="1:7" x14ac:dyDescent="0.2">
      <c r="A173" s="27" t="s">
        <v>175</v>
      </c>
      <c r="B173" s="325" t="str">
        <f>'Combine Sal Op'!E374</f>
        <v xml:space="preserve"> 12-510025-5000-01</v>
      </c>
      <c r="C173" s="319">
        <f>'Combine Sal Op'!I374</f>
        <v>25000</v>
      </c>
      <c r="E173" s="27" t="s">
        <v>176</v>
      </c>
      <c r="F173" s="27" t="s">
        <v>177</v>
      </c>
      <c r="G173" s="38">
        <v>41518</v>
      </c>
    </row>
    <row r="174" spans="1:7" x14ac:dyDescent="0.2">
      <c r="A174" s="27" t="s">
        <v>175</v>
      </c>
      <c r="B174" s="325" t="str">
        <f>'Combine Sal Op'!E376</f>
        <v xml:space="preserve"> 12-510030-5000-01</v>
      </c>
      <c r="C174" s="319">
        <f>'Combine Sal Op'!I376</f>
        <v>16900</v>
      </c>
      <c r="E174" s="27" t="s">
        <v>176</v>
      </c>
      <c r="F174" s="27" t="s">
        <v>177</v>
      </c>
      <c r="G174" s="38">
        <v>41518</v>
      </c>
    </row>
    <row r="175" spans="1:7" x14ac:dyDescent="0.2">
      <c r="A175" s="27" t="s">
        <v>175</v>
      </c>
      <c r="B175" s="325" t="str">
        <f>'Combine Sal Op'!E378</f>
        <v xml:space="preserve"> 12-510035-5000-01</v>
      </c>
      <c r="C175" s="319">
        <f>'Combine Sal Op'!I378</f>
        <v>8550</v>
      </c>
      <c r="E175" s="27" t="s">
        <v>176</v>
      </c>
      <c r="F175" s="27" t="s">
        <v>177</v>
      </c>
      <c r="G175" s="38">
        <v>41518</v>
      </c>
    </row>
    <row r="176" spans="1:7" x14ac:dyDescent="0.2">
      <c r="A176" s="27" t="s">
        <v>175</v>
      </c>
      <c r="B176" s="325" t="str">
        <f>'Combine Sal Op'!E380</f>
        <v xml:space="preserve"> 12-510045-5000-01</v>
      </c>
      <c r="C176" s="319">
        <f>'Combine Sal Op'!I380</f>
        <v>15150</v>
      </c>
      <c r="E176" s="27" t="s">
        <v>176</v>
      </c>
      <c r="F176" s="27" t="s">
        <v>177</v>
      </c>
      <c r="G176" s="38">
        <v>41518</v>
      </c>
    </row>
    <row r="177" spans="1:7" x14ac:dyDescent="0.2">
      <c r="A177" s="27" t="s">
        <v>175</v>
      </c>
      <c r="B177" s="325" t="str">
        <f>'Combine Sal Op'!E382</f>
        <v xml:space="preserve"> 12-510050-5000-01</v>
      </c>
      <c r="C177" s="319">
        <f>'Combine Sal Op'!I382</f>
        <v>3000</v>
      </c>
      <c r="E177" s="27" t="s">
        <v>176</v>
      </c>
      <c r="F177" s="27" t="s">
        <v>177</v>
      </c>
      <c r="G177" s="38">
        <v>41518</v>
      </c>
    </row>
    <row r="178" spans="1:7" x14ac:dyDescent="0.2">
      <c r="A178" s="27" t="s">
        <v>175</v>
      </c>
      <c r="B178" s="325" t="str">
        <f>'Combine Sal Op'!E384</f>
        <v xml:space="preserve"> 12-510052-5000-01</v>
      </c>
      <c r="C178" s="319">
        <f>'Combine Sal Op'!I384</f>
        <v>0</v>
      </c>
      <c r="E178" s="27" t="s">
        <v>176</v>
      </c>
      <c r="F178" s="27" t="s">
        <v>177</v>
      </c>
      <c r="G178" s="38">
        <v>41518</v>
      </c>
    </row>
    <row r="179" spans="1:7" x14ac:dyDescent="0.2">
      <c r="A179" s="27" t="s">
        <v>175</v>
      </c>
      <c r="B179" s="325" t="str">
        <f>'Combine Sal Op'!E386</f>
        <v xml:space="preserve"> 12-510055-5073-01</v>
      </c>
      <c r="C179" s="319">
        <f>'Combine Sal Op'!I386</f>
        <v>5200</v>
      </c>
      <c r="E179" s="27" t="s">
        <v>176</v>
      </c>
      <c r="F179" s="27" t="s">
        <v>177</v>
      </c>
      <c r="G179" s="38">
        <v>41518</v>
      </c>
    </row>
    <row r="180" spans="1:7" x14ac:dyDescent="0.2">
      <c r="A180" s="27" t="s">
        <v>175</v>
      </c>
      <c r="B180" s="325" t="str">
        <f>'Combine Sal Op'!E388</f>
        <v xml:space="preserve"> 12-510060-7000-01</v>
      </c>
      <c r="C180" s="319">
        <f>'Combine Sal Op'!I388</f>
        <v>0</v>
      </c>
      <c r="E180" s="27" t="s">
        <v>176</v>
      </c>
      <c r="F180" s="27" t="s">
        <v>177</v>
      </c>
      <c r="G180" s="38">
        <v>41518</v>
      </c>
    </row>
    <row r="181" spans="1:7" x14ac:dyDescent="0.2">
      <c r="A181" s="27" t="s">
        <v>175</v>
      </c>
      <c r="B181" s="325" t="str">
        <f>'Combine Sal Op'!E389</f>
        <v xml:space="preserve"> 12-510060-5000-01</v>
      </c>
      <c r="C181" s="319">
        <f>'Combine Sal Op'!I389</f>
        <v>5220</v>
      </c>
      <c r="E181" s="27" t="s">
        <v>176</v>
      </c>
      <c r="F181" s="27" t="s">
        <v>177</v>
      </c>
      <c r="G181" s="38">
        <v>41518</v>
      </c>
    </row>
    <row r="182" spans="1:7" x14ac:dyDescent="0.2">
      <c r="A182" s="27" t="s">
        <v>175</v>
      </c>
      <c r="B182" s="325" t="str">
        <f>'Combine Sal Op'!E394</f>
        <v xml:space="preserve"> 12-510065-5000-01</v>
      </c>
      <c r="C182" s="319">
        <f>'Combine Sal Op'!I394</f>
        <v>21400</v>
      </c>
      <c r="E182" s="27" t="s">
        <v>176</v>
      </c>
      <c r="F182" s="27" t="s">
        <v>177</v>
      </c>
      <c r="G182" s="38">
        <v>41518</v>
      </c>
    </row>
    <row r="183" spans="1:7" x14ac:dyDescent="0.2">
      <c r="A183" s="27" t="s">
        <v>175</v>
      </c>
      <c r="B183" s="325" t="str">
        <f>'Combine Sal Op'!E453</f>
        <v xml:space="preserve"> 11-510070-5000-01</v>
      </c>
      <c r="C183" s="319">
        <f>'Combine Sal Op'!I453</f>
        <v>40000</v>
      </c>
      <c r="E183" s="27" t="s">
        <v>176</v>
      </c>
      <c r="F183" s="27" t="s">
        <v>177</v>
      </c>
      <c r="G183" s="38">
        <v>41518</v>
      </c>
    </row>
    <row r="184" spans="1:7" x14ac:dyDescent="0.2">
      <c r="A184" s="27" t="s">
        <v>175</v>
      </c>
      <c r="B184" s="325" t="str">
        <f>'Combine Sal Op'!E455</f>
        <v xml:space="preserve"> 11-510032-5000-01</v>
      </c>
      <c r="C184" s="319">
        <f>'Combine Sal Op'!I455</f>
        <v>95000</v>
      </c>
      <c r="E184" s="27" t="s">
        <v>176</v>
      </c>
      <c r="F184" s="27" t="s">
        <v>177</v>
      </c>
      <c r="G184" s="38">
        <v>41518</v>
      </c>
    </row>
    <row r="185" spans="1:7" x14ac:dyDescent="0.2">
      <c r="A185" s="27" t="s">
        <v>175</v>
      </c>
      <c r="B185" s="325" t="str">
        <f>'Combine Sal Op'!E391</f>
        <v xml:space="preserve"> 12-510075-5000-01</v>
      </c>
      <c r="C185" s="319">
        <f>'Combine Sal Op'!I391</f>
        <v>86342.04</v>
      </c>
      <c r="E185" s="27" t="s">
        <v>176</v>
      </c>
      <c r="F185" s="27" t="s">
        <v>177</v>
      </c>
      <c r="G185" s="38">
        <v>41518</v>
      </c>
    </row>
    <row r="186" spans="1:7" x14ac:dyDescent="0.2">
      <c r="A186" s="27" t="s">
        <v>175</v>
      </c>
      <c r="B186" s="325" t="str">
        <f>'Combine Sal Op'!E392</f>
        <v xml:space="preserve"> 12-510075-7000-01</v>
      </c>
      <c r="C186" s="319">
        <f>'Combine Sal Op'!I392</f>
        <v>71175.44</v>
      </c>
      <c r="E186" s="27" t="s">
        <v>176</v>
      </c>
      <c r="F186" s="27" t="s">
        <v>177</v>
      </c>
      <c r="G186" s="38">
        <v>41518</v>
      </c>
    </row>
    <row r="187" spans="1:7" x14ac:dyDescent="0.2">
      <c r="A187" s="27" t="s">
        <v>175</v>
      </c>
      <c r="B187" s="325" t="str">
        <f>'Combine Sal Op'!E396</f>
        <v xml:space="preserve"> 12-510076-5000-01</v>
      </c>
      <c r="C187" s="319">
        <f>'Combine Sal Op'!I396</f>
        <v>0</v>
      </c>
      <c r="E187" s="27" t="s">
        <v>176</v>
      </c>
      <c r="F187" s="27" t="s">
        <v>177</v>
      </c>
      <c r="G187" s="38">
        <v>41518</v>
      </c>
    </row>
    <row r="188" spans="1:7" x14ac:dyDescent="0.2">
      <c r="A188" s="27" t="s">
        <v>175</v>
      </c>
      <c r="B188" s="325" t="str">
        <f>'Combine Sal Op'!E397</f>
        <v xml:space="preserve"> 12-510076-7000-01</v>
      </c>
      <c r="C188" s="319">
        <f>'Combine Sal Op'!I397</f>
        <v>0</v>
      </c>
      <c r="E188" s="27" t="s">
        <v>176</v>
      </c>
      <c r="F188" s="27" t="s">
        <v>177</v>
      </c>
      <c r="G188" s="38">
        <v>41518</v>
      </c>
    </row>
    <row r="189" spans="1:7" x14ac:dyDescent="0.2">
      <c r="A189" s="27" t="s">
        <v>175</v>
      </c>
      <c r="B189" s="325" t="str">
        <f>'Combine Sal Op'!E399</f>
        <v xml:space="preserve"> 12-500080-5000-01</v>
      </c>
      <c r="C189" s="319">
        <f>'Combine Sal Op'!I399</f>
        <v>360522.4</v>
      </c>
      <c r="E189" s="27" t="s">
        <v>176</v>
      </c>
      <c r="F189" s="27" t="s">
        <v>177</v>
      </c>
      <c r="G189" s="38">
        <v>41518</v>
      </c>
    </row>
    <row r="190" spans="1:7" x14ac:dyDescent="0.2">
      <c r="A190" s="27" t="s">
        <v>175</v>
      </c>
      <c r="B190" s="325" t="str">
        <f>'Combine Sal Op'!E400</f>
        <v xml:space="preserve"> 12-500080-7000-01</v>
      </c>
      <c r="C190" s="319">
        <f>'Combine Sal Op'!I400</f>
        <v>200839.54</v>
      </c>
      <c r="E190" s="27" t="s">
        <v>176</v>
      </c>
      <c r="F190" s="27" t="s">
        <v>177</v>
      </c>
      <c r="G190" s="38">
        <v>41518</v>
      </c>
    </row>
    <row r="191" spans="1:7" x14ac:dyDescent="0.2">
      <c r="A191" s="27" t="s">
        <v>175</v>
      </c>
      <c r="B191" s="325" t="str">
        <f>'Combine Sal Op'!E407</f>
        <v xml:space="preserve"> 12-500081-5000-01</v>
      </c>
      <c r="C191" s="319">
        <f>'Combine Sal Op'!I407</f>
        <v>0</v>
      </c>
      <c r="E191" s="27" t="s">
        <v>176</v>
      </c>
      <c r="F191" s="27" t="s">
        <v>177</v>
      </c>
      <c r="G191" s="38">
        <v>41518</v>
      </c>
    </row>
    <row r="192" spans="1:7" x14ac:dyDescent="0.2">
      <c r="A192" s="27" t="s">
        <v>175</v>
      </c>
      <c r="B192" s="325" t="str">
        <f>'Combine Sal Op'!E408</f>
        <v>12-500081-7000-01</v>
      </c>
      <c r="C192" s="319">
        <f>'Combine Sal Op'!I408</f>
        <v>0</v>
      </c>
      <c r="E192" s="27" t="s">
        <v>176</v>
      </c>
      <c r="F192" s="27" t="s">
        <v>177</v>
      </c>
      <c r="G192" s="38">
        <v>41518</v>
      </c>
    </row>
    <row r="193" spans="1:7" x14ac:dyDescent="0.2">
      <c r="A193" s="27" t="s">
        <v>175</v>
      </c>
      <c r="B193" s="325" t="str">
        <f>'Combine Sal Op'!E410</f>
        <v>12-500082-5000-01</v>
      </c>
      <c r="C193" s="319">
        <f>'Combine Sal Op'!I410</f>
        <v>263878.71000000002</v>
      </c>
      <c r="E193" s="27" t="s">
        <v>176</v>
      </c>
      <c r="F193" s="27" t="s">
        <v>177</v>
      </c>
      <c r="G193" s="38">
        <v>41518</v>
      </c>
    </row>
    <row r="194" spans="1:7" x14ac:dyDescent="0.2">
      <c r="A194" s="27" t="s">
        <v>175</v>
      </c>
      <c r="B194" s="325" t="str">
        <f>'Combine Sal Op'!E411</f>
        <v>12-500082-7000-01</v>
      </c>
      <c r="C194" s="319">
        <f>'Combine Sal Op'!I411</f>
        <v>119227.73</v>
      </c>
      <c r="E194" s="27" t="s">
        <v>176</v>
      </c>
      <c r="F194" s="27" t="s">
        <v>177</v>
      </c>
      <c r="G194" s="38">
        <v>41518</v>
      </c>
    </row>
    <row r="195" spans="1:7" x14ac:dyDescent="0.2">
      <c r="A195" s="27" t="s">
        <v>175</v>
      </c>
      <c r="B195" s="325" t="str">
        <f>'Combine Sal Op'!E414</f>
        <v xml:space="preserve"> 12-510080-7000-01</v>
      </c>
      <c r="C195" s="319">
        <f>'Combine Sal Op'!I414</f>
        <v>29135</v>
      </c>
      <c r="E195" s="27" t="s">
        <v>176</v>
      </c>
      <c r="F195" s="27" t="s">
        <v>177</v>
      </c>
      <c r="G195" s="38">
        <v>41518</v>
      </c>
    </row>
    <row r="196" spans="1:7" x14ac:dyDescent="0.2">
      <c r="A196" s="27" t="s">
        <v>175</v>
      </c>
      <c r="B196" s="325" t="str">
        <f>'Combine Sal Op'!E413</f>
        <v xml:space="preserve"> 12-510080-5000-01</v>
      </c>
      <c r="C196" s="319">
        <f>'Combine Sal Op'!I413</f>
        <v>150050</v>
      </c>
      <c r="E196" s="27" t="s">
        <v>176</v>
      </c>
      <c r="F196" s="27" t="s">
        <v>177</v>
      </c>
      <c r="G196" s="38">
        <v>41518</v>
      </c>
    </row>
    <row r="197" spans="1:7" x14ac:dyDescent="0.2">
      <c r="A197" s="27" t="s">
        <v>175</v>
      </c>
      <c r="B197" s="325" t="str">
        <f>'Combine Sal Op'!E192</f>
        <v xml:space="preserve"> 12-310035-5000-01</v>
      </c>
      <c r="C197" s="319">
        <f>'Combine Sal Op'!I192</f>
        <v>18800</v>
      </c>
      <c r="E197" s="27" t="s">
        <v>176</v>
      </c>
      <c r="F197" s="27" t="s">
        <v>177</v>
      </c>
      <c r="G197" s="38">
        <v>41518</v>
      </c>
    </row>
    <row r="198" spans="1:7" x14ac:dyDescent="0.2">
      <c r="A198" s="27" t="s">
        <v>175</v>
      </c>
      <c r="B198" s="325" t="str">
        <f>'Combine Sal Op'!E193</f>
        <v xml:space="preserve"> 12-310035-7000-01</v>
      </c>
      <c r="C198" s="319">
        <f>'Combine Sal Op'!I193</f>
        <v>60720</v>
      </c>
      <c r="E198" s="27" t="s">
        <v>176</v>
      </c>
      <c r="F198" s="27" t="s">
        <v>177</v>
      </c>
      <c r="G198" s="38">
        <v>41518</v>
      </c>
    </row>
    <row r="199" spans="1:7" x14ac:dyDescent="0.2">
      <c r="A199" s="27" t="s">
        <v>175</v>
      </c>
      <c r="B199" s="325" t="str">
        <f>'Combine Sal Op'!E417</f>
        <v xml:space="preserve"> 76-720090-5060-01</v>
      </c>
      <c r="C199" s="319">
        <f>'Combine Sal Op'!I417</f>
        <v>1154648</v>
      </c>
      <c r="E199" s="27" t="s">
        <v>176</v>
      </c>
      <c r="F199" s="27" t="s">
        <v>177</v>
      </c>
      <c r="G199" s="38">
        <v>41518</v>
      </c>
    </row>
    <row r="200" spans="1:7" x14ac:dyDescent="0.2">
      <c r="A200" s="27" t="s">
        <v>175</v>
      </c>
      <c r="B200" s="325" t="str">
        <f>'Combine Sal Op'!E418</f>
        <v xml:space="preserve"> 12-530005-5060-01</v>
      </c>
      <c r="C200" s="319">
        <f>'Combine Sal Op'!I418</f>
        <v>1154648</v>
      </c>
      <c r="E200" s="27" t="s">
        <v>176</v>
      </c>
      <c r="F200" s="27" t="s">
        <v>177</v>
      </c>
      <c r="G200" s="38">
        <v>41518</v>
      </c>
    </row>
    <row r="201" spans="1:7" x14ac:dyDescent="0.2">
      <c r="A201" s="27" t="s">
        <v>175</v>
      </c>
      <c r="B201" s="325" t="str">
        <f>'Combine Sal Op'!E420</f>
        <v>12-530015-5060-01</v>
      </c>
      <c r="C201" s="319">
        <f>'Combine Sal Op'!I420</f>
        <v>260000</v>
      </c>
      <c r="E201" s="27" t="s">
        <v>176</v>
      </c>
      <c r="F201" s="27" t="s">
        <v>177</v>
      </c>
      <c r="G201" s="38">
        <v>41518</v>
      </c>
    </row>
    <row r="202" spans="1:7" x14ac:dyDescent="0.2">
      <c r="A202" s="27" t="s">
        <v>175</v>
      </c>
      <c r="B202" s="325" t="str">
        <f>'Combine Sal Op'!E421</f>
        <v>12-530010-5000-01</v>
      </c>
      <c r="C202" s="319">
        <f>'Combine Sal Op'!I421</f>
        <v>200000</v>
      </c>
      <c r="E202" s="27" t="s">
        <v>176</v>
      </c>
      <c r="F202" s="27" t="s">
        <v>177</v>
      </c>
      <c r="G202" s="38">
        <v>41518</v>
      </c>
    </row>
    <row r="203" spans="1:7" x14ac:dyDescent="0.2">
      <c r="A203" s="27" t="s">
        <v>175</v>
      </c>
      <c r="B203" s="325" t="str">
        <f>'Combine Sal Op'!E422</f>
        <v xml:space="preserve"> 76-720090-5061-01</v>
      </c>
      <c r="C203" s="319">
        <f>'Combine Sal Op'!I422</f>
        <v>460000</v>
      </c>
      <c r="E203" s="27" t="s">
        <v>176</v>
      </c>
      <c r="F203" s="27" t="s">
        <v>177</v>
      </c>
      <c r="G203" s="38">
        <v>41518</v>
      </c>
    </row>
    <row r="204" spans="1:7" x14ac:dyDescent="0.2">
      <c r="A204" s="27" t="s">
        <v>175</v>
      </c>
      <c r="B204" s="325" t="str">
        <f>'Combine Sal Op'!E424</f>
        <v xml:space="preserve"> 12-530006-5060-01</v>
      </c>
      <c r="C204" s="319">
        <f>'Combine Sal Op'!I424</f>
        <v>260000</v>
      </c>
      <c r="E204" s="27" t="s">
        <v>176</v>
      </c>
      <c r="F204" s="27" t="s">
        <v>177</v>
      </c>
      <c r="G204" s="38">
        <v>41518</v>
      </c>
    </row>
    <row r="205" spans="1:7" x14ac:dyDescent="0.2">
      <c r="A205" s="27" t="s">
        <v>175</v>
      </c>
      <c r="B205" s="325" t="str">
        <f>'Combine Sal Op'!E426</f>
        <v xml:space="preserve"> 12-530007-5060-01</v>
      </c>
      <c r="C205" s="319">
        <f>'Combine Sal Op'!I426</f>
        <v>15000</v>
      </c>
      <c r="E205" s="27" t="s">
        <v>176</v>
      </c>
      <c r="F205" s="27" t="s">
        <v>177</v>
      </c>
      <c r="G205" s="38">
        <v>41518</v>
      </c>
    </row>
    <row r="206" spans="1:7" x14ac:dyDescent="0.2">
      <c r="A206" s="27" t="s">
        <v>175</v>
      </c>
      <c r="B206" s="325" t="str">
        <f>'Combine Sal Op'!E428</f>
        <v xml:space="preserve"> 12-530008-5060-01</v>
      </c>
      <c r="C206" s="319">
        <f>'Combine Sal Op'!I428</f>
        <v>50000</v>
      </c>
      <c r="E206" s="27" t="s">
        <v>176</v>
      </c>
      <c r="F206" s="27" t="s">
        <v>177</v>
      </c>
      <c r="G206" s="38">
        <v>41518</v>
      </c>
    </row>
    <row r="207" spans="1:7" x14ac:dyDescent="0.2">
      <c r="A207" s="27" t="s">
        <v>175</v>
      </c>
      <c r="B207" s="325" t="str">
        <f>'Combine Sal Op'!E9</f>
        <v xml:space="preserve"> 12-390010-7000-01</v>
      </c>
      <c r="C207" s="319">
        <f>'Combine Sal Op'!I9</f>
        <v>3746291.76</v>
      </c>
      <c r="E207" s="27" t="s">
        <v>176</v>
      </c>
      <c r="F207" s="27" t="s">
        <v>177</v>
      </c>
      <c r="G207" s="38">
        <v>41518</v>
      </c>
    </row>
    <row r="208" spans="1:7" x14ac:dyDescent="0.2">
      <c r="A208" s="27" t="s">
        <v>175</v>
      </c>
      <c r="B208" s="325" t="str">
        <f>'Combine Sal Op'!E11</f>
        <v xml:space="preserve"> 12-390014-7000-01</v>
      </c>
      <c r="C208" s="319">
        <f>'Combine Sal Op'!I11</f>
        <v>1725000</v>
      </c>
      <c r="E208" s="27" t="s">
        <v>176</v>
      </c>
      <c r="F208" s="27" t="s">
        <v>177</v>
      </c>
      <c r="G208" s="38">
        <v>41518</v>
      </c>
    </row>
    <row r="209" spans="1:7" x14ac:dyDescent="0.2">
      <c r="A209" s="27" t="s">
        <v>175</v>
      </c>
      <c r="B209" s="325" t="str">
        <f>'Combine Sal Op'!E169</f>
        <v>12-310010-5000-01</v>
      </c>
      <c r="C209" s="319">
        <f>'Combine Sal Op'!I169</f>
        <v>5480</v>
      </c>
      <c r="E209" s="27" t="s">
        <v>176</v>
      </c>
      <c r="F209" s="27" t="s">
        <v>177</v>
      </c>
      <c r="G209" s="38">
        <v>41518</v>
      </c>
    </row>
    <row r="210" spans="1:7" x14ac:dyDescent="0.2">
      <c r="A210" s="27" t="s">
        <v>175</v>
      </c>
      <c r="B210" s="325" t="str">
        <f>'Combine Sal Op'!E170</f>
        <v>12-310010-7000-01</v>
      </c>
      <c r="C210" s="319">
        <f>'Combine Sal Op'!I170</f>
        <v>139577.51</v>
      </c>
      <c r="E210" s="27" t="s">
        <v>176</v>
      </c>
      <c r="F210" s="27" t="s">
        <v>177</v>
      </c>
      <c r="G210" s="38">
        <v>41518</v>
      </c>
    </row>
    <row r="211" spans="1:7" x14ac:dyDescent="0.2">
      <c r="A211" s="27" t="s">
        <v>175</v>
      </c>
      <c r="B211" s="325" t="str">
        <f>'Combine Sal Op'!E172</f>
        <v>12-310011-5000-01</v>
      </c>
      <c r="C211" s="319">
        <f>'Combine Sal Op'!I172</f>
        <v>36635</v>
      </c>
      <c r="E211" s="27" t="s">
        <v>176</v>
      </c>
      <c r="F211" s="27" t="s">
        <v>177</v>
      </c>
      <c r="G211" s="38">
        <v>41518</v>
      </c>
    </row>
    <row r="212" spans="1:7" x14ac:dyDescent="0.2">
      <c r="A212" s="27" t="s">
        <v>175</v>
      </c>
      <c r="B212" s="325" t="str">
        <f>'Combine Sal Op'!E173</f>
        <v>12-310011-7000-01</v>
      </c>
      <c r="C212" s="319">
        <f>'Combine Sal Op'!I173</f>
        <v>191882.4</v>
      </c>
      <c r="E212" s="27" t="s">
        <v>176</v>
      </c>
      <c r="F212" s="27" t="s">
        <v>177</v>
      </c>
      <c r="G212" s="38">
        <v>41518</v>
      </c>
    </row>
    <row r="213" spans="1:7" x14ac:dyDescent="0.2">
      <c r="A213" s="27" t="s">
        <v>175</v>
      </c>
      <c r="B213" s="325" t="str">
        <f>'Combine Sal Op'!E177</f>
        <v>12-310015-5000-01</v>
      </c>
      <c r="C213" s="319">
        <f>'Combine Sal Op'!I177</f>
        <v>21350</v>
      </c>
      <c r="E213" s="27" t="s">
        <v>176</v>
      </c>
      <c r="F213" s="27" t="s">
        <v>177</v>
      </c>
      <c r="G213" s="38">
        <v>41518</v>
      </c>
    </row>
    <row r="214" spans="1:7" x14ac:dyDescent="0.2">
      <c r="A214" s="27" t="s">
        <v>175</v>
      </c>
      <c r="B214" s="325" t="str">
        <f>'Combine Sal Op'!E178</f>
        <v>12-310015-7000-01</v>
      </c>
      <c r="C214" s="319">
        <f>'Combine Sal Op'!I178</f>
        <v>60845.4</v>
      </c>
      <c r="E214" s="27" t="s">
        <v>176</v>
      </c>
      <c r="F214" s="27" t="s">
        <v>177</v>
      </c>
      <c r="G214" s="38">
        <v>41518</v>
      </c>
    </row>
    <row r="215" spans="1:7" x14ac:dyDescent="0.2">
      <c r="A215" s="141" t="s">
        <v>175</v>
      </c>
      <c r="B215" s="327" t="str">
        <f>+'Combine Sal Op'!E175</f>
        <v>12-310016-5000-01</v>
      </c>
      <c r="C215" s="320">
        <f>+'Combine Sal Op'!I175</f>
        <v>980</v>
      </c>
      <c r="D215" s="142"/>
      <c r="E215" s="141" t="s">
        <v>176</v>
      </c>
      <c r="F215" s="27" t="s">
        <v>177</v>
      </c>
      <c r="G215" s="38">
        <v>41518</v>
      </c>
    </row>
    <row r="216" spans="1:7" x14ac:dyDescent="0.2">
      <c r="A216" s="141" t="s">
        <v>175</v>
      </c>
      <c r="B216" s="327" t="str">
        <f>+'Combine Sal Op'!E176</f>
        <v>12-310016-7000-01</v>
      </c>
      <c r="C216" s="320">
        <f>+'Combine Sal Op'!I176</f>
        <v>80119.13</v>
      </c>
      <c r="D216" s="142"/>
      <c r="E216" s="141" t="s">
        <v>176</v>
      </c>
      <c r="F216" s="27" t="s">
        <v>177</v>
      </c>
      <c r="G216" s="38">
        <v>41518</v>
      </c>
    </row>
    <row r="217" spans="1:7" x14ac:dyDescent="0.2">
      <c r="A217" s="27" t="s">
        <v>175</v>
      </c>
      <c r="B217" s="325" t="str">
        <f>'Combine Sal Op'!E180</f>
        <v>12-310017-5000-01</v>
      </c>
      <c r="C217" s="319">
        <f>'Combine Sal Op'!I180</f>
        <v>29480</v>
      </c>
      <c r="E217" s="27" t="s">
        <v>176</v>
      </c>
      <c r="F217" s="27" t="s">
        <v>177</v>
      </c>
      <c r="G217" s="38">
        <v>41518</v>
      </c>
    </row>
    <row r="218" spans="1:7" x14ac:dyDescent="0.2">
      <c r="A218" s="27" t="s">
        <v>175</v>
      </c>
      <c r="B218" s="325" t="str">
        <f>'Combine Sal Op'!E181</f>
        <v>12-310017-7000-01</v>
      </c>
      <c r="C218" s="319">
        <f>'Combine Sal Op'!I181</f>
        <v>40480</v>
      </c>
      <c r="E218" s="27" t="s">
        <v>176</v>
      </c>
      <c r="F218" s="27" t="s">
        <v>177</v>
      </c>
      <c r="G218" s="38">
        <v>41518</v>
      </c>
    </row>
    <row r="219" spans="1:7" x14ac:dyDescent="0.2">
      <c r="A219" s="27" t="s">
        <v>175</v>
      </c>
      <c r="B219" s="325" t="str">
        <f>'Combine Sal Op'!E33</f>
        <v xml:space="preserve"> 12-100001-5000-01</v>
      </c>
      <c r="C219" s="319">
        <f>'Combine Sal Op'!I33</f>
        <v>0</v>
      </c>
      <c r="E219" s="27" t="s">
        <v>176</v>
      </c>
      <c r="F219" s="27" t="s">
        <v>177</v>
      </c>
      <c r="G219" s="38">
        <v>41518</v>
      </c>
    </row>
    <row r="220" spans="1:7" x14ac:dyDescent="0.2">
      <c r="A220" s="27" t="s">
        <v>175</v>
      </c>
      <c r="B220" s="325" t="str">
        <f>'Combine Sal Op'!E35</f>
        <v xml:space="preserve"> 12-101001-5000-01</v>
      </c>
      <c r="C220" s="319">
        <f>'Combine Sal Op'!I35</f>
        <v>596</v>
      </c>
      <c r="E220" s="27" t="s">
        <v>176</v>
      </c>
      <c r="F220" s="27" t="s">
        <v>177</v>
      </c>
      <c r="G220" s="38">
        <v>41518</v>
      </c>
    </row>
    <row r="221" spans="1:7" x14ac:dyDescent="0.2">
      <c r="A221" s="27" t="s">
        <v>175</v>
      </c>
      <c r="B221" s="325" t="str">
        <f>'Combine Sal Op'!E37</f>
        <v xml:space="preserve"> 12-100301-5000-01</v>
      </c>
      <c r="C221" s="319">
        <f>'Combine Sal Op'!I37</f>
        <v>4868</v>
      </c>
      <c r="E221" s="27" t="s">
        <v>176</v>
      </c>
      <c r="F221" s="27" t="s">
        <v>177</v>
      </c>
      <c r="G221" s="38">
        <v>41518</v>
      </c>
    </row>
    <row r="222" spans="1:7" x14ac:dyDescent="0.2">
      <c r="A222" s="27" t="s">
        <v>175</v>
      </c>
      <c r="B222" s="325" t="str">
        <f>'Combine Sal Op'!E39</f>
        <v xml:space="preserve"> 12-101200-5000-01</v>
      </c>
      <c r="C222" s="319">
        <f>'Combine Sal Op'!I39</f>
        <v>1865</v>
      </c>
      <c r="E222" s="27" t="s">
        <v>176</v>
      </c>
      <c r="F222" s="27" t="s">
        <v>177</v>
      </c>
      <c r="G222" s="38">
        <v>41518</v>
      </c>
    </row>
    <row r="223" spans="1:7" x14ac:dyDescent="0.2">
      <c r="A223" s="27" t="s">
        <v>175</v>
      </c>
      <c r="B223" s="325" t="str">
        <f>'Combine Sal Op'!E41</f>
        <v xml:space="preserve"> 12-100401-5000-01</v>
      </c>
      <c r="C223" s="319">
        <f>'Combine Sal Op'!I41</f>
        <v>1976</v>
      </c>
      <c r="E223" s="27" t="s">
        <v>176</v>
      </c>
      <c r="F223" s="27" t="s">
        <v>177</v>
      </c>
      <c r="G223" s="38">
        <v>41518</v>
      </c>
    </row>
    <row r="224" spans="1:7" x14ac:dyDescent="0.2">
      <c r="A224" s="27" t="s">
        <v>175</v>
      </c>
      <c r="B224" s="325" t="str">
        <f>'Combine Sal Op'!E18</f>
        <v xml:space="preserve"> 12-100600-5000-01</v>
      </c>
      <c r="C224" s="319">
        <f>'Combine Sal Op'!I18</f>
        <v>540</v>
      </c>
      <c r="E224" s="27" t="s">
        <v>176</v>
      </c>
      <c r="F224" s="27" t="s">
        <v>177</v>
      </c>
      <c r="G224" s="38">
        <v>41518</v>
      </c>
    </row>
    <row r="225" spans="1:7" x14ac:dyDescent="0.2">
      <c r="A225" s="27" t="s">
        <v>175</v>
      </c>
      <c r="B225" s="325" t="str">
        <f>'Combine Sal Op'!E20</f>
        <v xml:space="preserve"> 12-100601-5000-01</v>
      </c>
      <c r="C225" s="319">
        <f>'Combine Sal Op'!I20</f>
        <v>2202.23</v>
      </c>
      <c r="E225" s="27" t="s">
        <v>176</v>
      </c>
      <c r="F225" s="27" t="s">
        <v>177</v>
      </c>
      <c r="G225" s="38">
        <v>41518</v>
      </c>
    </row>
    <row r="226" spans="1:7" x14ac:dyDescent="0.2">
      <c r="A226" s="27" t="s">
        <v>175</v>
      </c>
      <c r="B226" s="325" t="str">
        <f>'Combine Sal Op'!E22</f>
        <v xml:space="preserve"> 12-100602-5000-01</v>
      </c>
      <c r="C226" s="319">
        <f>'Combine Sal Op'!I22</f>
        <v>16714.78</v>
      </c>
      <c r="E226" s="27" t="s">
        <v>176</v>
      </c>
      <c r="F226" s="27" t="s">
        <v>177</v>
      </c>
      <c r="G226" s="38">
        <v>41518</v>
      </c>
    </row>
    <row r="227" spans="1:7" x14ac:dyDescent="0.2">
      <c r="A227" s="27" t="s">
        <v>175</v>
      </c>
      <c r="B227" s="325" t="str">
        <f>'Combine Sal Op'!E23</f>
        <v xml:space="preserve"> 12-100602-7000-01</v>
      </c>
      <c r="C227" s="319">
        <f>'Combine Sal Op'!I23</f>
        <v>44099.96</v>
      </c>
      <c r="E227" s="27" t="s">
        <v>176</v>
      </c>
      <c r="F227" s="27" t="s">
        <v>177</v>
      </c>
      <c r="G227" s="38">
        <v>41518</v>
      </c>
    </row>
    <row r="228" spans="1:7" x14ac:dyDescent="0.2">
      <c r="A228" s="27" t="s">
        <v>175</v>
      </c>
      <c r="B228" s="325" t="str">
        <f>'Combine Sal Op'!E25</f>
        <v>12-100606-5000-01</v>
      </c>
      <c r="C228" s="319">
        <f>'Combine Sal Op'!I25</f>
        <v>2194.44</v>
      </c>
      <c r="E228" s="27" t="s">
        <v>176</v>
      </c>
      <c r="F228" s="27" t="s">
        <v>177</v>
      </c>
      <c r="G228" s="38">
        <v>41518</v>
      </c>
    </row>
    <row r="229" spans="1:7" x14ac:dyDescent="0.2">
      <c r="A229" s="27" t="s">
        <v>175</v>
      </c>
      <c r="B229" s="325" t="str">
        <f>'Combine Sal Op'!E27</f>
        <v xml:space="preserve"> 12-100607-5000-01</v>
      </c>
      <c r="C229" s="319">
        <f>'Combine Sal Op'!I27</f>
        <v>2697.6</v>
      </c>
      <c r="E229" s="27" t="s">
        <v>176</v>
      </c>
      <c r="F229" s="27" t="s">
        <v>177</v>
      </c>
      <c r="G229" s="38">
        <v>41518</v>
      </c>
    </row>
    <row r="230" spans="1:7" x14ac:dyDescent="0.2">
      <c r="A230" s="27" t="s">
        <v>175</v>
      </c>
      <c r="B230" s="325" t="str">
        <f>'Combine Sal Op'!E43</f>
        <v>12-100406-5000-01</v>
      </c>
      <c r="C230" s="319">
        <f>'Combine Sal Op'!I43</f>
        <v>60</v>
      </c>
      <c r="E230" s="27" t="s">
        <v>176</v>
      </c>
      <c r="F230" s="27" t="s">
        <v>177</v>
      </c>
      <c r="G230" s="38">
        <v>41518</v>
      </c>
    </row>
    <row r="231" spans="1:7" x14ac:dyDescent="0.2">
      <c r="A231" s="27" t="s">
        <v>175</v>
      </c>
      <c r="B231" s="325" t="str">
        <f>'Combine Sal Op'!E45</f>
        <v xml:space="preserve"> 12-100701-5000-01</v>
      </c>
      <c r="C231" s="319">
        <f>'Combine Sal Op'!I45</f>
        <v>1065.5899999999999</v>
      </c>
      <c r="E231" s="27" t="s">
        <v>176</v>
      </c>
      <c r="F231" s="27" t="s">
        <v>177</v>
      </c>
      <c r="G231" s="38">
        <v>41518</v>
      </c>
    </row>
    <row r="232" spans="1:7" x14ac:dyDescent="0.2">
      <c r="A232" s="27" t="s">
        <v>175</v>
      </c>
      <c r="B232" s="325" t="str">
        <f>'Combine Sal Op'!E47</f>
        <v xml:space="preserve"> 12-100702-5000-01</v>
      </c>
      <c r="C232" s="319">
        <f>'Combine Sal Op'!I47</f>
        <v>0</v>
      </c>
      <c r="E232" s="27" t="s">
        <v>176</v>
      </c>
      <c r="F232" s="27" t="s">
        <v>177</v>
      </c>
      <c r="G232" s="38">
        <v>41518</v>
      </c>
    </row>
    <row r="233" spans="1:7" x14ac:dyDescent="0.2">
      <c r="A233" s="27" t="s">
        <v>175</v>
      </c>
      <c r="B233" s="325" t="str">
        <f>'Combine Sal Op'!E49</f>
        <v xml:space="preserve"> 12-100703-5000-01</v>
      </c>
      <c r="C233" s="319">
        <f>'Combine Sal Op'!I49</f>
        <v>1729</v>
      </c>
      <c r="E233" s="27" t="s">
        <v>176</v>
      </c>
      <c r="F233" s="27" t="s">
        <v>177</v>
      </c>
      <c r="G233" s="38">
        <v>41518</v>
      </c>
    </row>
    <row r="234" spans="1:7" x14ac:dyDescent="0.2">
      <c r="A234" s="27" t="s">
        <v>175</v>
      </c>
      <c r="B234" s="325" t="str">
        <f>'Combine Sal Op'!E51</f>
        <v>12-100704-5000-01</v>
      </c>
      <c r="C234" s="319">
        <f>'Combine Sal Op'!I51</f>
        <v>0</v>
      </c>
      <c r="E234" s="27" t="s">
        <v>176</v>
      </c>
      <c r="F234" s="27" t="s">
        <v>177</v>
      </c>
      <c r="G234" s="38">
        <v>41518</v>
      </c>
    </row>
    <row r="235" spans="1:7" x14ac:dyDescent="0.2">
      <c r="A235" s="27" t="s">
        <v>175</v>
      </c>
      <c r="B235" s="325" t="str">
        <f>'Combine Sal Op'!E53</f>
        <v xml:space="preserve"> 12-100801-5000-01</v>
      </c>
      <c r="C235" s="319">
        <f>'Combine Sal Op'!I53</f>
        <v>760</v>
      </c>
      <c r="E235" s="27" t="s">
        <v>176</v>
      </c>
      <c r="F235" s="27" t="s">
        <v>177</v>
      </c>
      <c r="G235" s="38">
        <v>41518</v>
      </c>
    </row>
    <row r="236" spans="1:7" x14ac:dyDescent="0.2">
      <c r="A236" s="27" t="s">
        <v>175</v>
      </c>
      <c r="B236" s="325" t="str">
        <f>'Combine Sal Op'!E55</f>
        <v xml:space="preserve"> 12-101201-5000-01</v>
      </c>
      <c r="C236" s="319">
        <f>'Combine Sal Op'!I55</f>
        <v>6469.71</v>
      </c>
      <c r="E236" s="27" t="s">
        <v>176</v>
      </c>
      <c r="F236" s="27" t="s">
        <v>177</v>
      </c>
      <c r="G236" s="38">
        <v>41518</v>
      </c>
    </row>
    <row r="237" spans="1:7" x14ac:dyDescent="0.2">
      <c r="A237" s="27" t="s">
        <v>175</v>
      </c>
      <c r="B237" s="325" t="str">
        <f>'Combine Sal Op'!E57</f>
        <v xml:space="preserve"> 12-101202-5000-01</v>
      </c>
      <c r="C237" s="319">
        <f>'Combine Sal Op'!I57</f>
        <v>1000.59</v>
      </c>
      <c r="E237" s="27" t="s">
        <v>176</v>
      </c>
      <c r="F237" s="27" t="s">
        <v>177</v>
      </c>
      <c r="G237" s="38">
        <v>41518</v>
      </c>
    </row>
    <row r="238" spans="1:7" x14ac:dyDescent="0.2">
      <c r="A238" s="27" t="s">
        <v>175</v>
      </c>
      <c r="B238" s="325" t="str">
        <f>'Combine Sal Op'!E59</f>
        <v xml:space="preserve"> 12-101203-5000-01</v>
      </c>
      <c r="C238" s="319">
        <f>'Combine Sal Op'!I59</f>
        <v>1940</v>
      </c>
      <c r="E238" s="27" t="s">
        <v>176</v>
      </c>
      <c r="F238" s="27" t="s">
        <v>177</v>
      </c>
      <c r="G238" s="38">
        <v>41518</v>
      </c>
    </row>
    <row r="239" spans="1:7" x14ac:dyDescent="0.2">
      <c r="A239" s="27" t="s">
        <v>175</v>
      </c>
      <c r="B239" s="325" t="str">
        <f>'Combine Sal Op'!E61</f>
        <v xml:space="preserve"> 12-100603-5000-01</v>
      </c>
      <c r="C239" s="319">
        <f>'Combine Sal Op'!I61</f>
        <v>28680</v>
      </c>
      <c r="E239" s="27" t="s">
        <v>176</v>
      </c>
      <c r="F239" s="27" t="s">
        <v>177</v>
      </c>
      <c r="G239" s="38">
        <v>41518</v>
      </c>
    </row>
    <row r="240" spans="1:7" x14ac:dyDescent="0.2">
      <c r="A240" s="27" t="s">
        <v>175</v>
      </c>
      <c r="B240" s="325" t="str">
        <f>'Combine Sal Op'!E62</f>
        <v xml:space="preserve"> 12-100603-7000-01</v>
      </c>
      <c r="C240" s="319">
        <f>'Combine Sal Op'!I62</f>
        <v>31190.42</v>
      </c>
      <c r="E240" s="27" t="s">
        <v>176</v>
      </c>
      <c r="F240" s="27" t="s">
        <v>177</v>
      </c>
      <c r="G240" s="38">
        <v>41518</v>
      </c>
    </row>
    <row r="241" spans="1:7" x14ac:dyDescent="0.2">
      <c r="A241" s="27" t="s">
        <v>175</v>
      </c>
      <c r="B241" s="325" t="str">
        <f>'Combine Sal Op'!E64</f>
        <v>12-100611-5000-01</v>
      </c>
      <c r="C241" s="319">
        <f>'Combine Sal Op'!I64</f>
        <v>1000</v>
      </c>
      <c r="E241" s="27" t="s">
        <v>176</v>
      </c>
      <c r="F241" s="27" t="s">
        <v>177</v>
      </c>
      <c r="G241" s="38">
        <v>41518</v>
      </c>
    </row>
    <row r="242" spans="1:7" x14ac:dyDescent="0.2">
      <c r="A242" s="27" t="s">
        <v>175</v>
      </c>
      <c r="B242" s="325" t="str">
        <f>'Combine Sal Op'!E66</f>
        <v xml:space="preserve"> 12-100201-5000-01</v>
      </c>
      <c r="C242" s="319">
        <f>'Combine Sal Op'!I66</f>
        <v>29229.599999999999</v>
      </c>
      <c r="E242" s="27" t="s">
        <v>176</v>
      </c>
      <c r="F242" s="27" t="s">
        <v>177</v>
      </c>
      <c r="G242" s="38">
        <v>41518</v>
      </c>
    </row>
    <row r="243" spans="1:7" x14ac:dyDescent="0.2">
      <c r="A243" s="27" t="s">
        <v>175</v>
      </c>
      <c r="B243" s="325" t="str">
        <f>'Combine Sal Op'!E68</f>
        <v xml:space="preserve"> 12-101301-5000-01</v>
      </c>
      <c r="C243" s="319">
        <f>'Combine Sal Op'!I68</f>
        <v>4520</v>
      </c>
      <c r="E243" s="27" t="s">
        <v>176</v>
      </c>
      <c r="F243" s="27" t="s">
        <v>177</v>
      </c>
      <c r="G243" s="38">
        <v>41518</v>
      </c>
    </row>
    <row r="244" spans="1:7" x14ac:dyDescent="0.2">
      <c r="A244" s="27" t="s">
        <v>175</v>
      </c>
      <c r="B244" s="325" t="str">
        <f>'Combine Sal Op'!E70</f>
        <v xml:space="preserve"> 12-101401-5000-01</v>
      </c>
      <c r="C244" s="319">
        <f>'Combine Sal Op'!I70</f>
        <v>1996</v>
      </c>
      <c r="E244" s="27" t="s">
        <v>176</v>
      </c>
      <c r="F244" s="27" t="s">
        <v>177</v>
      </c>
      <c r="G244" s="38">
        <v>41518</v>
      </c>
    </row>
    <row r="245" spans="1:7" x14ac:dyDescent="0.2">
      <c r="A245" s="27" t="s">
        <v>175</v>
      </c>
      <c r="B245" s="325" t="str">
        <f>'Combine Sal Op'!E72</f>
        <v xml:space="preserve"> 12-101402-5000-01</v>
      </c>
      <c r="C245" s="319">
        <f>'Combine Sal Op'!I72</f>
        <v>0</v>
      </c>
      <c r="E245" s="27" t="s">
        <v>176</v>
      </c>
      <c r="F245" s="27" t="s">
        <v>177</v>
      </c>
      <c r="G245" s="38">
        <v>41518</v>
      </c>
    </row>
    <row r="246" spans="1:7" x14ac:dyDescent="0.2">
      <c r="A246" s="27" t="s">
        <v>175</v>
      </c>
      <c r="B246" s="325" t="str">
        <f>'Combine Sal Op'!E74</f>
        <v xml:space="preserve"> 12-101205-5000-01</v>
      </c>
      <c r="C246" s="319">
        <f>'Combine Sal Op'!I74</f>
        <v>1460</v>
      </c>
      <c r="E246" s="27" t="s">
        <v>176</v>
      </c>
      <c r="F246" s="27" t="s">
        <v>177</v>
      </c>
      <c r="G246" s="38">
        <v>41518</v>
      </c>
    </row>
    <row r="247" spans="1:7" x14ac:dyDescent="0.2">
      <c r="A247" s="27" t="s">
        <v>175</v>
      </c>
      <c r="B247" s="325" t="str">
        <f>'Combine Sal Op'!E76</f>
        <v xml:space="preserve"> 12-101603-5000-01</v>
      </c>
      <c r="C247" s="319">
        <f>'Combine Sal Op'!I76</f>
        <v>2840</v>
      </c>
      <c r="E247" s="27" t="s">
        <v>176</v>
      </c>
      <c r="F247" s="27" t="s">
        <v>177</v>
      </c>
      <c r="G247" s="38">
        <v>41518</v>
      </c>
    </row>
    <row r="248" spans="1:7" x14ac:dyDescent="0.2">
      <c r="A248" s="27" t="s">
        <v>175</v>
      </c>
      <c r="B248" s="325" t="str">
        <f>'Combine Sal Op'!E78</f>
        <v xml:space="preserve"> 12-101604-5000-01</v>
      </c>
      <c r="C248" s="319">
        <f>'Combine Sal Op'!I78</f>
        <v>2980</v>
      </c>
      <c r="E248" s="27" t="s">
        <v>176</v>
      </c>
      <c r="F248" s="27" t="s">
        <v>177</v>
      </c>
      <c r="G248" s="38">
        <v>41518</v>
      </c>
    </row>
    <row r="249" spans="1:7" x14ac:dyDescent="0.2">
      <c r="A249" s="27" t="s">
        <v>175</v>
      </c>
      <c r="B249" s="325" t="str">
        <f>'Combine Sal Op'!E80</f>
        <v xml:space="preserve"> 12-101605-5000-01</v>
      </c>
      <c r="C249" s="319">
        <f>'Combine Sal Op'!I80</f>
        <v>1400</v>
      </c>
      <c r="E249" s="27" t="s">
        <v>176</v>
      </c>
      <c r="F249" s="27" t="s">
        <v>177</v>
      </c>
      <c r="G249" s="38">
        <v>41518</v>
      </c>
    </row>
    <row r="250" spans="1:7" x14ac:dyDescent="0.2">
      <c r="A250" s="27" t="s">
        <v>175</v>
      </c>
      <c r="B250" s="325" t="str">
        <f>'Combine Sal Op'!E82</f>
        <v xml:space="preserve"> 12-101606-5000-01</v>
      </c>
      <c r="C250" s="319">
        <f>'Combine Sal Op'!I82</f>
        <v>2560</v>
      </c>
      <c r="E250" s="27" t="s">
        <v>176</v>
      </c>
      <c r="F250" s="27" t="s">
        <v>177</v>
      </c>
      <c r="G250" s="38">
        <v>41518</v>
      </c>
    </row>
    <row r="251" spans="1:7" x14ac:dyDescent="0.2">
      <c r="A251" s="27" t="s">
        <v>175</v>
      </c>
      <c r="B251" s="325" t="str">
        <f>'Combine Sal Op'!E84</f>
        <v xml:space="preserve"> 12-101501-5000-01</v>
      </c>
      <c r="C251" s="319">
        <f>'Combine Sal Op'!I84</f>
        <v>2040</v>
      </c>
      <c r="E251" s="27" t="s">
        <v>176</v>
      </c>
      <c r="F251" s="27" t="s">
        <v>177</v>
      </c>
      <c r="G251" s="38">
        <v>41518</v>
      </c>
    </row>
    <row r="252" spans="1:7" x14ac:dyDescent="0.2">
      <c r="A252" s="27" t="s">
        <v>175</v>
      </c>
      <c r="B252" s="325" t="str">
        <f>'Combine Sal Op'!E613</f>
        <v xml:space="preserve"> 12-310011-5000-02</v>
      </c>
      <c r="C252" s="319">
        <f>'Combine Sal Op'!I613</f>
        <v>18132</v>
      </c>
      <c r="E252" s="27" t="s">
        <v>176</v>
      </c>
      <c r="F252" s="27" t="s">
        <v>177</v>
      </c>
      <c r="G252" s="38">
        <v>41518</v>
      </c>
    </row>
    <row r="253" spans="1:7" x14ac:dyDescent="0.2">
      <c r="A253" s="27" t="s">
        <v>175</v>
      </c>
      <c r="B253" s="325" t="str">
        <f>'Combine Sal Op'!E614</f>
        <v xml:space="preserve"> 12-310011-7000-02</v>
      </c>
      <c r="C253" s="319">
        <f>'Combine Sal Op'!I614</f>
        <v>142824.13</v>
      </c>
      <c r="E253" s="27" t="s">
        <v>176</v>
      </c>
      <c r="F253" s="27" t="s">
        <v>177</v>
      </c>
      <c r="G253" s="38">
        <v>41518</v>
      </c>
    </row>
    <row r="254" spans="1:7" x14ac:dyDescent="0.2">
      <c r="A254" s="27" t="s">
        <v>175</v>
      </c>
      <c r="B254" s="325" t="str">
        <f>'Combine Sal Op'!E560</f>
        <v>12-101001-5000-02</v>
      </c>
      <c r="C254" s="319">
        <f>'Combine Sal Op'!I560</f>
        <v>-5853.6</v>
      </c>
      <c r="E254" s="27" t="s">
        <v>176</v>
      </c>
      <c r="F254" s="27" t="s">
        <v>177</v>
      </c>
      <c r="G254" s="38">
        <v>41518</v>
      </c>
    </row>
    <row r="255" spans="1:7" x14ac:dyDescent="0.2">
      <c r="A255" s="27" t="s">
        <v>175</v>
      </c>
      <c r="B255" s="325" t="str">
        <f>'Combine Sal Op'!E625</f>
        <v xml:space="preserve"> 12-400015-5000-02</v>
      </c>
      <c r="C255" s="319">
        <f>'Combine Sal Op'!I625</f>
        <v>889.6</v>
      </c>
      <c r="E255" s="27" t="s">
        <v>176</v>
      </c>
      <c r="F255" s="27" t="s">
        <v>177</v>
      </c>
      <c r="G255" s="38">
        <v>41518</v>
      </c>
    </row>
    <row r="256" spans="1:7" x14ac:dyDescent="0.2">
      <c r="A256" s="27" t="s">
        <v>175</v>
      </c>
      <c r="B256" s="325" t="str">
        <f>'Combine Sal Op'!E562</f>
        <v xml:space="preserve"> 12-100201-5000-02</v>
      </c>
      <c r="C256" s="319">
        <f>'Combine Sal Op'!I562</f>
        <v>12420.8</v>
      </c>
      <c r="E256" s="27" t="s">
        <v>176</v>
      </c>
      <c r="F256" s="27" t="s">
        <v>177</v>
      </c>
      <c r="G256" s="38">
        <v>41518</v>
      </c>
    </row>
    <row r="257" spans="1:7" x14ac:dyDescent="0.2">
      <c r="A257" s="27" t="s">
        <v>175</v>
      </c>
      <c r="B257" s="325" t="str">
        <f>'Combine Sal Op'!E564</f>
        <v>12-100301-5000-02</v>
      </c>
      <c r="C257" s="319">
        <f>'Combine Sal Op'!I564</f>
        <v>720.8</v>
      </c>
      <c r="E257" s="27" t="s">
        <v>176</v>
      </c>
      <c r="F257" s="27" t="s">
        <v>177</v>
      </c>
      <c r="G257" s="38">
        <v>41518</v>
      </c>
    </row>
    <row r="258" spans="1:7" x14ac:dyDescent="0.2">
      <c r="A258" s="27" t="s">
        <v>175</v>
      </c>
      <c r="B258" s="325" t="str">
        <f>'Combine Sal Op'!E566</f>
        <v xml:space="preserve"> 12-100601-5000-02</v>
      </c>
      <c r="C258" s="319">
        <f>'Combine Sal Op'!I566</f>
        <v>406.02</v>
      </c>
      <c r="E258" s="27" t="s">
        <v>176</v>
      </c>
      <c r="F258" s="27" t="s">
        <v>177</v>
      </c>
      <c r="G258" s="38">
        <v>41518</v>
      </c>
    </row>
    <row r="259" spans="1:7" x14ac:dyDescent="0.2">
      <c r="A259" s="27" t="s">
        <v>175</v>
      </c>
      <c r="B259" s="325" t="str">
        <f>'Combine Sal Op'!E568</f>
        <v>12-100602-5000-02</v>
      </c>
      <c r="C259" s="319">
        <f>'Combine Sal Op'!I568</f>
        <v>14751.73</v>
      </c>
      <c r="E259" s="27" t="s">
        <v>176</v>
      </c>
      <c r="F259" s="27" t="s">
        <v>177</v>
      </c>
      <c r="G259" s="38">
        <v>41518</v>
      </c>
    </row>
    <row r="260" spans="1:7" x14ac:dyDescent="0.2">
      <c r="A260" s="27" t="s">
        <v>175</v>
      </c>
      <c r="B260" s="325" t="str">
        <f>'Combine Sal Op'!E570</f>
        <v xml:space="preserve"> 12-100603-5000-02</v>
      </c>
      <c r="C260" s="319">
        <f>'Combine Sal Op'!I570</f>
        <v>2789</v>
      </c>
      <c r="E260" s="27" t="s">
        <v>176</v>
      </c>
      <c r="F260" s="27" t="s">
        <v>177</v>
      </c>
      <c r="G260" s="38">
        <v>41518</v>
      </c>
    </row>
    <row r="261" spans="1:7" x14ac:dyDescent="0.2">
      <c r="A261" s="27" t="s">
        <v>175</v>
      </c>
      <c r="B261" s="325" t="str">
        <f>'Combine Sal Op'!E572</f>
        <v>12-100611-5000-02</v>
      </c>
      <c r="C261" s="319">
        <f>'Combine Sal Op'!I572</f>
        <v>515</v>
      </c>
      <c r="E261" s="27" t="s">
        <v>176</v>
      </c>
      <c r="F261" s="27" t="s">
        <v>177</v>
      </c>
      <c r="G261" s="38">
        <v>41518</v>
      </c>
    </row>
    <row r="262" spans="1:7" x14ac:dyDescent="0.2">
      <c r="A262" s="27" t="s">
        <v>175</v>
      </c>
      <c r="B262" s="325" t="str">
        <f>'Combine Sal Op'!E575</f>
        <v xml:space="preserve"> 12-101201-5000-02</v>
      </c>
      <c r="C262" s="319">
        <f>'Combine Sal Op'!I575</f>
        <v>6490.63</v>
      </c>
      <c r="E262" s="27" t="s">
        <v>176</v>
      </c>
      <c r="F262" s="27" t="s">
        <v>177</v>
      </c>
      <c r="G262" s="38">
        <v>41518</v>
      </c>
    </row>
    <row r="263" spans="1:7" x14ac:dyDescent="0.2">
      <c r="A263" s="27" t="s">
        <v>175</v>
      </c>
      <c r="B263" s="325" t="str">
        <f>'Combine Sal Op'!E577</f>
        <v xml:space="preserve"> 12-100701-5000-02</v>
      </c>
      <c r="C263" s="319">
        <f>'Combine Sal Op'!I577</f>
        <v>1819</v>
      </c>
      <c r="E263" s="27" t="s">
        <v>176</v>
      </c>
      <c r="F263" s="27" t="s">
        <v>177</v>
      </c>
      <c r="G263" s="38">
        <v>41518</v>
      </c>
    </row>
    <row r="264" spans="1:7" x14ac:dyDescent="0.2">
      <c r="A264" s="27" t="s">
        <v>175</v>
      </c>
      <c r="B264" s="325" t="str">
        <f>'Combine Sal Op'!E591</f>
        <v xml:space="preserve"> 12-100703-5000-02</v>
      </c>
      <c r="C264" s="319">
        <f>'Combine Sal Op'!I591</f>
        <v>236</v>
      </c>
      <c r="E264" s="27" t="s">
        <v>176</v>
      </c>
      <c r="F264" s="27" t="s">
        <v>177</v>
      </c>
      <c r="G264" s="38">
        <v>41518</v>
      </c>
    </row>
    <row r="265" spans="1:7" x14ac:dyDescent="0.2">
      <c r="A265" s="27" t="s">
        <v>175</v>
      </c>
      <c r="B265" s="325" t="str">
        <f>'Combine Sal Op'!E579</f>
        <v xml:space="preserve"> 12-101203-5000-02</v>
      </c>
      <c r="C265" s="319">
        <f>'Combine Sal Op'!I579</f>
        <v>1712.8</v>
      </c>
      <c r="E265" s="27" t="s">
        <v>176</v>
      </c>
      <c r="F265" s="27" t="s">
        <v>177</v>
      </c>
      <c r="G265" s="38">
        <v>41518</v>
      </c>
    </row>
    <row r="266" spans="1:7" x14ac:dyDescent="0.2">
      <c r="A266" s="27" t="s">
        <v>175</v>
      </c>
      <c r="B266" s="325" t="str">
        <f>'Combine Sal Op'!E581</f>
        <v xml:space="preserve"> 12-101301-5000-02</v>
      </c>
      <c r="C266" s="319">
        <f>'Combine Sal Op'!I581</f>
        <v>3428</v>
      </c>
      <c r="E266" s="27" t="s">
        <v>176</v>
      </c>
      <c r="F266" s="27" t="s">
        <v>177</v>
      </c>
      <c r="G266" s="38">
        <v>41518</v>
      </c>
    </row>
    <row r="267" spans="1:7" x14ac:dyDescent="0.2">
      <c r="A267" s="27" t="s">
        <v>175</v>
      </c>
      <c r="B267" s="325" t="str">
        <f>'Combine Sal Op'!E583</f>
        <v xml:space="preserve"> 12-101401-5000-02</v>
      </c>
      <c r="C267" s="319">
        <f>'Combine Sal Op'!I583</f>
        <v>-2142.4</v>
      </c>
      <c r="E267" s="27" t="s">
        <v>176</v>
      </c>
      <c r="F267" s="27" t="s">
        <v>177</v>
      </c>
      <c r="G267" s="38">
        <v>41518</v>
      </c>
    </row>
    <row r="268" spans="1:7" x14ac:dyDescent="0.2">
      <c r="A268" s="27" t="s">
        <v>175</v>
      </c>
      <c r="B268" s="325" t="str">
        <f>'Combine Sal Op'!E585</f>
        <v xml:space="preserve">  12-101606-5000-02</v>
      </c>
      <c r="C268" s="319">
        <f>'Combine Sal Op'!I585</f>
        <v>771.2</v>
      </c>
      <c r="E268" s="27" t="s">
        <v>176</v>
      </c>
      <c r="F268" s="27" t="s">
        <v>177</v>
      </c>
      <c r="G268" s="38">
        <v>41518</v>
      </c>
    </row>
    <row r="269" spans="1:7" x14ac:dyDescent="0.2">
      <c r="A269" s="27" t="s">
        <v>175</v>
      </c>
      <c r="B269" s="325" t="str">
        <f>'Combine Sal Op'!E587</f>
        <v xml:space="preserve"> 12-101501-5000-02</v>
      </c>
      <c r="C269" s="319">
        <f>'Combine Sal Op'!I587</f>
        <v>4176.8</v>
      </c>
      <c r="E269" s="27" t="s">
        <v>176</v>
      </c>
      <c r="F269" s="27" t="s">
        <v>177</v>
      </c>
      <c r="G269" s="38">
        <v>41518</v>
      </c>
    </row>
    <row r="270" spans="1:7" x14ac:dyDescent="0.2">
      <c r="A270" s="27" t="s">
        <v>175</v>
      </c>
      <c r="B270" s="325" t="str">
        <f>'Combine Sal Op'!E589</f>
        <v xml:space="preserve"> 12-101603-5000-02</v>
      </c>
      <c r="C270" s="319">
        <f>'Combine Sal Op'!I589</f>
        <v>1784.8</v>
      </c>
      <c r="E270" s="27" t="s">
        <v>176</v>
      </c>
      <c r="F270" s="27" t="s">
        <v>177</v>
      </c>
      <c r="G270" s="38">
        <v>41518</v>
      </c>
    </row>
    <row r="271" spans="1:7" x14ac:dyDescent="0.2">
      <c r="A271" s="27" t="s">
        <v>175</v>
      </c>
      <c r="B271" s="325" t="str">
        <f>'Combine Sal Op'!E593</f>
        <v xml:space="preserve"> 12-101604-5000-02</v>
      </c>
      <c r="C271" s="319">
        <f>'Combine Sal Op'!I593</f>
        <v>2451.1999999999998</v>
      </c>
      <c r="E271" s="27" t="s">
        <v>176</v>
      </c>
      <c r="F271" s="27" t="s">
        <v>177</v>
      </c>
      <c r="G271" s="38">
        <v>41518</v>
      </c>
    </row>
    <row r="272" spans="1:7" x14ac:dyDescent="0.2">
      <c r="A272" s="27" t="s">
        <v>175</v>
      </c>
      <c r="B272" s="325" t="str">
        <f>'Combine Sal Op'!E595</f>
        <v xml:space="preserve"> 12-101605-5000-02</v>
      </c>
      <c r="C272" s="319">
        <f>'Combine Sal Op'!I595</f>
        <v>340</v>
      </c>
      <c r="E272" s="27" t="s">
        <v>176</v>
      </c>
      <c r="F272" s="27" t="s">
        <v>177</v>
      </c>
      <c r="G272" s="38">
        <v>41518</v>
      </c>
    </row>
    <row r="273" spans="1:7" x14ac:dyDescent="0.2">
      <c r="A273" s="27" t="s">
        <v>175</v>
      </c>
      <c r="B273" s="325" t="str">
        <f>'Combine Sal Op'!E722</f>
        <v xml:space="preserve"> 12-310011-5000-03</v>
      </c>
      <c r="C273" s="319">
        <f>'Combine Sal Op'!I722</f>
        <v>21870</v>
      </c>
      <c r="E273" s="27" t="s">
        <v>176</v>
      </c>
      <c r="F273" s="27" t="s">
        <v>177</v>
      </c>
      <c r="G273" s="38">
        <v>41518</v>
      </c>
    </row>
    <row r="274" spans="1:7" x14ac:dyDescent="0.2">
      <c r="A274" s="27" t="s">
        <v>175</v>
      </c>
      <c r="B274" s="325" t="str">
        <f>'Combine Sal Op'!E723</f>
        <v xml:space="preserve"> 12-310011-7000-03</v>
      </c>
      <c r="C274" s="319">
        <f>'Combine Sal Op'!I723</f>
        <v>159356.94</v>
      </c>
      <c r="E274" s="27" t="s">
        <v>176</v>
      </c>
      <c r="F274" s="27" t="s">
        <v>177</v>
      </c>
      <c r="G274" s="38">
        <v>41518</v>
      </c>
    </row>
    <row r="275" spans="1:7" x14ac:dyDescent="0.2">
      <c r="A275" s="27" t="s">
        <v>175</v>
      </c>
      <c r="B275" s="325" t="str">
        <f>'Combine Sal Op'!E735</f>
        <v xml:space="preserve"> 12-400015-5000-03</v>
      </c>
      <c r="C275" s="319">
        <f>'Combine Sal Op'!I735</f>
        <v>1408</v>
      </c>
      <c r="E275" s="27" t="s">
        <v>176</v>
      </c>
      <c r="F275" s="27" t="s">
        <v>177</v>
      </c>
      <c r="G275" s="38">
        <v>41518</v>
      </c>
    </row>
    <row r="276" spans="1:7" x14ac:dyDescent="0.2">
      <c r="A276" s="27" t="s">
        <v>175</v>
      </c>
      <c r="B276" s="325" t="str">
        <f>'Combine Sal Op'!E736</f>
        <v xml:space="preserve"> 12-400015-7000-03</v>
      </c>
      <c r="C276" s="319">
        <f>'Combine Sal Op'!I736</f>
        <v>96747.34</v>
      </c>
      <c r="E276" s="27" t="s">
        <v>176</v>
      </c>
      <c r="F276" s="27" t="s">
        <v>177</v>
      </c>
      <c r="G276" s="38">
        <v>41518</v>
      </c>
    </row>
    <row r="277" spans="1:7" x14ac:dyDescent="0.2">
      <c r="A277" s="27" t="s">
        <v>175</v>
      </c>
      <c r="B277" s="325" t="str">
        <f>'Combine Sal Op'!E670</f>
        <v xml:space="preserve"> 12-100201-5000-03</v>
      </c>
      <c r="C277" s="319">
        <f>'Combine Sal Op'!I670</f>
        <v>7272</v>
      </c>
      <c r="E277" s="27" t="s">
        <v>176</v>
      </c>
      <c r="F277" s="27" t="s">
        <v>177</v>
      </c>
      <c r="G277" s="38">
        <v>41518</v>
      </c>
    </row>
    <row r="278" spans="1:7" x14ac:dyDescent="0.2">
      <c r="A278" s="27" t="s">
        <v>175</v>
      </c>
      <c r="B278" s="325" t="str">
        <f>'Combine Sal Op'!E672</f>
        <v xml:space="preserve"> 12-100301-5000-03</v>
      </c>
      <c r="C278" s="319">
        <f>'Combine Sal Op'!I672</f>
        <v>480</v>
      </c>
      <c r="E278" s="27" t="s">
        <v>176</v>
      </c>
      <c r="F278" s="27" t="s">
        <v>177</v>
      </c>
      <c r="G278" s="38">
        <v>41518</v>
      </c>
    </row>
    <row r="279" spans="1:7" x14ac:dyDescent="0.2">
      <c r="A279" s="27" t="s">
        <v>175</v>
      </c>
      <c r="B279" s="325" t="str">
        <f>'Combine Sal Op'!E674</f>
        <v>12-100602-5000-03</v>
      </c>
      <c r="C279" s="319">
        <f>'Combine Sal Op'!I674</f>
        <v>12240.19</v>
      </c>
      <c r="E279" s="27" t="s">
        <v>176</v>
      </c>
      <c r="F279" s="27" t="s">
        <v>177</v>
      </c>
      <c r="G279" s="38">
        <v>41518</v>
      </c>
    </row>
    <row r="280" spans="1:7" x14ac:dyDescent="0.2">
      <c r="A280" s="27" t="s">
        <v>175</v>
      </c>
      <c r="B280" s="325" t="str">
        <f>'Combine Sal Op'!E675</f>
        <v>12-100602-7000-03</v>
      </c>
      <c r="C280" s="319">
        <f>'Combine Sal Op'!I675</f>
        <v>40166.519999999997</v>
      </c>
      <c r="E280" s="27" t="s">
        <v>176</v>
      </c>
      <c r="F280" s="27" t="s">
        <v>177</v>
      </c>
      <c r="G280" s="38">
        <v>41518</v>
      </c>
    </row>
    <row r="281" spans="1:7" x14ac:dyDescent="0.2">
      <c r="A281" s="27" t="s">
        <v>175</v>
      </c>
      <c r="B281" s="325" t="str">
        <f>'Combine Sal Op'!E677</f>
        <v>12-100611-5000-03</v>
      </c>
      <c r="C281" s="319">
        <f>'Combine Sal Op'!I677</f>
        <v>4475</v>
      </c>
      <c r="E281" s="27" t="s">
        <v>176</v>
      </c>
      <c r="F281" s="27" t="s">
        <v>177</v>
      </c>
      <c r="G281" s="38">
        <v>41518</v>
      </c>
    </row>
    <row r="282" spans="1:7" x14ac:dyDescent="0.2">
      <c r="A282" s="27" t="s">
        <v>175</v>
      </c>
      <c r="B282" s="325" t="str">
        <f>'Combine Sal Op'!E679</f>
        <v xml:space="preserve"> 12-100700-5000-03</v>
      </c>
      <c r="C282" s="319">
        <f>'Combine Sal Op'!I679</f>
        <v>445</v>
      </c>
      <c r="E282" s="27" t="s">
        <v>176</v>
      </c>
      <c r="F282" s="27" t="s">
        <v>177</v>
      </c>
      <c r="G282" s="38">
        <v>41518</v>
      </c>
    </row>
    <row r="283" spans="1:7" x14ac:dyDescent="0.2">
      <c r="A283" s="27" t="s">
        <v>175</v>
      </c>
      <c r="B283" s="325" t="str">
        <f>'Combine Sal Op'!E691</f>
        <v xml:space="preserve"> 12-101201-5000-03</v>
      </c>
      <c r="C283" s="319">
        <f>'Combine Sal Op'!I691</f>
        <v>5899.52</v>
      </c>
      <c r="E283" s="27" t="s">
        <v>176</v>
      </c>
      <c r="F283" s="27" t="s">
        <v>177</v>
      </c>
      <c r="G283" s="38">
        <v>41518</v>
      </c>
    </row>
    <row r="284" spans="1:7" x14ac:dyDescent="0.2">
      <c r="A284" s="27" t="s">
        <v>175</v>
      </c>
      <c r="B284" s="325" t="str">
        <f>'Combine Sal Op'!E693</f>
        <v xml:space="preserve"> 12-101301-5000-03</v>
      </c>
      <c r="C284" s="319">
        <f>'Combine Sal Op'!I693</f>
        <v>5560</v>
      </c>
      <c r="E284" s="27" t="s">
        <v>176</v>
      </c>
      <c r="F284" s="27" t="s">
        <v>177</v>
      </c>
      <c r="G284" s="38">
        <v>41518</v>
      </c>
    </row>
    <row r="285" spans="1:7" x14ac:dyDescent="0.2">
      <c r="A285" s="27" t="s">
        <v>175</v>
      </c>
      <c r="B285" s="325" t="str">
        <f>'Combine Sal Op'!E695</f>
        <v xml:space="preserve"> 12-101401-5000-03</v>
      </c>
      <c r="C285" s="319">
        <f>'Combine Sal Op'!I695</f>
        <v>4072</v>
      </c>
      <c r="E285" s="27" t="s">
        <v>176</v>
      </c>
      <c r="F285" s="27" t="s">
        <v>177</v>
      </c>
      <c r="G285" s="38">
        <v>41518</v>
      </c>
    </row>
    <row r="286" spans="1:7" x14ac:dyDescent="0.2">
      <c r="A286" s="27" t="s">
        <v>175</v>
      </c>
      <c r="B286" s="325" t="str">
        <f>'Combine Sal Op'!E697</f>
        <v xml:space="preserve"> 12-101001-5000-03</v>
      </c>
      <c r="C286" s="319">
        <f>'Combine Sal Op'!I697</f>
        <v>12676</v>
      </c>
      <c r="E286" s="27" t="s">
        <v>176</v>
      </c>
      <c r="F286" s="27" t="s">
        <v>177</v>
      </c>
      <c r="G286" s="38">
        <v>41518</v>
      </c>
    </row>
    <row r="287" spans="1:7" x14ac:dyDescent="0.2">
      <c r="A287" s="27" t="s">
        <v>175</v>
      </c>
      <c r="B287" s="325" t="str">
        <f>'Combine Sal Op'!E699</f>
        <v xml:space="preserve"> 12-101501-5000-03</v>
      </c>
      <c r="C287" s="319">
        <f>'Combine Sal Op'!I699</f>
        <v>3996</v>
      </c>
      <c r="E287" s="27" t="s">
        <v>176</v>
      </c>
      <c r="F287" s="27" t="s">
        <v>177</v>
      </c>
      <c r="G287" s="38">
        <v>41518</v>
      </c>
    </row>
    <row r="288" spans="1:7" x14ac:dyDescent="0.2">
      <c r="A288" s="27" t="s">
        <v>175</v>
      </c>
      <c r="B288" s="325" t="str">
        <f>'Combine Sal Op'!E701</f>
        <v xml:space="preserve"> 12-101603-5000-03</v>
      </c>
      <c r="C288" s="319">
        <f>'Combine Sal Op'!I701</f>
        <v>1512</v>
      </c>
      <c r="E288" s="27" t="s">
        <v>176</v>
      </c>
      <c r="F288" s="27" t="s">
        <v>177</v>
      </c>
      <c r="G288" s="38">
        <v>41518</v>
      </c>
    </row>
    <row r="289" spans="1:7" x14ac:dyDescent="0.2">
      <c r="A289" s="27" t="s">
        <v>175</v>
      </c>
      <c r="B289" s="325" t="str">
        <f>'Combine Sal Op'!E703</f>
        <v xml:space="preserve"> 12-101604-5000-03</v>
      </c>
      <c r="C289" s="319">
        <f>'Combine Sal Op'!I703</f>
        <v>2641.6</v>
      </c>
      <c r="E289" s="27" t="s">
        <v>176</v>
      </c>
      <c r="F289" s="27" t="s">
        <v>177</v>
      </c>
      <c r="G289" s="38">
        <v>41518</v>
      </c>
    </row>
    <row r="290" spans="1:7" x14ac:dyDescent="0.2">
      <c r="A290" s="27" t="s">
        <v>175</v>
      </c>
      <c r="B290" s="325" t="str">
        <f>'Combine Sal Op'!E705</f>
        <v xml:space="preserve"> 12-100601-5000-03</v>
      </c>
      <c r="C290" s="319">
        <f>'Combine Sal Op'!I705</f>
        <v>1700.75</v>
      </c>
      <c r="E290" s="27" t="s">
        <v>176</v>
      </c>
      <c r="F290" s="27" t="s">
        <v>177</v>
      </c>
      <c r="G290" s="38">
        <v>41518</v>
      </c>
    </row>
    <row r="291" spans="1:7" x14ac:dyDescent="0.2">
      <c r="A291" s="27" t="s">
        <v>175</v>
      </c>
      <c r="B291" s="325" t="str">
        <f>'Combine Sal Op'!E806</f>
        <v xml:space="preserve"> 12-310011-7000-04</v>
      </c>
      <c r="C291" s="319">
        <f>'Combine Sal Op'!I806</f>
        <v>82010.28</v>
      </c>
      <c r="E291" s="27" t="s">
        <v>176</v>
      </c>
      <c r="F291" s="27" t="s">
        <v>177</v>
      </c>
      <c r="G291" s="38">
        <v>41518</v>
      </c>
    </row>
    <row r="292" spans="1:7" x14ac:dyDescent="0.2">
      <c r="A292" s="27" t="s">
        <v>175</v>
      </c>
      <c r="B292" s="325" t="str">
        <f>'Combine Sal Op'!E15</f>
        <v xml:space="preserve"> 12-101302-5000-01</v>
      </c>
      <c r="C292" s="319">
        <f>'Combine Sal Op'!I15</f>
        <v>51680</v>
      </c>
      <c r="E292" s="27" t="s">
        <v>176</v>
      </c>
      <c r="F292" s="27" t="s">
        <v>177</v>
      </c>
      <c r="G292" s="38">
        <v>41518</v>
      </c>
    </row>
    <row r="293" spans="1:7" x14ac:dyDescent="0.2">
      <c r="A293" s="27" t="s">
        <v>175</v>
      </c>
      <c r="B293" s="325" t="str">
        <f>'Combine Sal Op'!E16</f>
        <v xml:space="preserve"> 12-101302-7000-01</v>
      </c>
      <c r="C293" s="319">
        <f>'Combine Sal Op'!I16</f>
        <v>244281.66</v>
      </c>
      <c r="E293" s="27" t="s">
        <v>176</v>
      </c>
      <c r="F293" s="27" t="s">
        <v>177</v>
      </c>
      <c r="G293" s="38">
        <v>41518</v>
      </c>
    </row>
    <row r="294" spans="1:7" x14ac:dyDescent="0.2">
      <c r="A294" s="27" t="s">
        <v>175</v>
      </c>
      <c r="B294" s="325" t="str">
        <f>'Combine Sal Op'!E345</f>
        <v xml:space="preserve"> 12-510011-5000-01</v>
      </c>
      <c r="C294" s="319">
        <f>'Combine Sal Op'!I345</f>
        <v>5200</v>
      </c>
      <c r="E294" s="27" t="s">
        <v>176</v>
      </c>
      <c r="F294" s="27" t="s">
        <v>177</v>
      </c>
      <c r="G294" s="38">
        <v>41518</v>
      </c>
    </row>
    <row r="295" spans="1:7" x14ac:dyDescent="0.2">
      <c r="A295" s="27" t="s">
        <v>175</v>
      </c>
      <c r="B295" s="325" t="str">
        <f>'Combine Sal Op'!E346</f>
        <v xml:space="preserve"> 12-510011-7000-01</v>
      </c>
      <c r="C295" s="319">
        <f>'Combine Sal Op'!I346</f>
        <v>7145.11</v>
      </c>
      <c r="E295" s="27" t="s">
        <v>176</v>
      </c>
      <c r="F295" s="27" t="s">
        <v>177</v>
      </c>
      <c r="G295" s="38">
        <v>41518</v>
      </c>
    </row>
    <row r="296" spans="1:7" x14ac:dyDescent="0.2">
      <c r="A296" s="27" t="s">
        <v>175</v>
      </c>
      <c r="B296" s="325" t="str">
        <f>'Combine Sal Op'!E351</f>
        <v xml:space="preserve"> 12-510013-5000-01</v>
      </c>
      <c r="C296" s="319">
        <f>'Combine Sal Op'!I351</f>
        <v>18120</v>
      </c>
      <c r="E296" s="27" t="s">
        <v>176</v>
      </c>
      <c r="F296" s="27" t="s">
        <v>177</v>
      </c>
      <c r="G296" s="38">
        <v>41518</v>
      </c>
    </row>
    <row r="297" spans="1:7" x14ac:dyDescent="0.2">
      <c r="A297" s="27" t="s">
        <v>175</v>
      </c>
      <c r="B297" s="325" t="str">
        <f>'Combine Sal Op'!E404</f>
        <v xml:space="preserve"> 12-500083-5000-01</v>
      </c>
      <c r="C297" s="319">
        <f>'Combine Sal Op'!I404</f>
        <v>99760</v>
      </c>
      <c r="E297" s="27" t="s">
        <v>176</v>
      </c>
      <c r="F297" s="27" t="s">
        <v>177</v>
      </c>
      <c r="G297" s="38">
        <v>41518</v>
      </c>
    </row>
    <row r="298" spans="1:7" x14ac:dyDescent="0.2">
      <c r="A298" s="27" t="s">
        <v>175</v>
      </c>
      <c r="B298" s="325" t="str">
        <f>'Combine Sal Op'!E405</f>
        <v xml:space="preserve"> 12-500083-7000-01</v>
      </c>
      <c r="C298" s="319">
        <f>'Combine Sal Op'!I405</f>
        <v>58793.03</v>
      </c>
      <c r="E298" s="27" t="s">
        <v>176</v>
      </c>
      <c r="F298" s="27" t="s">
        <v>177</v>
      </c>
      <c r="G298" s="38">
        <v>41518</v>
      </c>
    </row>
    <row r="299" spans="1:7" x14ac:dyDescent="0.2">
      <c r="A299" s="27" t="s">
        <v>175</v>
      </c>
      <c r="B299" s="325" t="str">
        <f>'Combine Sal Op'!E201</f>
        <v xml:space="preserve"> 12-109000-5000-01</v>
      </c>
      <c r="C299" s="319">
        <f>'Combine Sal Op'!I201</f>
        <v>51757.77</v>
      </c>
      <c r="E299" s="27" t="s">
        <v>176</v>
      </c>
      <c r="F299" s="27" t="s">
        <v>177</v>
      </c>
      <c r="G299" s="38">
        <v>41518</v>
      </c>
    </row>
    <row r="300" spans="1:7" x14ac:dyDescent="0.2">
      <c r="A300" s="27" t="s">
        <v>175</v>
      </c>
      <c r="B300" s="325" t="str">
        <f>'Combine Sal Op'!E202</f>
        <v xml:space="preserve"> 12-109000-7000-01</v>
      </c>
      <c r="C300" s="319">
        <f>'Combine Sal Op'!I202</f>
        <v>206395.09</v>
      </c>
      <c r="E300" s="27" t="s">
        <v>176</v>
      </c>
      <c r="F300" s="27" t="s">
        <v>177</v>
      </c>
      <c r="G300" s="38">
        <v>41518</v>
      </c>
    </row>
    <row r="301" spans="1:7" x14ac:dyDescent="0.2">
      <c r="A301" s="27" t="s">
        <v>175</v>
      </c>
      <c r="B301" s="325" t="str">
        <f>'Combine Sal Op'!E621</f>
        <v xml:space="preserve"> 12-109000-5000-02</v>
      </c>
      <c r="C301" s="319">
        <f>'Combine Sal Op'!I621</f>
        <v>24500.720000000001</v>
      </c>
      <c r="E301" s="27" t="s">
        <v>176</v>
      </c>
      <c r="F301" s="27" t="s">
        <v>177</v>
      </c>
      <c r="G301" s="38">
        <v>41518</v>
      </c>
    </row>
    <row r="302" spans="1:7" x14ac:dyDescent="0.2">
      <c r="A302" s="27" t="s">
        <v>175</v>
      </c>
      <c r="B302" s="325" t="str">
        <f>'Combine Sal Op'!E88</f>
        <v xml:space="preserve"> 12-390020-7000-01</v>
      </c>
      <c r="C302" s="319">
        <f>'Combine Sal Op'!I88</f>
        <v>1707467.22</v>
      </c>
      <c r="E302" s="27" t="s">
        <v>176</v>
      </c>
      <c r="F302" s="27" t="s">
        <v>177</v>
      </c>
      <c r="G302" s="38">
        <v>41518</v>
      </c>
    </row>
    <row r="303" spans="1:7" x14ac:dyDescent="0.2">
      <c r="A303" s="27" t="s">
        <v>175</v>
      </c>
      <c r="B303" s="325" t="str">
        <f>'Combine Sal Op'!E90</f>
        <v xml:space="preserve"> 12-390024-7000-01</v>
      </c>
      <c r="C303" s="319">
        <f>'Combine Sal Op'!I90</f>
        <v>275000</v>
      </c>
      <c r="E303" s="27" t="s">
        <v>176</v>
      </c>
      <c r="F303" s="27" t="s">
        <v>177</v>
      </c>
      <c r="G303" s="38">
        <v>41518</v>
      </c>
    </row>
    <row r="304" spans="1:7" x14ac:dyDescent="0.2">
      <c r="A304" s="27" t="s">
        <v>175</v>
      </c>
      <c r="B304" s="325" t="str">
        <f>'Combine Sal Op'!E29</f>
        <v xml:space="preserve"> 12-100609-5000-01</v>
      </c>
      <c r="C304" s="319">
        <f>'Combine Sal Op'!I29</f>
        <v>3240</v>
      </c>
      <c r="E304" s="27" t="s">
        <v>176</v>
      </c>
      <c r="F304" s="27" t="s">
        <v>177</v>
      </c>
      <c r="G304" s="38">
        <v>41518</v>
      </c>
    </row>
    <row r="305" spans="1:7" x14ac:dyDescent="0.2">
      <c r="A305" s="27" t="s">
        <v>175</v>
      </c>
      <c r="B305" s="325" t="str">
        <f>'Combine Sal Op'!E124</f>
        <v xml:space="preserve"> 12-110510-5000-01</v>
      </c>
      <c r="C305" s="319">
        <f>'Combine Sal Op'!I124</f>
        <v>49025.2</v>
      </c>
      <c r="E305" s="27" t="s">
        <v>176</v>
      </c>
      <c r="F305" s="27" t="s">
        <v>177</v>
      </c>
      <c r="G305" s="38">
        <v>41518</v>
      </c>
    </row>
    <row r="306" spans="1:7" x14ac:dyDescent="0.2">
      <c r="A306" s="27" t="s">
        <v>175</v>
      </c>
      <c r="B306" s="325" t="str">
        <f>'Combine Sal Op'!E125</f>
        <v xml:space="preserve"> 12-110510-7000-01</v>
      </c>
      <c r="C306" s="319">
        <f>'Combine Sal Op'!I125</f>
        <v>31468.14</v>
      </c>
      <c r="E306" s="27" t="s">
        <v>176</v>
      </c>
      <c r="F306" s="27" t="s">
        <v>177</v>
      </c>
      <c r="G306" s="38">
        <v>41518</v>
      </c>
    </row>
    <row r="307" spans="1:7" x14ac:dyDescent="0.2">
      <c r="A307" s="27" t="s">
        <v>175</v>
      </c>
      <c r="B307" s="325" t="str">
        <f>'Combine Sal Op'!E127</f>
        <v xml:space="preserve"> 12-110506-5000-01</v>
      </c>
      <c r="C307" s="319">
        <f>'Combine Sal Op'!I127</f>
        <v>12690</v>
      </c>
      <c r="E307" s="27" t="s">
        <v>176</v>
      </c>
      <c r="F307" s="27" t="s">
        <v>177</v>
      </c>
      <c r="G307" s="38">
        <v>41518</v>
      </c>
    </row>
    <row r="308" spans="1:7" x14ac:dyDescent="0.2">
      <c r="A308" s="27" t="s">
        <v>175</v>
      </c>
      <c r="B308" s="325" t="str">
        <f>'Combine Sal Op'!E128</f>
        <v xml:space="preserve"> 12-110506-7000-01</v>
      </c>
      <c r="C308" s="319">
        <f>'Combine Sal Op'!I128</f>
        <v>25804.66</v>
      </c>
      <c r="E308" s="27" t="s">
        <v>176</v>
      </c>
      <c r="F308" s="27" t="s">
        <v>177</v>
      </c>
      <c r="G308" s="38">
        <v>41518</v>
      </c>
    </row>
    <row r="309" spans="1:7" x14ac:dyDescent="0.2">
      <c r="A309" s="27" t="s">
        <v>175</v>
      </c>
      <c r="B309" s="325" t="str">
        <f>'Combine Sal Op'!E142</f>
        <v xml:space="preserve"> 12-110960-5000-01</v>
      </c>
      <c r="C309" s="319">
        <f>'Combine Sal Op'!I142</f>
        <v>22080</v>
      </c>
      <c r="E309" s="27" t="s">
        <v>176</v>
      </c>
      <c r="F309" s="27" t="s">
        <v>177</v>
      </c>
      <c r="G309" s="38">
        <v>41518</v>
      </c>
    </row>
    <row r="310" spans="1:7" x14ac:dyDescent="0.2">
      <c r="A310" s="27" t="s">
        <v>175</v>
      </c>
      <c r="B310" s="325" t="str">
        <f>'Combine Sal Op'!E155</f>
        <v xml:space="preserve"> 12-110955-5000-01</v>
      </c>
      <c r="C310" s="319">
        <f>'Combine Sal Op'!I155</f>
        <v>9320</v>
      </c>
      <c r="E310" s="27" t="s">
        <v>176</v>
      </c>
      <c r="F310" s="27" t="s">
        <v>177</v>
      </c>
      <c r="G310" s="38">
        <v>41518</v>
      </c>
    </row>
    <row r="311" spans="1:7" x14ac:dyDescent="0.2">
      <c r="A311" s="27" t="s">
        <v>175</v>
      </c>
      <c r="B311" s="325" t="str">
        <f>'Combine Sal Op'!E183</f>
        <v xml:space="preserve"> 12-310020-5000-01</v>
      </c>
      <c r="C311" s="319">
        <f>'Combine Sal Op'!I183</f>
        <v>1280</v>
      </c>
      <c r="E311" s="27" t="s">
        <v>176</v>
      </c>
      <c r="F311" s="27" t="s">
        <v>177</v>
      </c>
      <c r="G311" s="38">
        <v>41518</v>
      </c>
    </row>
    <row r="312" spans="1:7" x14ac:dyDescent="0.2">
      <c r="A312" s="27" t="s">
        <v>175</v>
      </c>
      <c r="B312" s="325" t="str">
        <f>'Combine Sal Op'!E362</f>
        <v xml:space="preserve"> 12-510015-5000-01</v>
      </c>
      <c r="C312" s="319">
        <f>'Combine Sal Op'!I362</f>
        <v>0</v>
      </c>
      <c r="E312" s="27" t="s">
        <v>176</v>
      </c>
      <c r="F312" s="27" t="s">
        <v>177</v>
      </c>
      <c r="G312" s="38">
        <v>41518</v>
      </c>
    </row>
    <row r="313" spans="1:7" x14ac:dyDescent="0.2">
      <c r="A313" s="27" t="s">
        <v>175</v>
      </c>
      <c r="B313" s="325" t="str">
        <f>'Combine Sal Op'!E363</f>
        <v xml:space="preserve"> 12-510015-7000-01</v>
      </c>
      <c r="C313" s="319">
        <f>'Combine Sal Op'!I363</f>
        <v>0</v>
      </c>
      <c r="E313" s="27" t="s">
        <v>176</v>
      </c>
      <c r="F313" s="27" t="s">
        <v>177</v>
      </c>
      <c r="G313" s="38">
        <v>41518</v>
      </c>
    </row>
    <row r="314" spans="1:7" x14ac:dyDescent="0.2">
      <c r="A314" s="27" t="s">
        <v>175</v>
      </c>
      <c r="B314" s="325" t="str">
        <f>'Combine Sal Op'!E446</f>
        <v xml:space="preserve"> 11-510090-5000-01</v>
      </c>
      <c r="C314" s="319">
        <f>'Combine Sal Op'!I446</f>
        <v>24002</v>
      </c>
      <c r="E314" s="27" t="s">
        <v>176</v>
      </c>
      <c r="F314" s="27" t="s">
        <v>177</v>
      </c>
      <c r="G314" s="38">
        <v>41518</v>
      </c>
    </row>
    <row r="315" spans="1:7" x14ac:dyDescent="0.2">
      <c r="A315" s="27" t="s">
        <v>175</v>
      </c>
      <c r="B315" s="325" t="str">
        <f>'Combine Sal Op'!E471</f>
        <v xml:space="preserve"> 76-120000-5000-01</v>
      </c>
      <c r="C315" s="319">
        <f>'Combine Sal Op'!I471</f>
        <v>122602</v>
      </c>
      <c r="E315" s="27" t="s">
        <v>176</v>
      </c>
      <c r="F315" s="27" t="s">
        <v>177</v>
      </c>
      <c r="G315" s="38">
        <v>41518</v>
      </c>
    </row>
    <row r="316" spans="1:7" x14ac:dyDescent="0.2">
      <c r="A316" s="27" t="s">
        <v>175</v>
      </c>
      <c r="B316" s="325" t="str">
        <f>'Combine Sal Op'!E473</f>
        <v xml:space="preserve"> 76-120010-5000-01</v>
      </c>
      <c r="C316" s="319">
        <f>'Combine Sal Op'!I473</f>
        <v>32205</v>
      </c>
      <c r="E316" s="27" t="s">
        <v>176</v>
      </c>
      <c r="F316" s="27" t="s">
        <v>177</v>
      </c>
      <c r="G316" s="38">
        <v>41518</v>
      </c>
    </row>
    <row r="317" spans="1:7" x14ac:dyDescent="0.2">
      <c r="A317" s="27" t="s">
        <v>175</v>
      </c>
      <c r="B317" s="325" t="str">
        <f>'Combine Sal Op'!E475</f>
        <v xml:space="preserve"> 76-124010-5000-01</v>
      </c>
      <c r="C317" s="319">
        <f>'Combine Sal Op'!I475</f>
        <v>62130</v>
      </c>
      <c r="E317" s="27" t="s">
        <v>176</v>
      </c>
      <c r="F317" s="27" t="s">
        <v>177</v>
      </c>
      <c r="G317" s="38">
        <v>41518</v>
      </c>
    </row>
    <row r="318" spans="1:7" x14ac:dyDescent="0.2">
      <c r="A318" s="27" t="s">
        <v>175</v>
      </c>
      <c r="B318" s="325" t="str">
        <f>'Combine Sal Op'!E477</f>
        <v xml:space="preserve"> 76-124050-5000-01</v>
      </c>
      <c r="C318" s="319">
        <f>'Combine Sal Op'!I477</f>
        <v>102000</v>
      </c>
      <c r="E318" s="27" t="s">
        <v>176</v>
      </c>
      <c r="F318" s="27" t="s">
        <v>177</v>
      </c>
      <c r="G318" s="38">
        <v>41518</v>
      </c>
    </row>
    <row r="319" spans="1:7" x14ac:dyDescent="0.2">
      <c r="A319" s="27" t="s">
        <v>175</v>
      </c>
      <c r="B319" s="325" t="str">
        <f>'Combine Sal Op'!E502</f>
        <v xml:space="preserve"> 76-210025-5000-01</v>
      </c>
      <c r="C319" s="319">
        <f>'Combine Sal Op'!I502</f>
        <v>0</v>
      </c>
      <c r="E319" s="27" t="s">
        <v>176</v>
      </c>
      <c r="F319" s="27" t="s">
        <v>177</v>
      </c>
      <c r="G319" s="38">
        <v>41518</v>
      </c>
    </row>
    <row r="320" spans="1:7" x14ac:dyDescent="0.2">
      <c r="A320" s="27" t="s">
        <v>175</v>
      </c>
      <c r="B320" s="325" t="str">
        <f>'Combine Sal Op'!E503</f>
        <v xml:space="preserve"> 76-210025-7000-01</v>
      </c>
      <c r="C320" s="319">
        <f>'Combine Sal Op'!I503</f>
        <v>0</v>
      </c>
      <c r="E320" s="27" t="s">
        <v>176</v>
      </c>
      <c r="F320" s="27" t="s">
        <v>177</v>
      </c>
      <c r="G320" s="38">
        <v>41518</v>
      </c>
    </row>
    <row r="321" spans="1:7" x14ac:dyDescent="0.2">
      <c r="A321" s="27" t="s">
        <v>175</v>
      </c>
      <c r="B321" s="325" t="str">
        <f>'Combine Sal Op'!E510</f>
        <v xml:space="preserve"> 73-720004-7000-01</v>
      </c>
      <c r="C321" s="319">
        <f>'Combine Sal Op'!I510</f>
        <v>33881</v>
      </c>
      <c r="E321" s="27" t="s">
        <v>176</v>
      </c>
      <c r="F321" s="27" t="s">
        <v>177</v>
      </c>
      <c r="G321" s="38">
        <v>41518</v>
      </c>
    </row>
    <row r="322" spans="1:7" x14ac:dyDescent="0.2">
      <c r="A322" s="27" t="s">
        <v>175</v>
      </c>
      <c r="B322" s="325" t="str">
        <f>'Combine Sal Op'!E520</f>
        <v xml:space="preserve"> 73-720009-5000-01</v>
      </c>
      <c r="C322" s="319">
        <f>'Combine Sal Op'!I520</f>
        <v>136913</v>
      </c>
      <c r="E322" s="27" t="s">
        <v>176</v>
      </c>
      <c r="F322" s="27" t="s">
        <v>177</v>
      </c>
      <c r="G322" s="38">
        <v>41518</v>
      </c>
    </row>
    <row r="323" spans="1:7" x14ac:dyDescent="0.2">
      <c r="A323" s="27" t="s">
        <v>175</v>
      </c>
      <c r="B323" s="325" t="str">
        <f>'Combine Sal Op'!E619</f>
        <v xml:space="preserve"> 12-300010-7000-02</v>
      </c>
      <c r="C323" s="319">
        <f>'Combine Sal Op'!I619</f>
        <v>55153.31</v>
      </c>
      <c r="E323" s="27" t="s">
        <v>176</v>
      </c>
      <c r="F323" s="27" t="s">
        <v>177</v>
      </c>
      <c r="G323" s="38">
        <v>41518</v>
      </c>
    </row>
    <row r="324" spans="1:7" x14ac:dyDescent="0.2">
      <c r="A324" s="27" t="s">
        <v>175</v>
      </c>
      <c r="B324" s="325" t="str">
        <f>'Combine Sal Op'!E626</f>
        <v xml:space="preserve"> 12-400015-7000-02</v>
      </c>
      <c r="C324" s="319">
        <f>'Combine Sal Op'!I626</f>
        <v>76589.3</v>
      </c>
      <c r="E324" s="27" t="s">
        <v>176</v>
      </c>
      <c r="F324" s="27" t="s">
        <v>177</v>
      </c>
      <c r="G324" s="38">
        <v>41518</v>
      </c>
    </row>
    <row r="325" spans="1:7" x14ac:dyDescent="0.2">
      <c r="A325" s="27" t="s">
        <v>175</v>
      </c>
      <c r="B325" s="325" t="str">
        <f>'Combine Sal Op'!E628</f>
        <v xml:space="preserve"> 12-400020-7000-02</v>
      </c>
      <c r="C325" s="319">
        <f>'Combine Sal Op'!I628</f>
        <v>41803.660000000003</v>
      </c>
      <c r="E325" s="27" t="s">
        <v>176</v>
      </c>
      <c r="F325" s="27" t="s">
        <v>177</v>
      </c>
      <c r="G325" s="38">
        <v>41518</v>
      </c>
    </row>
    <row r="326" spans="1:7" x14ac:dyDescent="0.2">
      <c r="A326" s="27" t="s">
        <v>175</v>
      </c>
      <c r="B326" s="325" t="str">
        <f>'Combine Sal Op'!E630</f>
        <v xml:space="preserve"> 12-400030-7000-02</v>
      </c>
      <c r="C326" s="319">
        <f>'Combine Sal Op'!I630</f>
        <v>41438.85</v>
      </c>
      <c r="E326" s="27" t="s">
        <v>176</v>
      </c>
      <c r="F326" s="27" t="s">
        <v>177</v>
      </c>
      <c r="G326" s="38">
        <v>41518</v>
      </c>
    </row>
    <row r="327" spans="1:7" x14ac:dyDescent="0.2">
      <c r="A327" s="27" t="s">
        <v>175</v>
      </c>
      <c r="B327" s="325" t="str">
        <f>'Combine Sal Op'!E649</f>
        <v xml:space="preserve"> 12-500083-5000-02</v>
      </c>
      <c r="C327" s="319">
        <f>'Combine Sal Op'!I649</f>
        <v>0</v>
      </c>
      <c r="E327" s="27" t="s">
        <v>176</v>
      </c>
      <c r="F327" s="27" t="s">
        <v>177</v>
      </c>
      <c r="G327" s="38">
        <v>41518</v>
      </c>
    </row>
    <row r="328" spans="1:7" x14ac:dyDescent="0.2">
      <c r="A328" s="27" t="s">
        <v>175</v>
      </c>
      <c r="B328" s="325" t="str">
        <f>'Combine Sal Op'!E650</f>
        <v xml:space="preserve"> 12-500083-7000-02</v>
      </c>
      <c r="C328" s="319">
        <f>'Combine Sal Op'!I650</f>
        <v>27349.439999999999</v>
      </c>
      <c r="E328" s="27" t="s">
        <v>176</v>
      </c>
      <c r="F328" s="27" t="s">
        <v>177</v>
      </c>
      <c r="G328" s="38">
        <v>41518</v>
      </c>
    </row>
    <row r="329" spans="1:7" x14ac:dyDescent="0.2">
      <c r="A329" s="27" t="s">
        <v>175</v>
      </c>
      <c r="B329" s="325" t="str">
        <f>'Combine Sal Op'!E654</f>
        <v xml:space="preserve"> 11-620030-5000-02</v>
      </c>
      <c r="C329" s="319">
        <f>'Combine Sal Op'!I654</f>
        <v>14379</v>
      </c>
      <c r="E329" s="27" t="s">
        <v>176</v>
      </c>
      <c r="F329" s="27" t="s">
        <v>177</v>
      </c>
      <c r="G329" s="38">
        <v>41518</v>
      </c>
    </row>
    <row r="330" spans="1:7" x14ac:dyDescent="0.2">
      <c r="A330" s="27" t="s">
        <v>175</v>
      </c>
      <c r="B330" s="325" t="str">
        <f>'Combine Sal Op'!E655</f>
        <v xml:space="preserve"> 11-620030-7000-02</v>
      </c>
      <c r="C330" s="319">
        <f>'Combine Sal Op'!I655</f>
        <v>94551.22</v>
      </c>
      <c r="E330" s="27" t="s">
        <v>176</v>
      </c>
      <c r="F330" s="27" t="s">
        <v>177</v>
      </c>
      <c r="G330" s="38">
        <v>41518</v>
      </c>
    </row>
    <row r="331" spans="1:7" x14ac:dyDescent="0.2">
      <c r="A331" s="27" t="s">
        <v>175</v>
      </c>
      <c r="B331" s="325" t="str">
        <f>'Combine Sal Op'!E660</f>
        <v xml:space="preserve"> 11-630040-5000-02</v>
      </c>
      <c r="C331" s="319">
        <f>'Combine Sal Op'!I660</f>
        <v>5036</v>
      </c>
      <c r="E331" s="27" t="s">
        <v>176</v>
      </c>
      <c r="F331" s="27" t="s">
        <v>177</v>
      </c>
      <c r="G331" s="38">
        <v>41518</v>
      </c>
    </row>
    <row r="332" spans="1:7" x14ac:dyDescent="0.2">
      <c r="A332" s="27" t="s">
        <v>175</v>
      </c>
      <c r="B332" s="325" t="str">
        <f>'Combine Sal Op'!E662</f>
        <v xml:space="preserve"> 11-510090-5000-02</v>
      </c>
      <c r="C332" s="319">
        <f>'Combine Sal Op'!I662</f>
        <v>444148</v>
      </c>
      <c r="E332" s="27" t="s">
        <v>176</v>
      </c>
      <c r="F332" s="27" t="s">
        <v>177</v>
      </c>
      <c r="G332" s="38">
        <v>41518</v>
      </c>
    </row>
    <row r="333" spans="1:7" x14ac:dyDescent="0.2">
      <c r="A333" s="27" t="s">
        <v>175</v>
      </c>
      <c r="B333" s="325" t="str">
        <f>'Combine Sal Op'!E664</f>
        <v xml:space="preserve"> 11-640050-5000-02</v>
      </c>
      <c r="C333" s="319">
        <f>'Combine Sal Op'!I664</f>
        <v>120000</v>
      </c>
      <c r="E333" s="27" t="s">
        <v>176</v>
      </c>
      <c r="F333" s="27" t="s">
        <v>177</v>
      </c>
      <c r="G333" s="38">
        <v>41518</v>
      </c>
    </row>
    <row r="334" spans="1:7" x14ac:dyDescent="0.2">
      <c r="A334" s="27" t="s">
        <v>175</v>
      </c>
      <c r="B334" s="325" t="str">
        <f>'Combine Sal Op'!E681</f>
        <v xml:space="preserve"> 12-100701-5000-03</v>
      </c>
      <c r="C334" s="319">
        <f>'Combine Sal Op'!I681</f>
        <v>3730</v>
      </c>
      <c r="E334" s="27" t="s">
        <v>176</v>
      </c>
      <c r="F334" s="27" t="s">
        <v>177</v>
      </c>
      <c r="G334" s="38">
        <v>41518</v>
      </c>
    </row>
    <row r="335" spans="1:7" x14ac:dyDescent="0.2">
      <c r="A335" s="27" t="s">
        <v>175</v>
      </c>
      <c r="B335" s="325" t="str">
        <f>'Combine Sal Op'!E683</f>
        <v xml:space="preserve"> 12-100703-5000-03</v>
      </c>
      <c r="C335" s="319">
        <f>'Combine Sal Op'!I683</f>
        <v>500</v>
      </c>
      <c r="E335" s="27" t="s">
        <v>176</v>
      </c>
      <c r="F335" s="27" t="s">
        <v>177</v>
      </c>
      <c r="G335" s="38">
        <v>41518</v>
      </c>
    </row>
    <row r="336" spans="1:7" x14ac:dyDescent="0.2">
      <c r="A336" s="27" t="s">
        <v>175</v>
      </c>
      <c r="B336" s="325" t="str">
        <f>'Combine Sal Op'!E685</f>
        <v xml:space="preserve"> 12-100801-5000-03</v>
      </c>
      <c r="C336" s="319">
        <f>'Combine Sal Op'!I685</f>
        <v>170</v>
      </c>
      <c r="E336" s="27" t="s">
        <v>176</v>
      </c>
      <c r="F336" s="27" t="s">
        <v>177</v>
      </c>
      <c r="G336" s="38">
        <v>41518</v>
      </c>
    </row>
    <row r="337" spans="1:7" x14ac:dyDescent="0.2">
      <c r="A337" s="27" t="s">
        <v>175</v>
      </c>
      <c r="B337" s="325" t="str">
        <f>'Combine Sal Op'!E687</f>
        <v xml:space="preserve"> 12-101202-5000-03</v>
      </c>
      <c r="C337" s="319">
        <f>'Combine Sal Op'!I687</f>
        <v>259.41000000000003</v>
      </c>
      <c r="E337" s="27" t="s">
        <v>176</v>
      </c>
      <c r="F337" s="27" t="s">
        <v>177</v>
      </c>
      <c r="G337" s="38">
        <v>41518</v>
      </c>
    </row>
    <row r="338" spans="1:7" x14ac:dyDescent="0.2">
      <c r="A338" s="27" t="s">
        <v>175</v>
      </c>
      <c r="B338" s="325" t="str">
        <f>'Combine Sal Op'!E689</f>
        <v xml:space="preserve"> 12-101203-5000-03</v>
      </c>
      <c r="C338" s="319">
        <f>'Combine Sal Op'!I689</f>
        <v>1140</v>
      </c>
      <c r="E338" s="27" t="s">
        <v>176</v>
      </c>
      <c r="F338" s="27" t="s">
        <v>177</v>
      </c>
      <c r="G338" s="38">
        <v>41518</v>
      </c>
    </row>
    <row r="339" spans="1:7" x14ac:dyDescent="0.2">
      <c r="A339" s="27" t="s">
        <v>175</v>
      </c>
      <c r="B339" s="325" t="str">
        <f>'Combine Sal Op'!E729</f>
        <v xml:space="preserve"> 12-300010-7000-03</v>
      </c>
      <c r="C339" s="319">
        <f>'Combine Sal Op'!I729</f>
        <v>26018.31</v>
      </c>
      <c r="E339" s="27" t="s">
        <v>176</v>
      </c>
      <c r="F339" s="27" t="s">
        <v>177</v>
      </c>
      <c r="G339" s="38">
        <v>41518</v>
      </c>
    </row>
    <row r="340" spans="1:7" x14ac:dyDescent="0.2">
      <c r="A340" s="27" t="s">
        <v>175</v>
      </c>
      <c r="B340" s="325" t="str">
        <f>'Combine Sal Op'!E738</f>
        <v xml:space="preserve"> 12-400020-7000-03</v>
      </c>
      <c r="C340" s="319">
        <f>'Combine Sal Op'!I738</f>
        <v>69105.19</v>
      </c>
      <c r="E340" s="27" t="s">
        <v>176</v>
      </c>
      <c r="F340" s="27" t="s">
        <v>177</v>
      </c>
      <c r="G340" s="38">
        <v>41518</v>
      </c>
    </row>
    <row r="341" spans="1:7" x14ac:dyDescent="0.2">
      <c r="A341" s="27" t="s">
        <v>175</v>
      </c>
      <c r="B341" s="325" t="str">
        <f>'Combine Sal Op'!E740</f>
        <v xml:space="preserve"> 12-400030-7000-03</v>
      </c>
      <c r="C341" s="319">
        <f>'Combine Sal Op'!I740</f>
        <v>44099.96</v>
      </c>
      <c r="E341" s="27" t="s">
        <v>176</v>
      </c>
      <c r="F341" s="27" t="s">
        <v>177</v>
      </c>
      <c r="G341" s="38">
        <v>41518</v>
      </c>
    </row>
    <row r="342" spans="1:7" x14ac:dyDescent="0.2">
      <c r="A342" s="27" t="s">
        <v>175</v>
      </c>
      <c r="B342" s="325" t="str">
        <f>'Combine Sal Op'!E731</f>
        <v xml:space="preserve"> 12-109000-5000-03</v>
      </c>
      <c r="C342" s="319">
        <f>'Combine Sal Op'!I731</f>
        <v>24704.89</v>
      </c>
      <c r="E342" s="27" t="s">
        <v>176</v>
      </c>
      <c r="F342" s="27" t="s">
        <v>177</v>
      </c>
      <c r="G342" s="38">
        <v>41518</v>
      </c>
    </row>
    <row r="343" spans="1:7" x14ac:dyDescent="0.2">
      <c r="A343" s="27" t="s">
        <v>175</v>
      </c>
      <c r="B343" s="325" t="str">
        <f>'Combine Sal Op'!E765</f>
        <v xml:space="preserve"> 12-500083-5000-03</v>
      </c>
      <c r="C343" s="319">
        <f>'Combine Sal Op'!I765</f>
        <v>0</v>
      </c>
      <c r="E343" s="27" t="s">
        <v>176</v>
      </c>
      <c r="F343" s="27" t="s">
        <v>177</v>
      </c>
      <c r="G343" s="38">
        <v>41518</v>
      </c>
    </row>
    <row r="344" spans="1:7" x14ac:dyDescent="0.2">
      <c r="A344" s="27" t="s">
        <v>175</v>
      </c>
      <c r="B344" s="325" t="str">
        <f>'Combine Sal Op'!E766</f>
        <v xml:space="preserve"> 12-500083-7000-03</v>
      </c>
      <c r="C344" s="319">
        <f>'Combine Sal Op'!I766</f>
        <v>26058.959999999999</v>
      </c>
      <c r="E344" s="27" t="s">
        <v>176</v>
      </c>
      <c r="F344" s="27" t="s">
        <v>177</v>
      </c>
      <c r="G344" s="38">
        <v>41518</v>
      </c>
    </row>
    <row r="345" spans="1:7" x14ac:dyDescent="0.2">
      <c r="A345" s="27" t="s">
        <v>175</v>
      </c>
      <c r="B345" s="325" t="str">
        <f>'Combine Sal Op'!E770</f>
        <v xml:space="preserve"> 11-620030-5000-03</v>
      </c>
      <c r="C345" s="319">
        <f>'Combine Sal Op'!I770</f>
        <v>19643</v>
      </c>
      <c r="E345" s="27" t="s">
        <v>176</v>
      </c>
      <c r="F345" s="27" t="s">
        <v>177</v>
      </c>
      <c r="G345" s="38">
        <v>41518</v>
      </c>
    </row>
    <row r="346" spans="1:7" x14ac:dyDescent="0.2">
      <c r="A346" s="27" t="s">
        <v>175</v>
      </c>
      <c r="B346" s="325" t="str">
        <f>'Combine Sal Op'!E771</f>
        <v xml:space="preserve"> 11-620030-7000-03</v>
      </c>
      <c r="C346" s="319">
        <f>'Combine Sal Op'!I771</f>
        <v>99039.21</v>
      </c>
      <c r="E346" s="27" t="s">
        <v>176</v>
      </c>
      <c r="F346" s="27" t="s">
        <v>177</v>
      </c>
      <c r="G346" s="38">
        <v>41518</v>
      </c>
    </row>
    <row r="347" spans="1:7" x14ac:dyDescent="0.2">
      <c r="A347" s="27" t="s">
        <v>175</v>
      </c>
      <c r="B347" s="325" t="str">
        <f>'Combine Sal Op'!E776</f>
        <v xml:space="preserve"> 11-630040-5000-03</v>
      </c>
      <c r="C347" s="319">
        <f>'Combine Sal Op'!I776</f>
        <v>3706</v>
      </c>
      <c r="E347" s="27" t="s">
        <v>176</v>
      </c>
      <c r="F347" s="27" t="s">
        <v>177</v>
      </c>
      <c r="G347" s="38">
        <v>41518</v>
      </c>
    </row>
    <row r="348" spans="1:7" x14ac:dyDescent="0.2">
      <c r="A348" s="27" t="s">
        <v>175</v>
      </c>
      <c r="B348" s="325" t="str">
        <f>'Combine Sal Op'!E778</f>
        <v xml:space="preserve"> 11-510090-5000-03</v>
      </c>
      <c r="C348" s="319">
        <f>'Combine Sal Op'!I778</f>
        <v>552044</v>
      </c>
      <c r="E348" s="27" t="s">
        <v>176</v>
      </c>
      <c r="F348" s="27" t="s">
        <v>177</v>
      </c>
      <c r="G348" s="38">
        <v>41518</v>
      </c>
    </row>
    <row r="349" spans="1:7" x14ac:dyDescent="0.2">
      <c r="A349" s="27" t="s">
        <v>175</v>
      </c>
      <c r="B349" s="325" t="str">
        <f>'Combine Sal Op'!E780</f>
        <v xml:space="preserve"> 11-640050-5000-03</v>
      </c>
      <c r="C349" s="319">
        <f>'Combine Sal Op'!I780</f>
        <v>102500</v>
      </c>
      <c r="E349" s="27" t="s">
        <v>176</v>
      </c>
      <c r="F349" s="27" t="s">
        <v>177</v>
      </c>
      <c r="G349" s="38">
        <v>41518</v>
      </c>
    </row>
    <row r="350" spans="1:7" x14ac:dyDescent="0.2">
      <c r="A350" s="27" t="s">
        <v>175</v>
      </c>
      <c r="B350" s="325" t="str">
        <f>'Combine Sal Op'!E785</f>
        <v xml:space="preserve"> 12-100201-5000-04</v>
      </c>
      <c r="C350" s="319">
        <f>'Combine Sal Op'!I785</f>
        <v>8800</v>
      </c>
      <c r="E350" s="27" t="s">
        <v>176</v>
      </c>
      <c r="F350" s="27" t="s">
        <v>177</v>
      </c>
      <c r="G350" s="38">
        <v>41518</v>
      </c>
    </row>
    <row r="351" spans="1:7" x14ac:dyDescent="0.2">
      <c r="A351" s="27" t="s">
        <v>175</v>
      </c>
      <c r="B351" s="325" t="str">
        <f>'Combine Sal Op'!E787</f>
        <v xml:space="preserve"> 12-101201-5000-04</v>
      </c>
      <c r="C351" s="319">
        <f>'Combine Sal Op'!I787</f>
        <v>485.83</v>
      </c>
      <c r="E351" s="27" t="s">
        <v>176</v>
      </c>
      <c r="F351" s="27" t="s">
        <v>177</v>
      </c>
      <c r="G351" s="38">
        <v>41518</v>
      </c>
    </row>
    <row r="352" spans="1:7" x14ac:dyDescent="0.2">
      <c r="A352" s="27" t="s">
        <v>175</v>
      </c>
      <c r="B352" s="325" t="str">
        <f>'Combine Sal Op'!E789</f>
        <v xml:space="preserve"> 12-101301-5000-04</v>
      </c>
      <c r="C352" s="319">
        <f>'Combine Sal Op'!I789</f>
        <v>1200</v>
      </c>
      <c r="E352" s="27" t="s">
        <v>176</v>
      </c>
      <c r="F352" s="27" t="s">
        <v>177</v>
      </c>
      <c r="G352" s="38">
        <v>41518</v>
      </c>
    </row>
    <row r="353" spans="1:7" x14ac:dyDescent="0.2">
      <c r="A353" s="27" t="s">
        <v>175</v>
      </c>
      <c r="B353" s="325" t="str">
        <f>'Combine Sal Op'!E791</f>
        <v xml:space="preserve"> 12-101501-5000-04</v>
      </c>
      <c r="C353" s="319">
        <f>'Combine Sal Op'!I791</f>
        <v>1200</v>
      </c>
      <c r="E353" s="27" t="s">
        <v>176</v>
      </c>
      <c r="F353" s="27" t="s">
        <v>177</v>
      </c>
      <c r="G353" s="38">
        <v>41518</v>
      </c>
    </row>
    <row r="354" spans="1:7" x14ac:dyDescent="0.2">
      <c r="A354" s="27" t="s">
        <v>175</v>
      </c>
      <c r="B354" s="325" t="str">
        <f>'Combine Sal Op'!E793</f>
        <v>12-101605-5000-04</v>
      </c>
      <c r="C354" s="319">
        <f>'Combine Sal Op'!I793</f>
        <v>400</v>
      </c>
      <c r="E354" s="27" t="s">
        <v>176</v>
      </c>
      <c r="F354" s="27" t="s">
        <v>177</v>
      </c>
      <c r="G354" s="38">
        <v>41518</v>
      </c>
    </row>
    <row r="355" spans="1:7" x14ac:dyDescent="0.2">
      <c r="A355" s="27" t="s">
        <v>175</v>
      </c>
      <c r="B355" s="325" t="str">
        <f>'Combine Sal Op'!E795</f>
        <v>12-101604-5000-04</v>
      </c>
      <c r="C355" s="319">
        <f>'Combine Sal Op'!I795</f>
        <v>400</v>
      </c>
      <c r="E355" s="27" t="s">
        <v>176</v>
      </c>
      <c r="F355" s="27" t="s">
        <v>177</v>
      </c>
      <c r="G355" s="38">
        <v>41518</v>
      </c>
    </row>
    <row r="356" spans="1:7" x14ac:dyDescent="0.2">
      <c r="A356" s="27" t="s">
        <v>175</v>
      </c>
      <c r="B356" s="325" t="str">
        <f>'Combine Sal Op'!E797</f>
        <v>12-101603-5000-04</v>
      </c>
      <c r="C356" s="319">
        <f>'Combine Sal Op'!I797</f>
        <v>400</v>
      </c>
      <c r="E356" s="27" t="s">
        <v>176</v>
      </c>
      <c r="F356" s="27" t="s">
        <v>177</v>
      </c>
      <c r="G356" s="38">
        <v>41518</v>
      </c>
    </row>
    <row r="357" spans="1:7" x14ac:dyDescent="0.2">
      <c r="A357" s="27" t="s">
        <v>175</v>
      </c>
      <c r="B357" s="325" t="str">
        <f>'Combine Sal Op'!E799</f>
        <v>12-100703-5000-04</v>
      </c>
      <c r="C357" s="319">
        <f>'Combine Sal Op'!I799</f>
        <v>500</v>
      </c>
      <c r="E357" s="27" t="s">
        <v>176</v>
      </c>
      <c r="F357" s="27" t="s">
        <v>177</v>
      </c>
      <c r="G357" s="38">
        <v>41518</v>
      </c>
    </row>
    <row r="358" spans="1:7" x14ac:dyDescent="0.2">
      <c r="A358" s="27" t="s">
        <v>175</v>
      </c>
      <c r="B358" s="325" t="str">
        <f>'Combine Sal Op'!E801</f>
        <v>12-100606-5000-04</v>
      </c>
      <c r="C358" s="319">
        <f>'Combine Sal Op'!I801</f>
        <v>466.9</v>
      </c>
      <c r="E358" s="27" t="s">
        <v>176</v>
      </c>
      <c r="F358" s="27" t="s">
        <v>177</v>
      </c>
      <c r="G358" s="38">
        <v>41518</v>
      </c>
    </row>
    <row r="359" spans="1:7" x14ac:dyDescent="0.2">
      <c r="A359" s="27" t="s">
        <v>175</v>
      </c>
      <c r="B359" s="325" t="str">
        <f>+'Combine Sal Op'!E808</f>
        <v xml:space="preserve"> 12-109000-5000-04</v>
      </c>
      <c r="C359" s="319">
        <f>'Combine Sal Op'!I808</f>
        <v>23343.74</v>
      </c>
      <c r="E359" s="27" t="s">
        <v>176</v>
      </c>
      <c r="F359" s="27" t="s">
        <v>177</v>
      </c>
      <c r="G359" s="38">
        <v>41518</v>
      </c>
    </row>
    <row r="360" spans="1:7" x14ac:dyDescent="0.2">
      <c r="A360" s="27" t="s">
        <v>175</v>
      </c>
      <c r="B360" s="325" t="str">
        <f>'Combine Sal Op'!E805</f>
        <v xml:space="preserve"> 12-310011-5000-04</v>
      </c>
      <c r="C360" s="319">
        <f>'Combine Sal Op'!I805</f>
        <v>17272.5</v>
      </c>
      <c r="E360" s="27" t="s">
        <v>176</v>
      </c>
      <c r="F360" s="27" t="s">
        <v>177</v>
      </c>
      <c r="G360" s="38">
        <v>41518</v>
      </c>
    </row>
    <row r="361" spans="1:7" x14ac:dyDescent="0.2">
      <c r="A361" s="27" t="s">
        <v>175</v>
      </c>
      <c r="B361" s="325" t="str">
        <f>'Combine Sal Op'!E810</f>
        <v xml:space="preserve"> 12-500083-7000-04</v>
      </c>
      <c r="C361" s="319">
        <f>'Combine Sal Op'!I810</f>
        <v>0</v>
      </c>
      <c r="E361" s="27" t="s">
        <v>176</v>
      </c>
      <c r="F361" s="27" t="s">
        <v>177</v>
      </c>
      <c r="G361" s="38">
        <v>41518</v>
      </c>
    </row>
    <row r="362" spans="1:7" x14ac:dyDescent="0.2">
      <c r="A362" s="27" t="s">
        <v>175</v>
      </c>
      <c r="B362" s="325" t="str">
        <f>'Combine Sal Op'!E814</f>
        <v xml:space="preserve"> 11-610020-5000-04</v>
      </c>
      <c r="C362" s="319">
        <f>'Combine Sal Op'!I814</f>
        <v>2175</v>
      </c>
      <c r="E362" s="27" t="s">
        <v>176</v>
      </c>
      <c r="F362" s="27" t="s">
        <v>177</v>
      </c>
      <c r="G362" s="38">
        <v>41518</v>
      </c>
    </row>
    <row r="363" spans="1:7" x14ac:dyDescent="0.2">
      <c r="A363" s="27" t="s">
        <v>175</v>
      </c>
      <c r="B363" s="325" t="str">
        <f>'Combine Sal Op'!E816</f>
        <v xml:space="preserve"> 11-640050-5000-04</v>
      </c>
      <c r="C363" s="319">
        <f>'Combine Sal Op'!I816</f>
        <v>33200</v>
      </c>
      <c r="E363" s="27" t="s">
        <v>176</v>
      </c>
      <c r="F363" s="27" t="s">
        <v>177</v>
      </c>
      <c r="G363" s="38">
        <v>41518</v>
      </c>
    </row>
    <row r="364" spans="1:7" x14ac:dyDescent="0.2">
      <c r="A364" s="27" t="s">
        <v>175</v>
      </c>
      <c r="B364" s="325" t="str">
        <f>'Combine Sal Op'!E822</f>
        <v xml:space="preserve"> 12-100606-5000-23</v>
      </c>
      <c r="C364" s="319">
        <f>'Combine Sal Op'!I822</f>
        <v>653.66</v>
      </c>
      <c r="E364" s="27" t="s">
        <v>176</v>
      </c>
      <c r="F364" s="27" t="s">
        <v>177</v>
      </c>
      <c r="G364" s="38">
        <v>41518</v>
      </c>
    </row>
    <row r="365" spans="1:7" x14ac:dyDescent="0.2">
      <c r="A365" s="27" t="s">
        <v>175</v>
      </c>
      <c r="B365" s="325" t="str">
        <f>'Combine Sal Op'!E824</f>
        <v xml:space="preserve"> 12-100606-5000-20</v>
      </c>
      <c r="C365" s="319">
        <f>'Combine Sal Op'!I824</f>
        <v>0</v>
      </c>
      <c r="E365" s="27" t="s">
        <v>176</v>
      </c>
      <c r="F365" s="27" t="s">
        <v>177</v>
      </c>
      <c r="G365" s="38">
        <v>41518</v>
      </c>
    </row>
    <row r="366" spans="1:7" x14ac:dyDescent="0.2">
      <c r="A366" s="27" t="s">
        <v>175</v>
      </c>
      <c r="B366" s="325" t="str">
        <f>'Combine Sal Op'!E829</f>
        <v xml:space="preserve"> 12-101301-5000-27</v>
      </c>
      <c r="C366" s="319">
        <f>'Combine Sal Op'!I829</f>
        <v>600</v>
      </c>
      <c r="E366" s="27" t="s">
        <v>176</v>
      </c>
      <c r="F366" s="27" t="s">
        <v>177</v>
      </c>
      <c r="G366" s="38">
        <v>41518</v>
      </c>
    </row>
    <row r="367" spans="1:7" x14ac:dyDescent="0.2">
      <c r="A367" s="27" t="s">
        <v>175</v>
      </c>
      <c r="B367" s="325" t="str">
        <f>'Combine Sal Op'!E831</f>
        <v xml:space="preserve"> 12-101201-5000-27</v>
      </c>
      <c r="C367" s="319">
        <f>'Combine Sal Op'!I831</f>
        <v>388.66</v>
      </c>
      <c r="E367" s="27" t="s">
        <v>176</v>
      </c>
      <c r="F367" s="27" t="s">
        <v>177</v>
      </c>
      <c r="G367" s="38">
        <v>41518</v>
      </c>
    </row>
    <row r="368" spans="1:7" x14ac:dyDescent="0.2">
      <c r="A368" s="27" t="s">
        <v>175</v>
      </c>
      <c r="B368" s="325" t="str">
        <f>'Combine Sal Op'!E833</f>
        <v xml:space="preserve"> 12-101603-5000-27</v>
      </c>
      <c r="C368" s="319">
        <f>'Combine Sal Op'!I833</f>
        <v>320</v>
      </c>
      <c r="E368" s="27" t="s">
        <v>176</v>
      </c>
      <c r="F368" s="27" t="s">
        <v>177</v>
      </c>
      <c r="G368" s="38">
        <v>41518</v>
      </c>
    </row>
    <row r="369" spans="1:7" x14ac:dyDescent="0.2">
      <c r="A369" s="27" t="s">
        <v>175</v>
      </c>
      <c r="B369" s="325" t="str">
        <f>'Combine Sal Op'!E835</f>
        <v xml:space="preserve"> 12-101501-5000-27</v>
      </c>
      <c r="C369" s="319">
        <f>'Combine Sal Op'!I835</f>
        <v>320</v>
      </c>
      <c r="E369" s="27" t="s">
        <v>176</v>
      </c>
      <c r="F369" s="27" t="s">
        <v>177</v>
      </c>
      <c r="G369" s="38">
        <v>41518</v>
      </c>
    </row>
    <row r="370" spans="1:7" x14ac:dyDescent="0.2">
      <c r="A370" s="27" t="s">
        <v>175</v>
      </c>
      <c r="B370" s="325" t="str">
        <f>'Combine Sal Op'!E837</f>
        <v xml:space="preserve"> 12-100201-5000-07</v>
      </c>
      <c r="C370" s="319">
        <f>'Combine Sal Op'!I837</f>
        <v>0</v>
      </c>
      <c r="E370" s="27" t="s">
        <v>176</v>
      </c>
      <c r="F370" s="27" t="s">
        <v>177</v>
      </c>
      <c r="G370" s="38">
        <v>41518</v>
      </c>
    </row>
    <row r="371" spans="1:7" x14ac:dyDescent="0.2">
      <c r="A371" s="27" t="s">
        <v>175</v>
      </c>
      <c r="B371" s="325" t="str">
        <f>'Combine Sal Op'!E839</f>
        <v xml:space="preserve"> 12-101301-5000-07</v>
      </c>
      <c r="C371" s="319">
        <f>'Combine Sal Op'!I839</f>
        <v>0</v>
      </c>
      <c r="E371" s="27" t="s">
        <v>176</v>
      </c>
      <c r="F371" s="27" t="s">
        <v>177</v>
      </c>
      <c r="G371" s="38">
        <v>41518</v>
      </c>
    </row>
    <row r="372" spans="1:7" x14ac:dyDescent="0.2">
      <c r="A372" s="27" t="s">
        <v>175</v>
      </c>
      <c r="B372" s="325" t="str">
        <f>'Combine Sal Op'!E841</f>
        <v xml:space="preserve"> 12-101201-5000-07</v>
      </c>
      <c r="C372" s="319">
        <f>'Combine Sal Op'!I841</f>
        <v>0</v>
      </c>
      <c r="E372" s="27" t="s">
        <v>176</v>
      </c>
      <c r="F372" s="27" t="s">
        <v>177</v>
      </c>
      <c r="G372" s="38">
        <v>41518</v>
      </c>
    </row>
    <row r="373" spans="1:7" x14ac:dyDescent="0.2">
      <c r="A373" s="27" t="s">
        <v>175</v>
      </c>
      <c r="B373" s="325" t="str">
        <f>'Combine Sal Op'!E843</f>
        <v xml:space="preserve"> 12-101201-5000-25</v>
      </c>
      <c r="C373" s="319">
        <f>'Combine Sal Op'!I843</f>
        <v>0</v>
      </c>
      <c r="E373" s="27" t="s">
        <v>176</v>
      </c>
      <c r="F373" s="27" t="s">
        <v>177</v>
      </c>
      <c r="G373" s="38">
        <v>41518</v>
      </c>
    </row>
    <row r="374" spans="1:7" x14ac:dyDescent="0.2">
      <c r="A374" s="27" t="s">
        <v>175</v>
      </c>
      <c r="B374" s="325" t="str">
        <f>'Combine Sal Op'!E845</f>
        <v xml:space="preserve"> 12-101301-5000-25</v>
      </c>
      <c r="C374" s="319">
        <f>'Combine Sal Op'!I845</f>
        <v>0</v>
      </c>
      <c r="E374" s="27" t="s">
        <v>176</v>
      </c>
      <c r="F374" s="27" t="s">
        <v>177</v>
      </c>
      <c r="G374" s="38">
        <v>41518</v>
      </c>
    </row>
    <row r="375" spans="1:7" x14ac:dyDescent="0.2">
      <c r="A375" s="27" t="s">
        <v>175</v>
      </c>
      <c r="B375" s="325" t="str">
        <f>'Combine Sal Op'!E847</f>
        <v xml:space="preserve"> 12-101605-5000-25</v>
      </c>
      <c r="C375" s="319">
        <f>'Combine Sal Op'!I847</f>
        <v>0</v>
      </c>
      <c r="E375" s="27" t="s">
        <v>176</v>
      </c>
      <c r="F375" s="27" t="s">
        <v>177</v>
      </c>
      <c r="G375" s="38">
        <v>41518</v>
      </c>
    </row>
    <row r="376" spans="1:7" x14ac:dyDescent="0.2">
      <c r="A376" s="27" t="s">
        <v>175</v>
      </c>
      <c r="B376" s="325" t="str">
        <f>'Combine Sal Op'!E849</f>
        <v xml:space="preserve"> 12-101603-5000-25</v>
      </c>
      <c r="C376" s="319">
        <f>'Combine Sal Op'!I849</f>
        <v>0</v>
      </c>
      <c r="E376" s="27" t="s">
        <v>176</v>
      </c>
      <c r="F376" s="27" t="s">
        <v>177</v>
      </c>
      <c r="G376" s="38">
        <v>41518</v>
      </c>
    </row>
    <row r="377" spans="1:7" x14ac:dyDescent="0.2">
      <c r="A377" s="27" t="s">
        <v>175</v>
      </c>
      <c r="B377" s="325" t="str">
        <f>'Combine Sal Op'!E851</f>
        <v xml:space="preserve"> 12-101604-5000-25</v>
      </c>
      <c r="C377" s="319">
        <f>'Combine Sal Op'!I851</f>
        <v>0</v>
      </c>
      <c r="E377" s="27" t="s">
        <v>176</v>
      </c>
      <c r="F377" s="27" t="s">
        <v>177</v>
      </c>
      <c r="G377" s="38">
        <v>41518</v>
      </c>
    </row>
    <row r="378" spans="1:7" x14ac:dyDescent="0.2">
      <c r="A378" s="27" t="s">
        <v>175</v>
      </c>
      <c r="B378" s="325" t="str">
        <f>'Combine Sal Op'!E853</f>
        <v xml:space="preserve"> 12-100201-5000-23</v>
      </c>
      <c r="C378" s="319">
        <f>'Combine Sal Op'!I853</f>
        <v>0</v>
      </c>
      <c r="E378" s="27" t="s">
        <v>176</v>
      </c>
      <c r="F378" s="27" t="s">
        <v>177</v>
      </c>
      <c r="G378" s="38">
        <v>41518</v>
      </c>
    </row>
    <row r="379" spans="1:7" x14ac:dyDescent="0.2">
      <c r="A379" s="27" t="s">
        <v>175</v>
      </c>
      <c r="B379" s="325" t="str">
        <f>'Combine Sal Op'!E855</f>
        <v xml:space="preserve"> 12-100703-5000-23</v>
      </c>
      <c r="C379" s="319">
        <f>'Combine Sal Op'!I855</f>
        <v>0</v>
      </c>
      <c r="E379" s="27" t="s">
        <v>176</v>
      </c>
      <c r="F379" s="27" t="s">
        <v>177</v>
      </c>
      <c r="G379" s="38">
        <v>41518</v>
      </c>
    </row>
    <row r="380" spans="1:7" x14ac:dyDescent="0.2">
      <c r="A380" s="27" t="s">
        <v>175</v>
      </c>
      <c r="B380" s="325" t="str">
        <f>'Combine Sal Op'!E857</f>
        <v xml:space="preserve"> 12-101201-5000-23</v>
      </c>
      <c r="C380" s="319">
        <f>'Combine Sal Op'!I857</f>
        <v>485.82</v>
      </c>
      <c r="E380" s="27" t="s">
        <v>176</v>
      </c>
      <c r="F380" s="27" t="s">
        <v>177</v>
      </c>
      <c r="G380" s="38">
        <v>41518</v>
      </c>
    </row>
    <row r="381" spans="1:7" x14ac:dyDescent="0.2">
      <c r="A381" s="27" t="s">
        <v>175</v>
      </c>
      <c r="B381" s="325" t="str">
        <f>'Combine Sal Op'!E859</f>
        <v xml:space="preserve"> 12-101203-5000-23</v>
      </c>
      <c r="C381" s="319">
        <f>'Combine Sal Op'!I859</f>
        <v>0</v>
      </c>
      <c r="E381" s="27" t="s">
        <v>176</v>
      </c>
      <c r="F381" s="27" t="s">
        <v>177</v>
      </c>
      <c r="G381" s="38">
        <v>41518</v>
      </c>
    </row>
    <row r="382" spans="1:7" x14ac:dyDescent="0.2">
      <c r="A382" s="27" t="s">
        <v>175</v>
      </c>
      <c r="B382" s="325" t="str">
        <f>'Combine Sal Op'!E861</f>
        <v xml:space="preserve"> 12-101301-5000-23</v>
      </c>
      <c r="C382" s="319">
        <f>'Combine Sal Op'!I861</f>
        <v>320</v>
      </c>
      <c r="E382" s="27" t="s">
        <v>176</v>
      </c>
      <c r="F382" s="27" t="s">
        <v>177</v>
      </c>
      <c r="G382" s="38">
        <v>41518</v>
      </c>
    </row>
    <row r="383" spans="1:7" x14ac:dyDescent="0.2">
      <c r="A383" s="27" t="s">
        <v>175</v>
      </c>
      <c r="B383" s="325" t="str">
        <f>'Combine Sal Op'!E863</f>
        <v xml:space="preserve"> 12-101603-5000-23</v>
      </c>
      <c r="C383" s="319">
        <f>'Combine Sal Op'!I863</f>
        <v>0</v>
      </c>
      <c r="E383" s="27" t="s">
        <v>176</v>
      </c>
      <c r="F383" s="27" t="s">
        <v>177</v>
      </c>
      <c r="G383" s="38">
        <v>41518</v>
      </c>
    </row>
    <row r="384" spans="1:7" x14ac:dyDescent="0.2">
      <c r="A384" s="27" t="s">
        <v>175</v>
      </c>
      <c r="B384" s="325" t="str">
        <f>'Combine Sal Op'!E865</f>
        <v xml:space="preserve"> 12-101604-5000-23</v>
      </c>
      <c r="C384" s="319">
        <f>'Combine Sal Op'!I865</f>
        <v>320</v>
      </c>
      <c r="E384" s="27" t="s">
        <v>176</v>
      </c>
      <c r="F384" s="27" t="s">
        <v>177</v>
      </c>
      <c r="G384" s="38">
        <v>41518</v>
      </c>
    </row>
    <row r="385" spans="1:7" x14ac:dyDescent="0.2">
      <c r="A385" s="27" t="s">
        <v>175</v>
      </c>
      <c r="B385" s="325" t="str">
        <f>'Combine Sal Op'!E867</f>
        <v xml:space="preserve"> 12-100301-5000-23</v>
      </c>
      <c r="C385" s="319">
        <f>'Combine Sal Op'!I867</f>
        <v>0</v>
      </c>
      <c r="E385" s="27" t="s">
        <v>176</v>
      </c>
      <c r="F385" s="27" t="s">
        <v>177</v>
      </c>
      <c r="G385" s="38">
        <v>41518</v>
      </c>
    </row>
    <row r="386" spans="1:7" x14ac:dyDescent="0.2">
      <c r="A386" s="27" t="s">
        <v>175</v>
      </c>
      <c r="B386" s="325" t="str">
        <f>'Combine Sal Op'!E869</f>
        <v xml:space="preserve"> 12-100801-5000-23</v>
      </c>
      <c r="C386" s="319">
        <f>'Combine Sal Op'!I869</f>
        <v>0</v>
      </c>
      <c r="E386" s="27" t="s">
        <v>176</v>
      </c>
      <c r="F386" s="27" t="s">
        <v>177</v>
      </c>
      <c r="G386" s="38">
        <v>41518</v>
      </c>
    </row>
    <row r="387" spans="1:7" x14ac:dyDescent="0.2">
      <c r="A387" s="27" t="s">
        <v>175</v>
      </c>
      <c r="B387" s="325" t="str">
        <f>'Combine Sal Op'!E871</f>
        <v xml:space="preserve"> 12-100201-5000-20</v>
      </c>
      <c r="C387" s="319">
        <f>'Combine Sal Op'!I871</f>
        <v>0</v>
      </c>
      <c r="E387" s="27" t="s">
        <v>176</v>
      </c>
      <c r="F387" s="27" t="s">
        <v>177</v>
      </c>
      <c r="G387" s="38">
        <v>41518</v>
      </c>
    </row>
    <row r="388" spans="1:7" x14ac:dyDescent="0.2">
      <c r="A388" s="27" t="s">
        <v>175</v>
      </c>
      <c r="B388" s="325" t="str">
        <f>'Combine Sal Op'!E873</f>
        <v xml:space="preserve"> 12-100703-5000-20</v>
      </c>
      <c r="C388" s="319">
        <f>'Combine Sal Op'!I873</f>
        <v>0</v>
      </c>
      <c r="E388" s="27" t="s">
        <v>176</v>
      </c>
      <c r="F388" s="27" t="s">
        <v>177</v>
      </c>
      <c r="G388" s="38">
        <v>41518</v>
      </c>
    </row>
    <row r="389" spans="1:7" x14ac:dyDescent="0.2">
      <c r="A389" s="27" t="s">
        <v>175</v>
      </c>
      <c r="B389" s="325" t="str">
        <f>'Combine Sal Op'!E877</f>
        <v xml:space="preserve"> 12-101203-5000-20</v>
      </c>
      <c r="C389" s="319">
        <f>'Combine Sal Op'!I877</f>
        <v>0</v>
      </c>
      <c r="E389" s="27" t="s">
        <v>176</v>
      </c>
      <c r="F389" s="27" t="s">
        <v>177</v>
      </c>
      <c r="G389" s="38">
        <v>41518</v>
      </c>
    </row>
    <row r="390" spans="1:7" x14ac:dyDescent="0.2">
      <c r="A390" s="27" t="s">
        <v>175</v>
      </c>
      <c r="B390" s="325" t="str">
        <f>'Combine Sal Op'!E879</f>
        <v xml:space="preserve"> 12-101301-5000-20</v>
      </c>
      <c r="C390" s="319">
        <f>'Combine Sal Op'!I879</f>
        <v>0</v>
      </c>
      <c r="E390" s="27" t="s">
        <v>176</v>
      </c>
      <c r="F390" s="27" t="s">
        <v>177</v>
      </c>
      <c r="G390" s="38">
        <v>41518</v>
      </c>
    </row>
    <row r="391" spans="1:7" x14ac:dyDescent="0.2">
      <c r="A391" s="27" t="s">
        <v>175</v>
      </c>
      <c r="B391" s="325" t="str">
        <f>'Combine Sal Op'!E881</f>
        <v xml:space="preserve"> 12-101501-5000-20</v>
      </c>
      <c r="C391" s="319">
        <f>'Combine Sal Op'!I881</f>
        <v>0</v>
      </c>
      <c r="E391" s="27" t="s">
        <v>176</v>
      </c>
      <c r="F391" s="27" t="s">
        <v>177</v>
      </c>
      <c r="G391" s="38">
        <v>41518</v>
      </c>
    </row>
    <row r="392" spans="1:7" x14ac:dyDescent="0.2">
      <c r="A392" s="27" t="s">
        <v>175</v>
      </c>
      <c r="B392" s="325" t="str">
        <f>'Combine Sal Op'!E885</f>
        <v xml:space="preserve"> 12-101604-5000-20</v>
      </c>
      <c r="C392" s="319">
        <f>'Combine Sal Op'!I885</f>
        <v>0</v>
      </c>
      <c r="E392" s="27" t="s">
        <v>176</v>
      </c>
      <c r="F392" s="27" t="s">
        <v>177</v>
      </c>
      <c r="G392" s="38">
        <v>41518</v>
      </c>
    </row>
    <row r="393" spans="1:7" x14ac:dyDescent="0.2">
      <c r="A393" s="27" t="s">
        <v>175</v>
      </c>
      <c r="B393" s="325" t="str">
        <f>'Combine Sal Op'!E887</f>
        <v xml:space="preserve"> 12-101201-5000-08</v>
      </c>
      <c r="C393" s="319">
        <f>'Combine Sal Op'!I887</f>
        <v>485.83</v>
      </c>
      <c r="E393" s="27" t="s">
        <v>176</v>
      </c>
      <c r="F393" s="27" t="s">
        <v>177</v>
      </c>
      <c r="G393" s="38">
        <v>41518</v>
      </c>
    </row>
    <row r="394" spans="1:7" x14ac:dyDescent="0.2">
      <c r="A394" s="27" t="s">
        <v>175</v>
      </c>
      <c r="B394" s="325" t="str">
        <f>'Combine Sal Op'!E889</f>
        <v xml:space="preserve"> 12-101301-5000-08</v>
      </c>
      <c r="C394" s="319">
        <f>'Combine Sal Op'!I889</f>
        <v>320</v>
      </c>
      <c r="E394" s="27" t="s">
        <v>176</v>
      </c>
      <c r="F394" s="27" t="s">
        <v>177</v>
      </c>
      <c r="G394" s="38">
        <v>41518</v>
      </c>
    </row>
    <row r="395" spans="1:7" x14ac:dyDescent="0.2">
      <c r="A395" s="27" t="s">
        <v>175</v>
      </c>
      <c r="B395" s="325" t="str">
        <f>'Combine Sal Op'!E891</f>
        <v>12-101501-5000-08</v>
      </c>
      <c r="C395" s="319">
        <f>'Combine Sal Op'!I891</f>
        <v>320</v>
      </c>
      <c r="E395" s="27" t="s">
        <v>176</v>
      </c>
      <c r="F395" s="27" t="s">
        <v>177</v>
      </c>
      <c r="G395" s="38">
        <v>41518</v>
      </c>
    </row>
    <row r="396" spans="1:7" x14ac:dyDescent="0.2">
      <c r="A396" s="27" t="s">
        <v>175</v>
      </c>
      <c r="B396" s="325" t="str">
        <f>'Combine Sal Op'!E893</f>
        <v>12-101604-5000-08</v>
      </c>
      <c r="C396" s="319">
        <f>'Combine Sal Op'!I893</f>
        <v>320</v>
      </c>
      <c r="E396" s="27" t="s">
        <v>176</v>
      </c>
      <c r="F396" s="27" t="s">
        <v>177</v>
      </c>
      <c r="G396" s="38">
        <v>41518</v>
      </c>
    </row>
    <row r="397" spans="1:7" x14ac:dyDescent="0.2">
      <c r="A397" s="27" t="s">
        <v>175</v>
      </c>
      <c r="B397" s="325" t="str">
        <f>'Combine Sal Op'!E895</f>
        <v>12-101603-5000-08</v>
      </c>
      <c r="C397" s="319">
        <f>'Combine Sal Op'!I895</f>
        <v>320</v>
      </c>
      <c r="E397" s="27" t="s">
        <v>176</v>
      </c>
      <c r="F397" s="27" t="s">
        <v>177</v>
      </c>
      <c r="G397" s="38">
        <v>41518</v>
      </c>
    </row>
    <row r="398" spans="1:7" x14ac:dyDescent="0.2">
      <c r="A398" s="27" t="s">
        <v>175</v>
      </c>
      <c r="B398" s="325" t="str">
        <f>'Combine Sal Op'!E899</f>
        <v>12-101501-5000-05</v>
      </c>
      <c r="C398" s="319">
        <f>'Combine Sal Op'!I899</f>
        <v>320</v>
      </c>
      <c r="E398" s="27" t="s">
        <v>176</v>
      </c>
      <c r="F398" s="27" t="s">
        <v>177</v>
      </c>
      <c r="G398" s="38">
        <v>41518</v>
      </c>
    </row>
    <row r="399" spans="1:7" x14ac:dyDescent="0.2">
      <c r="A399" s="27" t="s">
        <v>175</v>
      </c>
      <c r="B399" s="325" t="str">
        <f>'Combine Sal Op'!E901</f>
        <v>12-101605-5000-05</v>
      </c>
      <c r="C399" s="319">
        <f>'Combine Sal Op'!I901</f>
        <v>320</v>
      </c>
      <c r="E399" s="27" t="s">
        <v>176</v>
      </c>
      <c r="F399" s="27" t="s">
        <v>177</v>
      </c>
      <c r="G399" s="38">
        <v>41518</v>
      </c>
    </row>
    <row r="400" spans="1:7" x14ac:dyDescent="0.2">
      <c r="A400" s="27" t="s">
        <v>175</v>
      </c>
      <c r="B400" s="325" t="str">
        <f>'Combine Sal Op'!E897</f>
        <v xml:space="preserve"> 12-101201-5000-05</v>
      </c>
      <c r="C400" s="319">
        <f>'Combine Sal Op'!I897</f>
        <v>0</v>
      </c>
      <c r="E400" s="27" t="s">
        <v>176</v>
      </c>
      <c r="F400" s="27" t="s">
        <v>177</v>
      </c>
      <c r="G400" s="38">
        <v>41518</v>
      </c>
    </row>
    <row r="401" spans="1:7" x14ac:dyDescent="0.2">
      <c r="A401" s="27" t="s">
        <v>175</v>
      </c>
      <c r="B401" s="325" t="str">
        <f>'Combine Sal Op'!E905</f>
        <v xml:space="preserve"> 12-310011-5000-27</v>
      </c>
      <c r="C401" s="319">
        <f>'Combine Sal Op'!I905</f>
        <v>0</v>
      </c>
      <c r="E401" s="27" t="s">
        <v>176</v>
      </c>
      <c r="F401" s="27" t="s">
        <v>177</v>
      </c>
      <c r="G401" s="38">
        <v>41518</v>
      </c>
    </row>
    <row r="402" spans="1:7" x14ac:dyDescent="0.2">
      <c r="A402" s="27" t="s">
        <v>175</v>
      </c>
      <c r="B402" s="325" t="str">
        <f>'Combine Sal Op'!E907</f>
        <v xml:space="preserve"> 12-310011-5000-07</v>
      </c>
      <c r="C402" s="319">
        <f>'Combine Sal Op'!I907</f>
        <v>4690</v>
      </c>
      <c r="E402" s="27" t="s">
        <v>176</v>
      </c>
      <c r="F402" s="27" t="s">
        <v>177</v>
      </c>
      <c r="G402" s="38">
        <v>41518</v>
      </c>
    </row>
    <row r="403" spans="1:7" x14ac:dyDescent="0.2">
      <c r="A403" s="27" t="s">
        <v>175</v>
      </c>
      <c r="B403" s="325" t="str">
        <f>'Combine Sal Op'!E911</f>
        <v xml:space="preserve"> 12-310011-5000-25</v>
      </c>
      <c r="C403" s="319">
        <f>'Combine Sal Op'!I911</f>
        <v>0</v>
      </c>
      <c r="E403" s="27" t="s">
        <v>176</v>
      </c>
      <c r="F403" s="27" t="s">
        <v>177</v>
      </c>
      <c r="G403" s="38">
        <v>41518</v>
      </c>
    </row>
    <row r="404" spans="1:7" x14ac:dyDescent="0.2">
      <c r="A404" s="27" t="s">
        <v>175</v>
      </c>
      <c r="B404" s="325" t="str">
        <f>'Combine Sal Op'!E913</f>
        <v xml:space="preserve"> 12-310011-5000-23</v>
      </c>
      <c r="C404" s="319">
        <f>'Combine Sal Op'!I913</f>
        <v>1430</v>
      </c>
      <c r="E404" s="27" t="s">
        <v>176</v>
      </c>
      <c r="F404" s="27" t="s">
        <v>177</v>
      </c>
      <c r="G404" s="38">
        <v>41518</v>
      </c>
    </row>
    <row r="405" spans="1:7" x14ac:dyDescent="0.2">
      <c r="A405" s="27" t="s">
        <v>175</v>
      </c>
      <c r="B405" s="325" t="str">
        <f>'Combine Sal Op'!E915</f>
        <v xml:space="preserve"> 12-310011-5000-20</v>
      </c>
      <c r="C405" s="319">
        <f>'Combine Sal Op'!I915</f>
        <v>0</v>
      </c>
      <c r="E405" s="27" t="s">
        <v>176</v>
      </c>
      <c r="F405" s="27" t="s">
        <v>177</v>
      </c>
      <c r="G405" s="38">
        <v>41518</v>
      </c>
    </row>
    <row r="406" spans="1:7" x14ac:dyDescent="0.2">
      <c r="A406" s="27" t="s">
        <v>175</v>
      </c>
      <c r="B406" s="325" t="str">
        <f>'Combine Sal Op'!E917</f>
        <v xml:space="preserve"> 12-310011-5000-38</v>
      </c>
      <c r="C406" s="319">
        <f>'Combine Sal Op'!I917</f>
        <v>9120</v>
      </c>
      <c r="E406" s="27" t="s">
        <v>176</v>
      </c>
      <c r="F406" s="27" t="s">
        <v>177</v>
      </c>
      <c r="G406" s="38">
        <v>41518</v>
      </c>
    </row>
    <row r="407" spans="1:7" x14ac:dyDescent="0.2">
      <c r="A407" s="27" t="s">
        <v>175</v>
      </c>
      <c r="B407" s="325" t="str">
        <f>+'Combine Sal Op'!E909</f>
        <v xml:space="preserve"> 12-109000-5000-07</v>
      </c>
      <c r="C407" s="319">
        <f>'Combine Sal Op'!I909</f>
        <v>1701.44</v>
      </c>
      <c r="E407" s="27" t="s">
        <v>176</v>
      </c>
      <c r="F407" s="27" t="s">
        <v>177</v>
      </c>
      <c r="G407" s="38">
        <v>41518</v>
      </c>
    </row>
    <row r="408" spans="1:7" x14ac:dyDescent="0.2">
      <c r="A408" s="27" t="s">
        <v>175</v>
      </c>
      <c r="B408" s="325" t="str">
        <f>+'Combine Sal Op'!E919</f>
        <v xml:space="preserve"> 12-109000-5000-38</v>
      </c>
      <c r="C408" s="319">
        <f>'Combine Sal Op'!I919</f>
        <v>1701.44</v>
      </c>
      <c r="E408" s="27" t="s">
        <v>176</v>
      </c>
      <c r="F408" s="27" t="s">
        <v>177</v>
      </c>
      <c r="G408" s="38">
        <v>41518</v>
      </c>
    </row>
    <row r="409" spans="1:7" x14ac:dyDescent="0.2">
      <c r="A409" s="27" t="s">
        <v>175</v>
      </c>
      <c r="B409" s="325" t="str">
        <f>'Combine Sal Op'!E923</f>
        <v xml:space="preserve"> 11-510090-5000-27</v>
      </c>
      <c r="C409" s="319">
        <f>'Combine Sal Op'!I923</f>
        <v>0</v>
      </c>
      <c r="E409" s="27" t="s">
        <v>176</v>
      </c>
      <c r="F409" s="27" t="s">
        <v>177</v>
      </c>
      <c r="G409" s="38">
        <v>41518</v>
      </c>
    </row>
    <row r="410" spans="1:7" x14ac:dyDescent="0.2">
      <c r="A410" s="27" t="s">
        <v>175</v>
      </c>
      <c r="B410" s="325" t="str">
        <f>'Combine Sal Op'!E925</f>
        <v xml:space="preserve"> 11-510090-5000-07</v>
      </c>
      <c r="C410" s="319">
        <f>'Combine Sal Op'!I925</f>
        <v>0</v>
      </c>
      <c r="E410" s="27" t="s">
        <v>176</v>
      </c>
      <c r="F410" s="27" t="s">
        <v>177</v>
      </c>
      <c r="G410" s="38">
        <v>41518</v>
      </c>
    </row>
    <row r="411" spans="1:7" x14ac:dyDescent="0.2">
      <c r="A411" s="27" t="s">
        <v>175</v>
      </c>
      <c r="B411" s="325" t="str">
        <f>'Combine Sal Op'!E184</f>
        <v xml:space="preserve"> 12-310020-7000-01</v>
      </c>
      <c r="C411" s="319">
        <f>'Combine Sal Op'!I184</f>
        <v>0</v>
      </c>
      <c r="E411" s="27" t="s">
        <v>176</v>
      </c>
      <c r="F411" s="27" t="s">
        <v>177</v>
      </c>
      <c r="G411" s="38">
        <v>41518</v>
      </c>
    </row>
    <row r="412" spans="1:7" x14ac:dyDescent="0.2">
      <c r="A412" s="27" t="s">
        <v>175</v>
      </c>
      <c r="B412" s="325" t="str">
        <f>'Combine Sal Op'!E186</f>
        <v xml:space="preserve"> 12-310021-5000-01</v>
      </c>
      <c r="C412" s="319">
        <f>'Combine Sal Op'!I186</f>
        <v>4880</v>
      </c>
      <c r="E412" s="27" t="s">
        <v>176</v>
      </c>
      <c r="F412" s="27" t="s">
        <v>177</v>
      </c>
      <c r="G412" s="38">
        <v>41518</v>
      </c>
    </row>
    <row r="413" spans="1:7" x14ac:dyDescent="0.2">
      <c r="A413" s="27" t="s">
        <v>175</v>
      </c>
      <c r="B413" s="325" t="str">
        <f>'Combine Sal Op'!E187</f>
        <v xml:space="preserve"> 12-310021-7000-01</v>
      </c>
      <c r="C413" s="319">
        <f>'Combine Sal Op'!I187</f>
        <v>85308.68</v>
      </c>
      <c r="E413" s="27" t="s">
        <v>176</v>
      </c>
      <c r="F413" s="27" t="s">
        <v>177</v>
      </c>
      <c r="G413" s="38">
        <v>41518</v>
      </c>
    </row>
    <row r="414" spans="1:7" x14ac:dyDescent="0.2">
      <c r="A414" s="27" t="s">
        <v>175</v>
      </c>
      <c r="B414" s="325" t="str">
        <f>'Combine Sal Op'!E725</f>
        <v xml:space="preserve"> 12-310020-5000-03</v>
      </c>
      <c r="C414" s="319">
        <f>'Combine Sal Op'!I725</f>
        <v>3568</v>
      </c>
      <c r="E414" s="27" t="s">
        <v>176</v>
      </c>
      <c r="F414" s="27" t="s">
        <v>177</v>
      </c>
      <c r="G414" s="38">
        <v>41518</v>
      </c>
    </row>
    <row r="415" spans="1:7" x14ac:dyDescent="0.2">
      <c r="A415" s="27" t="s">
        <v>175</v>
      </c>
      <c r="B415" s="325" t="str">
        <f>'Combine Sal Op'!E726</f>
        <v xml:space="preserve"> 12-310020-7000-03</v>
      </c>
      <c r="C415" s="319">
        <f>'Combine Sal Op'!I726</f>
        <v>30423.79</v>
      </c>
      <c r="E415" s="27" t="s">
        <v>176</v>
      </c>
      <c r="F415" s="27" t="s">
        <v>177</v>
      </c>
      <c r="G415" s="38">
        <v>41518</v>
      </c>
    </row>
    <row r="416" spans="1:7" x14ac:dyDescent="0.2">
      <c r="A416" s="27" t="s">
        <v>175</v>
      </c>
      <c r="B416" s="325" t="str">
        <f>'Combine Sal Op'!E709</f>
        <v xml:space="preserve"> 12-110302-5000-03</v>
      </c>
      <c r="C416" s="319">
        <f>'Combine Sal Op'!I709</f>
        <v>520</v>
      </c>
      <c r="E416" s="27" t="s">
        <v>176</v>
      </c>
      <c r="F416" s="27" t="s">
        <v>177</v>
      </c>
      <c r="G416" s="38">
        <v>41518</v>
      </c>
    </row>
    <row r="417" spans="1:7" x14ac:dyDescent="0.2">
      <c r="A417" s="27" t="s">
        <v>175</v>
      </c>
      <c r="B417" s="325" t="str">
        <f>'Combine Sal Op'!E711</f>
        <v xml:space="preserve"> 12-110201-5000-03</v>
      </c>
      <c r="C417" s="319">
        <f>'Combine Sal Op'!I711</f>
        <v>320</v>
      </c>
      <c r="E417" s="27" t="s">
        <v>176</v>
      </c>
      <c r="F417" s="27" t="s">
        <v>177</v>
      </c>
      <c r="G417" s="38">
        <v>41518</v>
      </c>
    </row>
    <row r="418" spans="1:7" x14ac:dyDescent="0.2">
      <c r="A418" s="27" t="s">
        <v>175</v>
      </c>
      <c r="B418" s="325" t="str">
        <f>'Combine Sal Op'!E713</f>
        <v xml:space="preserve"> 12-110303-5000-03</v>
      </c>
      <c r="C418" s="319">
        <f>'Combine Sal Op'!I713</f>
        <v>824</v>
      </c>
      <c r="E418" s="27" t="s">
        <v>176</v>
      </c>
      <c r="F418" s="27" t="s">
        <v>177</v>
      </c>
      <c r="G418" s="38">
        <v>41518</v>
      </c>
    </row>
    <row r="419" spans="1:7" x14ac:dyDescent="0.2">
      <c r="A419" s="27" t="s">
        <v>175</v>
      </c>
      <c r="B419" s="325" t="str">
        <f>'Combine Sal Op'!E616</f>
        <v xml:space="preserve"> 12-310020-7000-02</v>
      </c>
      <c r="C419" s="319">
        <f>'Combine Sal Op'!I616</f>
        <v>29241.51</v>
      </c>
      <c r="E419" s="27" t="s">
        <v>176</v>
      </c>
      <c r="F419" s="27" t="s">
        <v>177</v>
      </c>
      <c r="G419" s="38">
        <v>41518</v>
      </c>
    </row>
    <row r="420" spans="1:7" x14ac:dyDescent="0.2">
      <c r="A420" s="27" t="s">
        <v>175</v>
      </c>
      <c r="B420" s="325" t="str">
        <f>'Combine Sal Op'!E598</f>
        <v xml:space="preserve"> 12-110302-5000-02</v>
      </c>
      <c r="C420" s="319">
        <f>'Combine Sal Op'!I598</f>
        <v>4089.6</v>
      </c>
      <c r="E420" s="27" t="s">
        <v>176</v>
      </c>
      <c r="F420" s="27" t="s">
        <v>177</v>
      </c>
      <c r="G420" s="38">
        <v>41518</v>
      </c>
    </row>
    <row r="421" spans="1:7" x14ac:dyDescent="0.2">
      <c r="A421" s="27" t="s">
        <v>175</v>
      </c>
      <c r="B421" s="325" t="str">
        <f>'Combine Sal Op'!E600</f>
        <v xml:space="preserve"> 12-110201-5000-02</v>
      </c>
      <c r="C421" s="319">
        <f>'Combine Sal Op'!I600</f>
        <v>2032.8</v>
      </c>
      <c r="E421" s="27" t="s">
        <v>176</v>
      </c>
      <c r="F421" s="27" t="s">
        <v>177</v>
      </c>
      <c r="G421" s="38">
        <v>41518</v>
      </c>
    </row>
    <row r="422" spans="1:7" x14ac:dyDescent="0.2">
      <c r="A422" s="27" t="s">
        <v>175</v>
      </c>
      <c r="B422" s="325" t="str">
        <f>'Combine Sal Op'!E602</f>
        <v xml:space="preserve"> 12-110303-5000-02</v>
      </c>
      <c r="C422" s="319">
        <f>'Combine Sal Op'!I602</f>
        <v>769.6</v>
      </c>
      <c r="E422" s="27" t="s">
        <v>176</v>
      </c>
      <c r="F422" s="27" t="s">
        <v>177</v>
      </c>
      <c r="G422" s="38">
        <v>41518</v>
      </c>
    </row>
    <row r="423" spans="1:7" x14ac:dyDescent="0.2">
      <c r="A423" s="27" t="s">
        <v>175</v>
      </c>
      <c r="B423" s="325" t="str">
        <f>'Combine Sal Op'!E604</f>
        <v xml:space="preserve"> 12-110101-5000-02</v>
      </c>
      <c r="C423" s="319">
        <f>'Combine Sal Op'!I604</f>
        <v>668.8</v>
      </c>
      <c r="E423" s="27" t="s">
        <v>176</v>
      </c>
      <c r="F423" s="27" t="s">
        <v>177</v>
      </c>
      <c r="G423" s="38">
        <v>41518</v>
      </c>
    </row>
    <row r="424" spans="1:7" x14ac:dyDescent="0.2">
      <c r="A424" s="27" t="s">
        <v>175</v>
      </c>
      <c r="B424" s="325" t="str">
        <f>'Combine Sal Op'!E606</f>
        <v xml:space="preserve"> 12-110403-5000-02</v>
      </c>
      <c r="C424" s="319">
        <f>'Combine Sal Op'!I606</f>
        <v>523</v>
      </c>
      <c r="E424" s="27" t="s">
        <v>176</v>
      </c>
      <c r="F424" s="27" t="s">
        <v>177</v>
      </c>
      <c r="G424" s="38">
        <v>41518</v>
      </c>
    </row>
    <row r="425" spans="1:7" x14ac:dyDescent="0.2">
      <c r="A425" s="27" t="s">
        <v>175</v>
      </c>
      <c r="B425" s="325" t="str">
        <f>'Combine Sal Op'!E216</f>
        <v xml:space="preserve"> 12-310030-5000-01</v>
      </c>
      <c r="C425" s="319">
        <f>'Combine Sal Op'!I216</f>
        <v>4070</v>
      </c>
      <c r="E425" s="27" t="s">
        <v>176</v>
      </c>
      <c r="F425" s="27" t="s">
        <v>177</v>
      </c>
      <c r="G425" s="38">
        <v>41518</v>
      </c>
    </row>
    <row r="426" spans="1:7" x14ac:dyDescent="0.2">
      <c r="A426" s="27" t="s">
        <v>175</v>
      </c>
      <c r="B426" s="325" t="str">
        <f>'Combine Sal Op'!E217</f>
        <v xml:space="preserve"> 12-310030-7000-01</v>
      </c>
      <c r="C426" s="319">
        <f>'Combine Sal Op'!I217</f>
        <v>45018.559999999998</v>
      </c>
      <c r="E426" s="27" t="s">
        <v>176</v>
      </c>
      <c r="F426" s="27" t="s">
        <v>177</v>
      </c>
      <c r="G426" s="38">
        <v>41518</v>
      </c>
    </row>
    <row r="427" spans="1:7" x14ac:dyDescent="0.2">
      <c r="A427" s="27" t="s">
        <v>175</v>
      </c>
      <c r="B427" s="325" t="str">
        <f>'Combine Sal Op'!E94</f>
        <v xml:space="preserve"> 12-110404-5000-01</v>
      </c>
      <c r="C427" s="319">
        <f>'Combine Sal Op'!I94</f>
        <v>20205</v>
      </c>
      <c r="E427" s="27" t="s">
        <v>176</v>
      </c>
      <c r="F427" s="27" t="s">
        <v>177</v>
      </c>
      <c r="G427" s="38">
        <v>41518</v>
      </c>
    </row>
    <row r="428" spans="1:7" x14ac:dyDescent="0.2">
      <c r="A428" s="27" t="s">
        <v>175</v>
      </c>
      <c r="B428" s="325" t="str">
        <f>'Combine Sal Op'!E96</f>
        <v xml:space="preserve"> 12-110412-5000-01</v>
      </c>
      <c r="C428" s="319">
        <f>'Combine Sal Op'!I96</f>
        <v>4752</v>
      </c>
      <c r="E428" s="27" t="s">
        <v>176</v>
      </c>
      <c r="F428" s="27" t="s">
        <v>177</v>
      </c>
      <c r="G428" s="38">
        <v>41518</v>
      </c>
    </row>
    <row r="429" spans="1:7" x14ac:dyDescent="0.2">
      <c r="A429" s="27" t="s">
        <v>175</v>
      </c>
      <c r="B429" s="325" t="str">
        <f>'Combine Sal Op'!E98</f>
        <v xml:space="preserve"> 12-110402-5000-01</v>
      </c>
      <c r="C429" s="319">
        <f>'Combine Sal Op'!I98</f>
        <v>23976</v>
      </c>
      <c r="E429" s="27" t="s">
        <v>176</v>
      </c>
      <c r="F429" s="27" t="s">
        <v>177</v>
      </c>
      <c r="G429" s="38">
        <v>41518</v>
      </c>
    </row>
    <row r="430" spans="1:7" x14ac:dyDescent="0.2">
      <c r="A430" s="27" t="s">
        <v>175</v>
      </c>
      <c r="B430" s="325" t="str">
        <f>'Combine Sal Op'!E715</f>
        <v xml:space="preserve"> 12-110407-5000-03</v>
      </c>
      <c r="C430" s="319">
        <f>'Combine Sal Op'!I715</f>
        <v>18220</v>
      </c>
      <c r="E430" s="27" t="s">
        <v>176</v>
      </c>
      <c r="F430" s="27" t="s">
        <v>177</v>
      </c>
      <c r="G430" s="38">
        <v>41518</v>
      </c>
    </row>
    <row r="431" spans="1:7" x14ac:dyDescent="0.2">
      <c r="A431" s="27" t="s">
        <v>175</v>
      </c>
      <c r="B431" s="325" t="str">
        <f>'Combine Sal Op'!E100</f>
        <v>12-110408-5000-01</v>
      </c>
      <c r="C431" s="319">
        <f>'Combine Sal Op'!I100</f>
        <v>14880</v>
      </c>
      <c r="E431" s="27" t="s">
        <v>176</v>
      </c>
      <c r="F431" s="27" t="s">
        <v>177</v>
      </c>
      <c r="G431" s="38">
        <v>41518</v>
      </c>
    </row>
    <row r="432" spans="1:7" x14ac:dyDescent="0.2">
      <c r="A432" s="27" t="s">
        <v>175</v>
      </c>
      <c r="B432" s="325" t="str">
        <f>'Combine Sal Op'!E102</f>
        <v xml:space="preserve"> 12-110101-5000-01</v>
      </c>
      <c r="C432" s="319">
        <f>'Combine Sal Op'!I102</f>
        <v>2680</v>
      </c>
      <c r="E432" s="27" t="s">
        <v>176</v>
      </c>
      <c r="F432" s="27" t="s">
        <v>177</v>
      </c>
      <c r="G432" s="38">
        <v>41518</v>
      </c>
    </row>
    <row r="433" spans="1:7" x14ac:dyDescent="0.2">
      <c r="A433" s="27" t="s">
        <v>175</v>
      </c>
      <c r="B433" s="325" t="str">
        <f>'Combine Sal Op'!E104</f>
        <v xml:space="preserve"> 12-110302-5000-01</v>
      </c>
      <c r="C433" s="319">
        <f>'Combine Sal Op'!I104</f>
        <v>0</v>
      </c>
      <c r="E433" s="27" t="s">
        <v>176</v>
      </c>
      <c r="F433" s="27" t="s">
        <v>177</v>
      </c>
      <c r="G433" s="38">
        <v>41518</v>
      </c>
    </row>
    <row r="434" spans="1:7" x14ac:dyDescent="0.2">
      <c r="A434" s="27" t="s">
        <v>175</v>
      </c>
      <c r="B434" s="325" t="str">
        <f>'Combine Sal Op'!E105</f>
        <v xml:space="preserve"> 12-110302-7000-01</v>
      </c>
      <c r="C434" s="319">
        <f>'Combine Sal Op'!I105</f>
        <v>0</v>
      </c>
      <c r="E434" s="27" t="s">
        <v>176</v>
      </c>
      <c r="F434" s="27" t="s">
        <v>177</v>
      </c>
      <c r="G434" s="38">
        <v>41518</v>
      </c>
    </row>
    <row r="435" spans="1:7" x14ac:dyDescent="0.2">
      <c r="A435" s="27" t="s">
        <v>175</v>
      </c>
      <c r="B435" s="325" t="str">
        <f>'Combine Sal Op'!E107</f>
        <v xml:space="preserve"> 12-100610-5000-01</v>
      </c>
      <c r="C435" s="319">
        <f>'Combine Sal Op'!I107</f>
        <v>1050</v>
      </c>
      <c r="E435" s="27" t="s">
        <v>176</v>
      </c>
      <c r="F435" s="27" t="s">
        <v>177</v>
      </c>
      <c r="G435" s="38">
        <v>41518</v>
      </c>
    </row>
    <row r="436" spans="1:7" x14ac:dyDescent="0.2">
      <c r="A436" s="27" t="s">
        <v>175</v>
      </c>
      <c r="B436" s="325" t="str">
        <f>'Combine Sal Op'!E109</f>
        <v xml:space="preserve"> 12-110105-5000-01</v>
      </c>
      <c r="C436" s="319">
        <f>'Combine Sal Op'!I109</f>
        <v>544</v>
      </c>
      <c r="E436" s="27" t="s">
        <v>176</v>
      </c>
      <c r="F436" s="27" t="s">
        <v>177</v>
      </c>
      <c r="G436" s="38">
        <v>41518</v>
      </c>
    </row>
    <row r="437" spans="1:7" x14ac:dyDescent="0.2">
      <c r="A437" s="27" t="s">
        <v>175</v>
      </c>
      <c r="B437" s="325" t="str">
        <f>'Combine Sal Op'!E111</f>
        <v xml:space="preserve"> 12-110001-5000-01</v>
      </c>
      <c r="C437" s="319">
        <f>'Combine Sal Op'!I111</f>
        <v>0</v>
      </c>
      <c r="E437" s="27" t="s">
        <v>176</v>
      </c>
      <c r="F437" s="27" t="s">
        <v>177</v>
      </c>
      <c r="G437" s="38">
        <v>41518</v>
      </c>
    </row>
    <row r="438" spans="1:7" x14ac:dyDescent="0.2">
      <c r="A438" s="27" t="s">
        <v>175</v>
      </c>
      <c r="B438" s="325" t="str">
        <f>'Combine Sal Op'!E113</f>
        <v xml:space="preserve"> 12-110005-5000-01</v>
      </c>
      <c r="C438" s="319">
        <f>'Combine Sal Op'!I113</f>
        <v>9520</v>
      </c>
      <c r="E438" s="27" t="s">
        <v>176</v>
      </c>
      <c r="F438" s="27" t="s">
        <v>177</v>
      </c>
      <c r="G438" s="38">
        <v>41518</v>
      </c>
    </row>
    <row r="439" spans="1:7" x14ac:dyDescent="0.2">
      <c r="A439" s="27" t="s">
        <v>175</v>
      </c>
      <c r="B439" s="325" t="str">
        <f>'Combine Sal Op'!E115</f>
        <v>12-110409-5000-01</v>
      </c>
      <c r="C439" s="319">
        <f>'Combine Sal Op'!I115</f>
        <v>49550</v>
      </c>
      <c r="E439" s="27" t="s">
        <v>176</v>
      </c>
      <c r="F439" s="27" t="s">
        <v>177</v>
      </c>
      <c r="G439" s="38">
        <v>41518</v>
      </c>
    </row>
    <row r="440" spans="1:7" x14ac:dyDescent="0.2">
      <c r="A440" s="27" t="s">
        <v>175</v>
      </c>
      <c r="B440" s="325" t="str">
        <f>'Combine Sal Op'!E117</f>
        <v>12-110411-5000-01</v>
      </c>
      <c r="C440" s="319">
        <f>'Combine Sal Op'!I117</f>
        <v>0</v>
      </c>
      <c r="E440" s="27" t="s">
        <v>176</v>
      </c>
      <c r="F440" s="27" t="s">
        <v>177</v>
      </c>
      <c r="G440" s="38">
        <v>41518</v>
      </c>
    </row>
    <row r="441" spans="1:7" x14ac:dyDescent="0.2">
      <c r="A441" s="27" t="s">
        <v>175</v>
      </c>
      <c r="B441" s="325" t="str">
        <f>'Combine Sal Op'!E119</f>
        <v xml:space="preserve"> 12-110403-5000-01</v>
      </c>
      <c r="C441" s="319">
        <f>'Combine Sal Op'!I119</f>
        <v>5000</v>
      </c>
      <c r="E441" s="27" t="s">
        <v>176</v>
      </c>
      <c r="F441" s="27" t="s">
        <v>177</v>
      </c>
      <c r="G441" s="38">
        <v>41518</v>
      </c>
    </row>
    <row r="442" spans="1:7" x14ac:dyDescent="0.2">
      <c r="A442" s="27" t="s">
        <v>175</v>
      </c>
      <c r="B442" s="325" t="str">
        <f>'Combine Sal Op'!E121</f>
        <v xml:space="preserve"> 12-110501-5000-01</v>
      </c>
      <c r="C442" s="319">
        <f>'Combine Sal Op'!I121</f>
        <v>27859.85</v>
      </c>
      <c r="E442" s="27" t="s">
        <v>176</v>
      </c>
      <c r="F442" s="27" t="s">
        <v>177</v>
      </c>
      <c r="G442" s="38">
        <v>41518</v>
      </c>
    </row>
    <row r="443" spans="1:7" x14ac:dyDescent="0.2">
      <c r="A443" s="27" t="s">
        <v>175</v>
      </c>
      <c r="B443" s="325" t="str">
        <f>'Combine Sal Op'!E122</f>
        <v xml:space="preserve"> 12-110501-7000-01</v>
      </c>
      <c r="C443" s="319">
        <f>'Combine Sal Op'!I122</f>
        <v>28274.06</v>
      </c>
      <c r="E443" s="27" t="s">
        <v>176</v>
      </c>
      <c r="F443" s="27" t="s">
        <v>177</v>
      </c>
      <c r="G443" s="38">
        <v>41518</v>
      </c>
    </row>
    <row r="444" spans="1:7" x14ac:dyDescent="0.2">
      <c r="A444" s="27" t="s">
        <v>175</v>
      </c>
      <c r="B444" s="325" t="str">
        <f>'Combine Sal Op'!E608</f>
        <v xml:space="preserve"> 12-110501-5000-02</v>
      </c>
      <c r="C444" s="319">
        <f>'Combine Sal Op'!I608</f>
        <v>31958.5</v>
      </c>
      <c r="E444" s="27" t="s">
        <v>176</v>
      </c>
      <c r="F444" s="27" t="s">
        <v>177</v>
      </c>
      <c r="G444" s="38">
        <v>41518</v>
      </c>
    </row>
    <row r="445" spans="1:7" x14ac:dyDescent="0.2">
      <c r="A445" s="27" t="s">
        <v>175</v>
      </c>
      <c r="B445" s="325" t="str">
        <f>'Combine Sal Op'!E609</f>
        <v xml:space="preserve"> 12-110501-7000-02</v>
      </c>
      <c r="C445" s="319">
        <f>'Combine Sal Op'!I609</f>
        <v>26235.16</v>
      </c>
      <c r="E445" s="27" t="s">
        <v>176</v>
      </c>
      <c r="F445" s="27" t="s">
        <v>177</v>
      </c>
      <c r="G445" s="38">
        <v>41518</v>
      </c>
    </row>
    <row r="446" spans="1:7" x14ac:dyDescent="0.2">
      <c r="A446" s="27" t="s">
        <v>175</v>
      </c>
      <c r="B446" s="325" t="str">
        <f>'Combine Sal Op'!E717</f>
        <v xml:space="preserve"> 12-110501-5000-03</v>
      </c>
      <c r="C446" s="319">
        <f>'Combine Sal Op'!I717</f>
        <v>35995.5</v>
      </c>
      <c r="E446" s="27" t="s">
        <v>176</v>
      </c>
      <c r="F446" s="27" t="s">
        <v>177</v>
      </c>
      <c r="G446" s="38">
        <v>41518</v>
      </c>
    </row>
    <row r="447" spans="1:7" x14ac:dyDescent="0.2">
      <c r="A447" s="27" t="s">
        <v>175</v>
      </c>
      <c r="B447" s="325" t="str">
        <f>'Combine Sal Op'!E718</f>
        <v xml:space="preserve"> 12-110501-7000-03</v>
      </c>
      <c r="C447" s="319">
        <f>'Combine Sal Op'!I718</f>
        <v>26663.61</v>
      </c>
      <c r="E447" s="27" t="s">
        <v>176</v>
      </c>
      <c r="F447" s="27" t="s">
        <v>177</v>
      </c>
      <c r="G447" s="38">
        <v>41518</v>
      </c>
    </row>
    <row r="448" spans="1:7" x14ac:dyDescent="0.2">
      <c r="A448" s="27" t="s">
        <v>175</v>
      </c>
      <c r="B448" s="325" t="str">
        <f>'Combine Sal Op'!E130</f>
        <v xml:space="preserve"> 12-110201-5000-01</v>
      </c>
      <c r="C448" s="319">
        <f>'Combine Sal Op'!I130</f>
        <v>6432</v>
      </c>
      <c r="E448" s="27" t="s">
        <v>176</v>
      </c>
      <c r="F448" s="27" t="s">
        <v>177</v>
      </c>
      <c r="G448" s="38">
        <v>41518</v>
      </c>
    </row>
    <row r="449" spans="1:7" x14ac:dyDescent="0.2">
      <c r="A449" s="27" t="s">
        <v>175</v>
      </c>
      <c r="B449" s="325" t="str">
        <f>'Combine Sal Op'!E162</f>
        <v xml:space="preserve"> 12-110494-5000-01</v>
      </c>
      <c r="C449" s="319">
        <f>'Combine Sal Op'!I162</f>
        <v>60030</v>
      </c>
      <c r="E449" s="27" t="s">
        <v>176</v>
      </c>
      <c r="F449" s="27" t="s">
        <v>177</v>
      </c>
      <c r="G449" s="38">
        <v>41518</v>
      </c>
    </row>
    <row r="450" spans="1:7" x14ac:dyDescent="0.2">
      <c r="A450" s="27" t="s">
        <v>175</v>
      </c>
      <c r="B450" s="325" t="str">
        <f>'Combine Sal Op'!E163</f>
        <v xml:space="preserve"> 12-110494-7000-01</v>
      </c>
      <c r="C450" s="319">
        <f>'Combine Sal Op'!I163</f>
        <v>118276.17</v>
      </c>
      <c r="E450" s="27" t="s">
        <v>176</v>
      </c>
      <c r="F450" s="27" t="s">
        <v>177</v>
      </c>
      <c r="G450" s="38">
        <v>41518</v>
      </c>
    </row>
    <row r="451" spans="1:7" x14ac:dyDescent="0.2">
      <c r="A451" s="27" t="s">
        <v>175</v>
      </c>
      <c r="B451" s="325" t="str">
        <f>'Combine Sal Op'!E165</f>
        <v xml:space="preserve"> 12-110496-5000-01</v>
      </c>
      <c r="C451" s="319">
        <f>'Combine Sal Op'!I165</f>
        <v>21920</v>
      </c>
      <c r="E451" s="27" t="s">
        <v>176</v>
      </c>
      <c r="F451" s="27" t="s">
        <v>177</v>
      </c>
      <c r="G451" s="38">
        <v>41518</v>
      </c>
    </row>
    <row r="452" spans="1:7" x14ac:dyDescent="0.2">
      <c r="A452" s="27" t="s">
        <v>175</v>
      </c>
      <c r="B452" s="325" t="str">
        <f>'Combine Sal Op'!E132</f>
        <v xml:space="preserve"> 12-110303-5000-01</v>
      </c>
      <c r="C452" s="319">
        <f>'Combine Sal Op'!I132</f>
        <v>1820</v>
      </c>
      <c r="E452" s="27" t="s">
        <v>176</v>
      </c>
      <c r="F452" s="27" t="s">
        <v>177</v>
      </c>
      <c r="G452" s="38">
        <v>41518</v>
      </c>
    </row>
    <row r="453" spans="1:7" x14ac:dyDescent="0.2">
      <c r="A453" s="27" t="s">
        <v>175</v>
      </c>
      <c r="B453" s="325" t="str">
        <f>'Combine Sal Op'!E134</f>
        <v xml:space="preserve"> 12-110401-5000-01</v>
      </c>
      <c r="C453" s="319">
        <f>'Combine Sal Op'!I134+'Combine Sal Op'!I135</f>
        <v>28706.400000000001</v>
      </c>
      <c r="E453" s="27" t="s">
        <v>176</v>
      </c>
      <c r="F453" s="27" t="s">
        <v>177</v>
      </c>
      <c r="G453" s="38">
        <v>41518</v>
      </c>
    </row>
    <row r="454" spans="1:7" x14ac:dyDescent="0.2">
      <c r="A454" s="27" t="s">
        <v>175</v>
      </c>
      <c r="B454" s="325" t="str">
        <f>'Combine Sal Op'!E139</f>
        <v xml:space="preserve">  12-110497-5000-01</v>
      </c>
      <c r="C454" s="319">
        <f>'Combine Sal Op'!I139</f>
        <v>207540</v>
      </c>
      <c r="E454" s="27" t="s">
        <v>176</v>
      </c>
      <c r="F454" s="27" t="s">
        <v>177</v>
      </c>
      <c r="G454" s="38">
        <v>41518</v>
      </c>
    </row>
    <row r="455" spans="1:7" x14ac:dyDescent="0.2">
      <c r="A455" s="27" t="s">
        <v>175</v>
      </c>
      <c r="B455" s="325" t="str">
        <f>'Combine Sal Op'!E140</f>
        <v xml:space="preserve">  12-110497-7000-01</v>
      </c>
      <c r="C455" s="319">
        <f>'Combine Sal Op'!I140</f>
        <v>125659.4</v>
      </c>
      <c r="E455" s="27" t="s">
        <v>176</v>
      </c>
      <c r="F455" s="27" t="s">
        <v>177</v>
      </c>
      <c r="G455" s="38">
        <v>41518</v>
      </c>
    </row>
    <row r="456" spans="1:7" x14ac:dyDescent="0.2">
      <c r="A456" s="27" t="s">
        <v>175</v>
      </c>
      <c r="B456" s="325" t="str">
        <f>'Combine Sal Op'!E144</f>
        <v xml:space="preserve"> 12-110592-5000-01</v>
      </c>
      <c r="C456" s="319">
        <f>'Combine Sal Op'!I144</f>
        <v>279675</v>
      </c>
      <c r="E456" s="27" t="s">
        <v>176</v>
      </c>
      <c r="F456" s="27" t="s">
        <v>177</v>
      </c>
      <c r="G456" s="38">
        <v>41518</v>
      </c>
    </row>
    <row r="457" spans="1:7" x14ac:dyDescent="0.2">
      <c r="A457" s="27" t="s">
        <v>175</v>
      </c>
      <c r="B457" s="325" t="str">
        <f>'Combine Sal Op'!E145</f>
        <v xml:space="preserve"> 12-110592-7000-01</v>
      </c>
      <c r="C457" s="319">
        <f>'Combine Sal Op'!I145</f>
        <v>47713.29</v>
      </c>
      <c r="E457" s="27" t="s">
        <v>176</v>
      </c>
      <c r="F457" s="27" t="s">
        <v>177</v>
      </c>
      <c r="G457" s="38">
        <v>41518</v>
      </c>
    </row>
    <row r="458" spans="1:7" x14ac:dyDescent="0.2">
      <c r="A458" s="27" t="s">
        <v>175</v>
      </c>
      <c r="B458" s="325" t="str">
        <f>'Combine Sal Op'!E147</f>
        <v xml:space="preserve"> 12-110599-5000-01</v>
      </c>
      <c r="C458" s="319">
        <f>'Combine Sal Op'!I147</f>
        <v>50920</v>
      </c>
      <c r="E458" s="27" t="s">
        <v>176</v>
      </c>
      <c r="F458" s="27" t="s">
        <v>177</v>
      </c>
      <c r="G458" s="38">
        <v>41518</v>
      </c>
    </row>
    <row r="459" spans="1:7" x14ac:dyDescent="0.2">
      <c r="A459" s="141" t="s">
        <v>175</v>
      </c>
      <c r="B459" s="327" t="str">
        <f>+'Combine Sal Op'!E157</f>
        <v>12-110594-5000-01</v>
      </c>
      <c r="C459" s="320">
        <f>+'Combine Sal Op'!I157</f>
        <v>44800</v>
      </c>
      <c r="D459" s="142"/>
      <c r="E459" s="141" t="s">
        <v>176</v>
      </c>
      <c r="F459" s="27" t="s">
        <v>177</v>
      </c>
      <c r="G459" s="38">
        <v>41518</v>
      </c>
    </row>
    <row r="460" spans="1:7" x14ac:dyDescent="0.2">
      <c r="A460" s="27" t="s">
        <v>175</v>
      </c>
      <c r="B460" s="325" t="str">
        <f>'Combine Sal Op'!E150</f>
        <v xml:space="preserve"> 12-250010-5000-01</v>
      </c>
      <c r="C460" s="319">
        <f>'Combine Sal Op'!I150</f>
        <v>36880</v>
      </c>
      <c r="E460" s="27" t="s">
        <v>176</v>
      </c>
      <c r="F460" s="27" t="s">
        <v>177</v>
      </c>
      <c r="G460" s="38">
        <v>41518</v>
      </c>
    </row>
    <row r="461" spans="1:7" x14ac:dyDescent="0.2">
      <c r="A461" s="27" t="s">
        <v>175</v>
      </c>
      <c r="B461" s="325" t="str">
        <f>'Combine Sal Op'!E152</f>
        <v>12-110392-5000-01</v>
      </c>
      <c r="C461" s="319">
        <f>'Combine Sal Op'!I152</f>
        <v>6480</v>
      </c>
      <c r="E461" s="27" t="s">
        <v>176</v>
      </c>
      <c r="F461" s="27" t="s">
        <v>177</v>
      </c>
      <c r="G461" s="38">
        <v>41518</v>
      </c>
    </row>
    <row r="462" spans="1:7" x14ac:dyDescent="0.2">
      <c r="A462" s="27" t="s">
        <v>175</v>
      </c>
      <c r="B462" s="325" t="str">
        <f>'Combine Sal Op'!E160</f>
        <v xml:space="preserve"> 12-110495-5000-01</v>
      </c>
      <c r="C462" s="319">
        <f>'Combine Sal Op'!I160</f>
        <v>0</v>
      </c>
      <c r="E462" s="27" t="s">
        <v>176</v>
      </c>
      <c r="F462" s="27" t="s">
        <v>177</v>
      </c>
      <c r="G462" s="38">
        <v>41518</v>
      </c>
    </row>
    <row r="463" spans="1:7" x14ac:dyDescent="0.2">
      <c r="A463" s="27" t="s">
        <v>175</v>
      </c>
      <c r="B463" s="325" t="str">
        <f>'Combine Sal Op'!E189</f>
        <v xml:space="preserve"> 12-310022-5000-01</v>
      </c>
      <c r="C463" s="319">
        <f>'Combine Sal Op'!I189</f>
        <v>25320</v>
      </c>
      <c r="E463" s="27" t="s">
        <v>176</v>
      </c>
      <c r="F463" s="27" t="s">
        <v>177</v>
      </c>
      <c r="G463" s="38">
        <v>41518</v>
      </c>
    </row>
    <row r="464" spans="1:7" x14ac:dyDescent="0.2">
      <c r="A464" s="27" t="s">
        <v>175</v>
      </c>
      <c r="B464" s="325" t="str">
        <f>'Combine Sal Op'!E190</f>
        <v xml:space="preserve"> 12-310022-7000-01</v>
      </c>
      <c r="C464" s="319">
        <f>'Combine Sal Op'!I190</f>
        <v>181247.92</v>
      </c>
      <c r="E464" s="27" t="s">
        <v>176</v>
      </c>
      <c r="F464" s="27" t="s">
        <v>177</v>
      </c>
      <c r="G464" s="38">
        <v>41518</v>
      </c>
    </row>
    <row r="465" spans="1:7" x14ac:dyDescent="0.2">
      <c r="A465" s="27" t="s">
        <v>175</v>
      </c>
      <c r="B465" s="325" t="str">
        <f>'Combine Sal Op'!E195</f>
        <v xml:space="preserve"> 12-300010-5000-01</v>
      </c>
      <c r="C465" s="319">
        <f>'Combine Sal Op'!I195</f>
        <v>89372</v>
      </c>
      <c r="E465" s="27" t="s">
        <v>176</v>
      </c>
      <c r="F465" s="27" t="s">
        <v>177</v>
      </c>
      <c r="G465" s="38">
        <v>41518</v>
      </c>
    </row>
    <row r="466" spans="1:7" x14ac:dyDescent="0.2">
      <c r="A466" s="27" t="s">
        <v>175</v>
      </c>
      <c r="B466" s="325" t="str">
        <f>'Combine Sal Op'!E196</f>
        <v xml:space="preserve"> 12-300010-7000-01</v>
      </c>
      <c r="C466" s="319">
        <f>'Combine Sal Op'!I196</f>
        <v>245259.33</v>
      </c>
      <c r="E466" s="27" t="s">
        <v>176</v>
      </c>
      <c r="F466" s="27" t="s">
        <v>177</v>
      </c>
      <c r="G466" s="38">
        <v>41518</v>
      </c>
    </row>
    <row r="467" spans="1:7" x14ac:dyDescent="0.2">
      <c r="A467" s="27" t="s">
        <v>175</v>
      </c>
      <c r="B467" s="325" t="str">
        <f>'Combine Sal Op'!E618</f>
        <v xml:space="preserve"> 12-300010-5000-02</v>
      </c>
      <c r="C467" s="319">
        <f>'Combine Sal Op'!I618</f>
        <v>11372</v>
      </c>
      <c r="E467" s="27" t="s">
        <v>176</v>
      </c>
      <c r="F467" s="27" t="s">
        <v>177</v>
      </c>
      <c r="G467" s="38">
        <v>41518</v>
      </c>
    </row>
    <row r="468" spans="1:7" x14ac:dyDescent="0.2">
      <c r="A468" s="27" t="s">
        <v>175</v>
      </c>
      <c r="B468" s="325" t="str">
        <f>'Combine Sal Op'!E728</f>
        <v xml:space="preserve"> 12-300010-5000-03</v>
      </c>
      <c r="C468" s="319">
        <f>'Combine Sal Op'!I728</f>
        <v>11372</v>
      </c>
      <c r="E468" s="27" t="s">
        <v>176</v>
      </c>
      <c r="F468" s="27" t="s">
        <v>177</v>
      </c>
      <c r="G468" s="38">
        <v>41518</v>
      </c>
    </row>
    <row r="469" spans="1:7" x14ac:dyDescent="0.2">
      <c r="A469" s="27" t="s">
        <v>175</v>
      </c>
      <c r="B469" s="325" t="str">
        <f>'Combine Sal Op'!E198</f>
        <v xml:space="preserve"> 12-300020-5000-01</v>
      </c>
      <c r="C469" s="319">
        <f>'Combine Sal Op'!I198</f>
        <v>5600</v>
      </c>
      <c r="E469" s="27" t="s">
        <v>176</v>
      </c>
      <c r="F469" s="27" t="s">
        <v>177</v>
      </c>
      <c r="G469" s="38">
        <v>41518</v>
      </c>
    </row>
    <row r="470" spans="1:7" x14ac:dyDescent="0.2">
      <c r="A470" s="27" t="s">
        <v>175</v>
      </c>
      <c r="B470" s="325" t="str">
        <f>'Combine Sal Op'!E199</f>
        <v xml:space="preserve"> 12-300020-7000-01</v>
      </c>
      <c r="C470" s="319">
        <f>'Combine Sal Op'!I199</f>
        <v>37150.92</v>
      </c>
      <c r="E470" s="27" t="s">
        <v>176</v>
      </c>
      <c r="F470" s="27" t="s">
        <v>177</v>
      </c>
      <c r="G470" s="38">
        <v>41518</v>
      </c>
    </row>
    <row r="471" spans="1:7" x14ac:dyDescent="0.2">
      <c r="A471" s="27" t="s">
        <v>175</v>
      </c>
      <c r="B471" s="325" t="str">
        <f>'Combine Sal Op'!E468</f>
        <v xml:space="preserve"> 76-124000-5000-01</v>
      </c>
      <c r="C471" s="319">
        <f>'Combine Sal Op'!I468</f>
        <v>234190.48</v>
      </c>
      <c r="E471" s="27" t="s">
        <v>176</v>
      </c>
      <c r="F471" s="27" t="s">
        <v>177</v>
      </c>
      <c r="G471" s="38">
        <v>41518</v>
      </c>
    </row>
    <row r="472" spans="1:7" x14ac:dyDescent="0.2">
      <c r="A472" s="27" t="s">
        <v>175</v>
      </c>
      <c r="B472" s="325" t="str">
        <f>'Combine Sal Op'!E469</f>
        <v xml:space="preserve"> 76-124000-7000-01</v>
      </c>
      <c r="C472" s="319">
        <f>'Combine Sal Op'!I469</f>
        <v>411826.52</v>
      </c>
      <c r="E472" s="27" t="s">
        <v>176</v>
      </c>
      <c r="F472" s="27" t="s">
        <v>177</v>
      </c>
      <c r="G472" s="38">
        <v>41518</v>
      </c>
    </row>
    <row r="473" spans="1:7" x14ac:dyDescent="0.2">
      <c r="A473" s="27" t="s">
        <v>175</v>
      </c>
      <c r="B473" s="325" t="str">
        <f>'Combine Sal Op'!E479</f>
        <v xml:space="preserve"> 76-127000-5000-01</v>
      </c>
      <c r="C473" s="319">
        <f>'Combine Sal Op'!I479</f>
        <v>128528.08</v>
      </c>
      <c r="E473" s="27" t="s">
        <v>176</v>
      </c>
      <c r="F473" s="27" t="s">
        <v>177</v>
      </c>
      <c r="G473" s="38">
        <v>41518</v>
      </c>
    </row>
    <row r="474" spans="1:7" x14ac:dyDescent="0.2">
      <c r="A474" s="27" t="s">
        <v>175</v>
      </c>
      <c r="B474" s="325" t="str">
        <f>'Combine Sal Op'!E480</f>
        <v xml:space="preserve"> 76-127000-7000-01</v>
      </c>
      <c r="C474" s="319">
        <f>'Combine Sal Op'!I480</f>
        <v>172394.92</v>
      </c>
      <c r="E474" s="27" t="s">
        <v>176</v>
      </c>
      <c r="F474" s="27" t="s">
        <v>177</v>
      </c>
      <c r="G474" s="38">
        <v>41518</v>
      </c>
    </row>
    <row r="475" spans="1:7" x14ac:dyDescent="0.2">
      <c r="A475" s="27" t="s">
        <v>175</v>
      </c>
      <c r="B475" s="325" t="str">
        <f>'Combine Sal Op'!E493</f>
        <v xml:space="preserve"> 76-127030-5000-01</v>
      </c>
      <c r="C475" s="319">
        <f>'Combine Sal Op'!I493</f>
        <v>0</v>
      </c>
      <c r="E475" s="27" t="s">
        <v>176</v>
      </c>
      <c r="F475" s="27" t="s">
        <v>177</v>
      </c>
      <c r="G475" s="38">
        <v>41518</v>
      </c>
    </row>
    <row r="476" spans="1:7" x14ac:dyDescent="0.2">
      <c r="A476" s="27" t="s">
        <v>175</v>
      </c>
      <c r="B476" s="325" t="str">
        <f>'Combine Sal Op'!E494</f>
        <v xml:space="preserve"> 76-127030-7000-01</v>
      </c>
      <c r="C476" s="319">
        <f>'Combine Sal Op'!I494</f>
        <v>0</v>
      </c>
      <c r="E476" s="27" t="s">
        <v>176</v>
      </c>
      <c r="F476" s="27" t="s">
        <v>177</v>
      </c>
      <c r="G476" s="38">
        <v>41518</v>
      </c>
    </row>
    <row r="477" spans="1:7" x14ac:dyDescent="0.2">
      <c r="A477" s="27" t="s">
        <v>175</v>
      </c>
      <c r="B477" s="325" t="str">
        <f>'Combine Sal Op'!E432</f>
        <v xml:space="preserve"> 11-600010-5000-01</v>
      </c>
      <c r="C477" s="319">
        <f>'Combine Sal Op'!I432</f>
        <v>125649</v>
      </c>
      <c r="E477" s="27" t="s">
        <v>176</v>
      </c>
      <c r="F477" s="27" t="s">
        <v>177</v>
      </c>
      <c r="G477" s="38">
        <v>41518</v>
      </c>
    </row>
    <row r="478" spans="1:7" x14ac:dyDescent="0.2">
      <c r="A478" s="27" t="s">
        <v>175</v>
      </c>
      <c r="B478" s="325" t="str">
        <f>'Combine Sal Op'!E433</f>
        <v xml:space="preserve"> 11-600010-7000-01</v>
      </c>
      <c r="C478" s="319">
        <f>'Combine Sal Op'!I433</f>
        <v>58437.66</v>
      </c>
      <c r="E478" s="27" t="s">
        <v>176</v>
      </c>
      <c r="F478" s="27" t="s">
        <v>177</v>
      </c>
      <c r="G478" s="38">
        <v>41518</v>
      </c>
    </row>
    <row r="479" spans="1:7" x14ac:dyDescent="0.2">
      <c r="A479" s="27" t="s">
        <v>175</v>
      </c>
      <c r="B479" s="325" t="str">
        <f>'Combine Sal Op'!E450</f>
        <v xml:space="preserve"> 11-510085-5000-01</v>
      </c>
      <c r="C479" s="319">
        <f>'Combine Sal Op'!I450</f>
        <v>130000</v>
      </c>
      <c r="E479" s="27" t="s">
        <v>176</v>
      </c>
      <c r="F479" s="27" t="s">
        <v>177</v>
      </c>
      <c r="G479" s="38">
        <v>41518</v>
      </c>
    </row>
    <row r="480" spans="1:7" x14ac:dyDescent="0.2">
      <c r="A480" s="27" t="s">
        <v>175</v>
      </c>
      <c r="B480" s="325" t="str">
        <f>'Combine Sal Op'!E451</f>
        <v xml:space="preserve"> 11-510085-7000-01</v>
      </c>
      <c r="C480" s="319">
        <f>'Combine Sal Op'!I451</f>
        <v>66362.97</v>
      </c>
      <c r="E480" s="27" t="s">
        <v>176</v>
      </c>
      <c r="F480" s="27" t="s">
        <v>177</v>
      </c>
      <c r="G480" s="38">
        <v>41518</v>
      </c>
    </row>
    <row r="481" spans="1:7" x14ac:dyDescent="0.2">
      <c r="A481" s="27" t="s">
        <v>175</v>
      </c>
      <c r="B481" s="325" t="str">
        <f>'Combine Sal Op'!E371</f>
        <v xml:space="preserve"> 12-520010-5000-01</v>
      </c>
      <c r="C481" s="319">
        <f>'Combine Sal Op'!I371</f>
        <v>8480</v>
      </c>
      <c r="E481" s="27" t="s">
        <v>176</v>
      </c>
      <c r="F481" s="27" t="s">
        <v>177</v>
      </c>
      <c r="G481" s="38">
        <v>41518</v>
      </c>
    </row>
    <row r="482" spans="1:7" x14ac:dyDescent="0.2">
      <c r="A482" s="27" t="s">
        <v>175</v>
      </c>
      <c r="B482" s="325" t="str">
        <f>'Combine Sal Op'!E372</f>
        <v xml:space="preserve"> 12-520010-7000-01</v>
      </c>
      <c r="C482" s="319">
        <f>'Combine Sal Op'!I372</f>
        <v>115141.27</v>
      </c>
      <c r="E482" s="27" t="s">
        <v>176</v>
      </c>
      <c r="F482" s="27" t="s">
        <v>177</v>
      </c>
      <c r="G482" s="38">
        <v>41518</v>
      </c>
    </row>
    <row r="483" spans="1:7" x14ac:dyDescent="0.2">
      <c r="A483" s="27" t="s">
        <v>175</v>
      </c>
      <c r="B483" s="325" t="str">
        <f>'Combine Sal Op'!E435</f>
        <v xml:space="preserve"> 11-610020-5000-01</v>
      </c>
      <c r="C483" s="319">
        <f>'Combine Sal Op'!I435</f>
        <v>255639</v>
      </c>
      <c r="E483" s="27" t="s">
        <v>176</v>
      </c>
      <c r="F483" s="27" t="s">
        <v>177</v>
      </c>
      <c r="G483" s="38">
        <v>41518</v>
      </c>
    </row>
    <row r="484" spans="1:7" x14ac:dyDescent="0.2">
      <c r="A484" s="27" t="s">
        <v>175</v>
      </c>
      <c r="B484" s="325" t="str">
        <f>'Combine Sal Op'!E436</f>
        <v xml:space="preserve"> 11-610020-7000-01</v>
      </c>
      <c r="C484" s="319">
        <f>'Combine Sal Op'!I436</f>
        <v>304697.24</v>
      </c>
      <c r="E484" s="27" t="s">
        <v>176</v>
      </c>
      <c r="F484" s="27" t="s">
        <v>177</v>
      </c>
      <c r="G484" s="38">
        <v>41518</v>
      </c>
    </row>
    <row r="485" spans="1:7" x14ac:dyDescent="0.2">
      <c r="A485" s="27" t="s">
        <v>175</v>
      </c>
      <c r="B485" s="325" t="str">
        <f>'Combine Sal Op'!E438</f>
        <v xml:space="preserve"> 11-620030-5000-01</v>
      </c>
      <c r="C485" s="319">
        <f>'Combine Sal Op'!I438</f>
        <v>49278</v>
      </c>
      <c r="E485" s="27" t="s">
        <v>176</v>
      </c>
      <c r="F485" s="27" t="s">
        <v>177</v>
      </c>
      <c r="G485" s="38">
        <v>41518</v>
      </c>
    </row>
    <row r="486" spans="1:7" x14ac:dyDescent="0.2">
      <c r="A486" s="27" t="s">
        <v>175</v>
      </c>
      <c r="B486" s="325" t="str">
        <f>'Combine Sal Op'!E439</f>
        <v xml:space="preserve"> 11-620030-7000-01</v>
      </c>
      <c r="C486" s="319">
        <f>'Combine Sal Op'!I439</f>
        <v>216355.05</v>
      </c>
      <c r="E486" s="27" t="s">
        <v>176</v>
      </c>
      <c r="F486" s="27" t="s">
        <v>177</v>
      </c>
      <c r="G486" s="38">
        <v>41518</v>
      </c>
    </row>
    <row r="487" spans="1:7" x14ac:dyDescent="0.2">
      <c r="A487" s="27" t="s">
        <v>175</v>
      </c>
      <c r="B487" s="325" t="str">
        <f>'Combine Sal Op'!E441</f>
        <v xml:space="preserve"> 11-630040-5000-01</v>
      </c>
      <c r="C487" s="319">
        <f>'Combine Sal Op'!I441</f>
        <v>27608</v>
      </c>
      <c r="E487" s="27" t="s">
        <v>176</v>
      </c>
      <c r="F487" s="27" t="s">
        <v>177</v>
      </c>
      <c r="G487" s="38">
        <v>41518</v>
      </c>
    </row>
    <row r="488" spans="1:7" x14ac:dyDescent="0.2">
      <c r="A488" s="27" t="s">
        <v>175</v>
      </c>
      <c r="B488" s="325" t="str">
        <f>'Combine Sal Op'!E442</f>
        <v xml:space="preserve"> 11-630040-7000-01</v>
      </c>
      <c r="C488" s="319">
        <f>'Combine Sal Op'!I442</f>
        <v>100253.34</v>
      </c>
      <c r="E488" s="27" t="s">
        <v>176</v>
      </c>
      <c r="F488" s="27" t="s">
        <v>177</v>
      </c>
      <c r="G488" s="38">
        <v>41518</v>
      </c>
    </row>
    <row r="489" spans="1:7" x14ac:dyDescent="0.2">
      <c r="A489" s="27" t="s">
        <v>175</v>
      </c>
      <c r="B489" s="325" t="str">
        <f>'Combine Sal Op'!E444</f>
        <v xml:space="preserve"> 11-640050-5000-01</v>
      </c>
      <c r="C489" s="319">
        <f>'Combine Sal Op'!I444</f>
        <v>428000</v>
      </c>
      <c r="E489" s="27" t="s">
        <v>176</v>
      </c>
      <c r="F489" s="27" t="s">
        <v>177</v>
      </c>
      <c r="G489" s="38">
        <v>41518</v>
      </c>
    </row>
    <row r="490" spans="1:7" x14ac:dyDescent="0.2">
      <c r="A490" s="27" t="s">
        <v>175</v>
      </c>
      <c r="B490" s="325" t="str">
        <f>'Combine Sal Op'!E657</f>
        <v xml:space="preserve"> 11-610020-5000-02</v>
      </c>
      <c r="C490" s="319">
        <f>'Combine Sal Op'!I657</f>
        <v>54769</v>
      </c>
      <c r="E490" s="27" t="s">
        <v>176</v>
      </c>
      <c r="F490" s="27" t="s">
        <v>177</v>
      </c>
      <c r="G490" s="38">
        <v>41518</v>
      </c>
    </row>
    <row r="491" spans="1:7" x14ac:dyDescent="0.2">
      <c r="A491" s="27" t="s">
        <v>175</v>
      </c>
      <c r="B491" s="325" t="str">
        <f>'Combine Sal Op'!E658</f>
        <v xml:space="preserve"> 11-610020-7000-02</v>
      </c>
      <c r="C491" s="319">
        <f>'Combine Sal Op'!I658</f>
        <v>0</v>
      </c>
      <c r="E491" s="27" t="s">
        <v>176</v>
      </c>
      <c r="F491" s="27" t="s">
        <v>177</v>
      </c>
      <c r="G491" s="38">
        <v>41518</v>
      </c>
    </row>
    <row r="492" spans="1:7" x14ac:dyDescent="0.2">
      <c r="A492" s="27" t="s">
        <v>175</v>
      </c>
      <c r="B492" s="325" t="str">
        <f>'Combine Sal Op'!E773</f>
        <v xml:space="preserve"> 11-610020-5000-03</v>
      </c>
      <c r="C492" s="319">
        <f>'Combine Sal Op'!I773</f>
        <v>50737</v>
      </c>
      <c r="E492" s="27" t="s">
        <v>176</v>
      </c>
      <c r="F492" s="27" t="s">
        <v>177</v>
      </c>
      <c r="G492" s="38">
        <v>41518</v>
      </c>
    </row>
    <row r="493" spans="1:7" x14ac:dyDescent="0.2">
      <c r="A493" s="27" t="s">
        <v>175</v>
      </c>
      <c r="B493" s="325" t="str">
        <f>'Combine Sal Op'!E774</f>
        <v xml:space="preserve"> 11-610020-7000-03</v>
      </c>
      <c r="C493" s="319">
        <f>'Combine Sal Op'!I774</f>
        <v>0</v>
      </c>
      <c r="E493" s="27" t="s">
        <v>176</v>
      </c>
      <c r="F493" s="27" t="s">
        <v>177</v>
      </c>
      <c r="G493" s="38">
        <v>41518</v>
      </c>
    </row>
    <row r="494" spans="1:7" x14ac:dyDescent="0.2">
      <c r="A494" s="27" t="s">
        <v>175</v>
      </c>
      <c r="B494" s="325" t="str">
        <f>'Combine Sal Op'!E458</f>
        <v xml:space="preserve"> 52-660310-5052-01</v>
      </c>
      <c r="C494" s="319">
        <f>'Combine Sal Op'!I458</f>
        <v>238650</v>
      </c>
      <c r="E494" s="27" t="s">
        <v>176</v>
      </c>
      <c r="F494" s="27" t="s">
        <v>177</v>
      </c>
      <c r="G494" s="38">
        <v>41518</v>
      </c>
    </row>
    <row r="495" spans="1:7" x14ac:dyDescent="0.2">
      <c r="A495" s="27" t="s">
        <v>175</v>
      </c>
      <c r="B495" s="325" t="str">
        <f>'Combine Sal Op'!E457</f>
        <v xml:space="preserve"> 52-660315-5052-01</v>
      </c>
      <c r="C495" s="319">
        <f>'Combine Sal Op'!I457</f>
        <v>368920</v>
      </c>
      <c r="E495" s="27" t="s">
        <v>176</v>
      </c>
      <c r="F495" s="27" t="s">
        <v>177</v>
      </c>
      <c r="G495" s="38">
        <v>41518</v>
      </c>
    </row>
    <row r="496" spans="1:7" x14ac:dyDescent="0.2">
      <c r="A496" s="27" t="s">
        <v>175</v>
      </c>
      <c r="B496" s="325" t="str">
        <f>'Combine Sal Op'!E459</f>
        <v xml:space="preserve"> 52-660305-5052-01</v>
      </c>
      <c r="C496" s="319">
        <f>'Combine Sal Op'!I459</f>
        <v>83395</v>
      </c>
      <c r="E496" s="27" t="s">
        <v>176</v>
      </c>
      <c r="F496" s="27" t="s">
        <v>177</v>
      </c>
      <c r="G496" s="38">
        <v>41518</v>
      </c>
    </row>
    <row r="497" spans="1:7" x14ac:dyDescent="0.2">
      <c r="A497" s="27" t="s">
        <v>175</v>
      </c>
      <c r="B497" s="325" t="str">
        <f>'Combine Sal Op'!E460</f>
        <v xml:space="preserve"> 52-660304-5052-01</v>
      </c>
      <c r="C497" s="319">
        <f>'Combine Sal Op'!I460</f>
        <v>257520</v>
      </c>
      <c r="E497" s="27" t="s">
        <v>176</v>
      </c>
      <c r="F497" s="27" t="s">
        <v>177</v>
      </c>
      <c r="G497" s="38">
        <v>41518</v>
      </c>
    </row>
    <row r="498" spans="1:7" x14ac:dyDescent="0.2">
      <c r="A498" s="27" t="s">
        <v>175</v>
      </c>
      <c r="B498" s="325" t="str">
        <f>'Combine Sal Op'!E461</f>
        <v xml:space="preserve"> 11-510095-5000-01</v>
      </c>
      <c r="C498" s="319">
        <f>'Combine Sal Op'!I461</f>
        <v>342493.59</v>
      </c>
      <c r="E498" s="27" t="s">
        <v>176</v>
      </c>
      <c r="F498" s="27" t="s">
        <v>177</v>
      </c>
      <c r="G498" s="38">
        <v>41518</v>
      </c>
    </row>
    <row r="499" spans="1:7" x14ac:dyDescent="0.2">
      <c r="A499" s="27" t="s">
        <v>175</v>
      </c>
      <c r="B499" s="325" t="str">
        <f>'Combine Sal Op'!E462</f>
        <v xml:space="preserve"> 52-510085-5052-01</v>
      </c>
      <c r="C499" s="319">
        <f>'Combine Sal Op'!I462</f>
        <v>26095</v>
      </c>
      <c r="E499" s="27" t="s">
        <v>176</v>
      </c>
      <c r="F499" s="27" t="s">
        <v>177</v>
      </c>
      <c r="G499" s="38">
        <v>41518</v>
      </c>
    </row>
    <row r="500" spans="1:7" x14ac:dyDescent="0.2">
      <c r="A500" s="27" t="s">
        <v>175</v>
      </c>
      <c r="B500" s="325" t="str">
        <f>'Combine Sal Op'!E463</f>
        <v xml:space="preserve"> 52-660308-5052-01</v>
      </c>
      <c r="C500" s="319">
        <f>'Combine Sal Op'!I463</f>
        <v>337655</v>
      </c>
      <c r="E500" s="27" t="s">
        <v>176</v>
      </c>
      <c r="F500" s="27" t="s">
        <v>177</v>
      </c>
      <c r="G500" s="38">
        <v>41518</v>
      </c>
    </row>
    <row r="501" spans="1:7" x14ac:dyDescent="0.2">
      <c r="A501" s="27" t="s">
        <v>175</v>
      </c>
      <c r="B501" s="325" t="str">
        <f>'Combine Sal Op'!E482</f>
        <v>76-750060-5000-01</v>
      </c>
      <c r="C501" s="319">
        <f>'Combine Sal Op'!I482</f>
        <v>0</v>
      </c>
      <c r="E501" s="27" t="s">
        <v>176</v>
      </c>
      <c r="F501" s="27" t="s">
        <v>177</v>
      </c>
      <c r="G501" s="38">
        <v>41518</v>
      </c>
    </row>
    <row r="502" spans="1:7" x14ac:dyDescent="0.2">
      <c r="A502" s="27" t="s">
        <v>175</v>
      </c>
      <c r="B502" s="325" t="str">
        <f>'Combine Sal Op'!E484</f>
        <v>76-127005-5000-01</v>
      </c>
      <c r="C502" s="319">
        <f>'Combine Sal Op'!I484</f>
        <v>40232.47</v>
      </c>
      <c r="E502" s="27" t="s">
        <v>176</v>
      </c>
      <c r="F502" s="27" t="s">
        <v>177</v>
      </c>
      <c r="G502" s="38">
        <v>41518</v>
      </c>
    </row>
    <row r="503" spans="1:7" x14ac:dyDescent="0.2">
      <c r="A503" s="27" t="s">
        <v>175</v>
      </c>
      <c r="B503" s="325" t="str">
        <f>'Combine Sal Op'!E485</f>
        <v>76-127005-7000-01</v>
      </c>
      <c r="C503" s="319">
        <f>'Combine Sal Op'!I485</f>
        <v>185964.53</v>
      </c>
      <c r="E503" s="27" t="s">
        <v>176</v>
      </c>
      <c r="F503" s="27" t="s">
        <v>177</v>
      </c>
      <c r="G503" s="38">
        <v>41518</v>
      </c>
    </row>
    <row r="504" spans="1:7" x14ac:dyDescent="0.2">
      <c r="A504" s="27" t="s">
        <v>175</v>
      </c>
      <c r="B504" s="325" t="str">
        <f>'Combine Sal Op'!E487</f>
        <v xml:space="preserve"> 76-125140-5000-01</v>
      </c>
      <c r="C504" s="319">
        <f>'Combine Sal Op'!I487</f>
        <v>171175.36</v>
      </c>
      <c r="E504" s="27" t="s">
        <v>176</v>
      </c>
      <c r="F504" s="27" t="s">
        <v>177</v>
      </c>
      <c r="G504" s="38">
        <v>41518</v>
      </c>
    </row>
    <row r="505" spans="1:7" x14ac:dyDescent="0.2">
      <c r="A505" s="27" t="s">
        <v>175</v>
      </c>
      <c r="B505" s="325" t="str">
        <f>'Combine Sal Op'!E488</f>
        <v xml:space="preserve"> 76-125140-7000-01</v>
      </c>
      <c r="C505" s="319">
        <f>'Combine Sal Op'!I488</f>
        <v>75776.639999999999</v>
      </c>
      <c r="E505" s="27" t="s">
        <v>176</v>
      </c>
      <c r="F505" s="27" t="s">
        <v>177</v>
      </c>
      <c r="G505" s="38">
        <v>41518</v>
      </c>
    </row>
    <row r="506" spans="1:7" x14ac:dyDescent="0.2">
      <c r="A506" s="27" t="s">
        <v>175</v>
      </c>
      <c r="B506" s="325" t="str">
        <f>'Combine Sal Op'!E490</f>
        <v xml:space="preserve"> 76-127082-5000-01</v>
      </c>
      <c r="C506" s="319">
        <f>'Combine Sal Op'!I490</f>
        <v>0</v>
      </c>
      <c r="E506" s="27" t="s">
        <v>176</v>
      </c>
      <c r="F506" s="27" t="s">
        <v>177</v>
      </c>
      <c r="G506" s="38">
        <v>41518</v>
      </c>
    </row>
    <row r="507" spans="1:7" x14ac:dyDescent="0.2">
      <c r="A507" s="27" t="s">
        <v>175</v>
      </c>
      <c r="B507" s="325" t="str">
        <f>'Combine Sal Op'!E491</f>
        <v xml:space="preserve"> 76-127082-7000-01</v>
      </c>
      <c r="C507" s="319">
        <f>'Combine Sal Op'!I491</f>
        <v>0</v>
      </c>
      <c r="E507" s="27" t="s">
        <v>176</v>
      </c>
      <c r="F507" s="27" t="s">
        <v>177</v>
      </c>
      <c r="G507" s="38">
        <v>41518</v>
      </c>
    </row>
    <row r="508" spans="1:7" x14ac:dyDescent="0.2">
      <c r="A508" s="27" t="s">
        <v>175</v>
      </c>
      <c r="B508" s="325" t="str">
        <f>'Combine Sal Op'!E496</f>
        <v xml:space="preserve"> 76-127021-5000-01</v>
      </c>
      <c r="C508" s="319">
        <f>'Combine Sal Op'!I496</f>
        <v>264094.2</v>
      </c>
      <c r="E508" s="27" t="s">
        <v>176</v>
      </c>
      <c r="F508" s="27" t="s">
        <v>177</v>
      </c>
      <c r="G508" s="38">
        <v>41518</v>
      </c>
    </row>
    <row r="509" spans="1:7" x14ac:dyDescent="0.2">
      <c r="A509" s="27" t="s">
        <v>175</v>
      </c>
      <c r="B509" s="325" t="str">
        <f>'Combine Sal Op'!E497</f>
        <v xml:space="preserve"> 76-127021-7000-01</v>
      </c>
      <c r="C509" s="319">
        <f>'Combine Sal Op'!I497</f>
        <v>35905.800000000003</v>
      </c>
      <c r="E509" s="27" t="s">
        <v>176</v>
      </c>
      <c r="F509" s="27" t="s">
        <v>177</v>
      </c>
      <c r="G509" s="38">
        <v>41518</v>
      </c>
    </row>
    <row r="510" spans="1:7" x14ac:dyDescent="0.2">
      <c r="A510" s="27" t="s">
        <v>175</v>
      </c>
      <c r="B510" s="325" t="str">
        <f>'Combine Sal Op'!E499</f>
        <v xml:space="preserve"> 76-740010-5000-01</v>
      </c>
      <c r="C510" s="319">
        <f>'Combine Sal Op'!I499</f>
        <v>0</v>
      </c>
      <c r="E510" s="27" t="s">
        <v>176</v>
      </c>
      <c r="F510" s="27" t="s">
        <v>177</v>
      </c>
      <c r="G510" s="38">
        <v>41518</v>
      </c>
    </row>
    <row r="511" spans="1:7" x14ac:dyDescent="0.2">
      <c r="A511" s="27" t="s">
        <v>175</v>
      </c>
      <c r="B511" s="325" t="str">
        <f>'Combine Sal Op'!E500</f>
        <v xml:space="preserve"> 76-740010-7000-01</v>
      </c>
      <c r="C511" s="319">
        <f>'Combine Sal Op'!I500</f>
        <v>912.7</v>
      </c>
      <c r="E511" s="27" t="s">
        <v>176</v>
      </c>
      <c r="F511" s="27" t="s">
        <v>177</v>
      </c>
      <c r="G511" s="38">
        <v>41518</v>
      </c>
    </row>
    <row r="512" spans="1:7" x14ac:dyDescent="0.2">
      <c r="A512" s="27" t="s">
        <v>175</v>
      </c>
      <c r="B512" s="325" t="str">
        <f>'Combine Sal Op'!E506</f>
        <v xml:space="preserve"> 12-510099-7000-01</v>
      </c>
      <c r="C512" s="319">
        <f>'Combine Sal Op'!I506</f>
        <v>30000</v>
      </c>
      <c r="E512" s="27" t="s">
        <v>176</v>
      </c>
      <c r="F512" s="27" t="s">
        <v>177</v>
      </c>
      <c r="G512" s="38">
        <v>41518</v>
      </c>
    </row>
    <row r="513" spans="1:7" x14ac:dyDescent="0.2">
      <c r="A513" s="27" t="s">
        <v>175</v>
      </c>
      <c r="B513" s="325" t="str">
        <f>'Combine Sal Op'!E508</f>
        <v xml:space="preserve"> 74-710020-7000-01</v>
      </c>
      <c r="C513" s="319">
        <f>'Combine Sal Op'!I508</f>
        <v>147534</v>
      </c>
      <c r="E513" s="27" t="s">
        <v>176</v>
      </c>
      <c r="F513" s="27" t="s">
        <v>177</v>
      </c>
      <c r="G513" s="38">
        <v>41518</v>
      </c>
    </row>
    <row r="514" spans="1:7" x14ac:dyDescent="0.2">
      <c r="A514" s="27" t="s">
        <v>175</v>
      </c>
      <c r="B514" s="325" t="str">
        <f>'Combine Sal Op'!E512</f>
        <v xml:space="preserve"> 72-710001-5000-01</v>
      </c>
      <c r="C514" s="319">
        <f>'Combine Sal Op'!I512</f>
        <v>12000000</v>
      </c>
      <c r="E514" s="27" t="s">
        <v>176</v>
      </c>
      <c r="F514" s="27" t="s">
        <v>177</v>
      </c>
      <c r="G514" s="38">
        <v>41518</v>
      </c>
    </row>
    <row r="515" spans="1:7" x14ac:dyDescent="0.2">
      <c r="A515" s="27" t="s">
        <v>175</v>
      </c>
      <c r="B515" s="325" t="str">
        <f>'Combine Sal Op'!E514</f>
        <v xml:space="preserve"> 74-710010-5000-01</v>
      </c>
      <c r="C515" s="319">
        <f>'Combine Sal Op'!I514</f>
        <v>0</v>
      </c>
      <c r="E515" s="27" t="s">
        <v>176</v>
      </c>
      <c r="F515" s="27" t="s">
        <v>177</v>
      </c>
      <c r="G515" s="38">
        <v>41518</v>
      </c>
    </row>
    <row r="516" spans="1:7" x14ac:dyDescent="0.2">
      <c r="A516" s="27" t="s">
        <v>175</v>
      </c>
      <c r="B516" s="325" t="str">
        <f>'Combine Sal Op'!E516</f>
        <v xml:space="preserve"> 11-720001-5000-01</v>
      </c>
      <c r="C516" s="319">
        <f>'Combine Sal Op'!I516</f>
        <v>350000</v>
      </c>
      <c r="E516" s="27" t="s">
        <v>176</v>
      </c>
      <c r="F516" s="27" t="s">
        <v>177</v>
      </c>
      <c r="G516" s="38">
        <v>41518</v>
      </c>
    </row>
    <row r="517" spans="1:7" x14ac:dyDescent="0.2">
      <c r="A517" s="27" t="s">
        <v>175</v>
      </c>
      <c r="B517" s="325" t="str">
        <f>'Combine Sal Op'!E518</f>
        <v xml:space="preserve"> 73-720006-5000-01</v>
      </c>
      <c r="C517" s="319">
        <f>'Combine Sal Op'!I518</f>
        <v>435925</v>
      </c>
      <c r="E517" s="27" t="s">
        <v>176</v>
      </c>
      <c r="F517" s="27" t="s">
        <v>177</v>
      </c>
      <c r="G517" s="38">
        <v>41518</v>
      </c>
    </row>
    <row r="518" spans="1:7" x14ac:dyDescent="0.2">
      <c r="A518" s="27" t="s">
        <v>175</v>
      </c>
      <c r="B518" s="327" t="str">
        <f>'Combine Sal Op'!E522</f>
        <v>73-720003-5000-01</v>
      </c>
      <c r="C518" s="320">
        <f>'Combine Sal Op'!I522</f>
        <v>0</v>
      </c>
      <c r="E518" s="27" t="s">
        <v>176</v>
      </c>
      <c r="F518" s="27" t="s">
        <v>177</v>
      </c>
      <c r="G518" s="38">
        <v>41518</v>
      </c>
    </row>
    <row r="519" spans="1:7" x14ac:dyDescent="0.2">
      <c r="A519" s="27" t="s">
        <v>175</v>
      </c>
      <c r="B519" s="325" t="str">
        <f>'Combine Sal Op'!E524</f>
        <v xml:space="preserve"> 74-720011-5000-01</v>
      </c>
      <c r="C519" s="319">
        <f>'Combine Sal Op'!I524</f>
        <v>0</v>
      </c>
      <c r="E519" s="27" t="s">
        <v>176</v>
      </c>
      <c r="F519" s="27" t="s">
        <v>177</v>
      </c>
      <c r="G519" s="38">
        <v>41518</v>
      </c>
    </row>
    <row r="520" spans="1:7" x14ac:dyDescent="0.2">
      <c r="A520" s="27" t="s">
        <v>175</v>
      </c>
      <c r="B520" s="325" t="str">
        <f>'Combine Sal Op'!E528</f>
        <v xml:space="preserve"> 40-900010-5000-01</v>
      </c>
      <c r="C520" s="319">
        <f>'Combine Sal Op'!I528</f>
        <v>106100</v>
      </c>
      <c r="E520" s="27" t="s">
        <v>176</v>
      </c>
      <c r="F520" s="27" t="s">
        <v>177</v>
      </c>
      <c r="G520" s="38">
        <v>41518</v>
      </c>
    </row>
    <row r="521" spans="1:7" x14ac:dyDescent="0.2">
      <c r="A521" s="27" t="s">
        <v>175</v>
      </c>
      <c r="B521" s="325" t="str">
        <f>'Combine Sal Op'!E529</f>
        <v xml:space="preserve"> 40-900010-7000-01</v>
      </c>
      <c r="C521" s="319">
        <f>'Combine Sal Op'!I529</f>
        <v>5526.27</v>
      </c>
      <c r="E521" s="27" t="s">
        <v>176</v>
      </c>
      <c r="F521" s="27" t="s">
        <v>177</v>
      </c>
      <c r="G521" s="38">
        <v>41518</v>
      </c>
    </row>
    <row r="522" spans="1:7" x14ac:dyDescent="0.2">
      <c r="A522" s="27" t="s">
        <v>175</v>
      </c>
      <c r="B522" s="325" t="str">
        <f>'Combine Sal Op'!E531</f>
        <v xml:space="preserve"> 40-900011-5000-01</v>
      </c>
      <c r="C522" s="319">
        <f>'Combine Sal Op'!I531</f>
        <v>42900</v>
      </c>
      <c r="E522" s="27" t="s">
        <v>176</v>
      </c>
      <c r="F522" s="27" t="s">
        <v>177</v>
      </c>
      <c r="G522" s="38">
        <v>41518</v>
      </c>
    </row>
    <row r="523" spans="1:7" x14ac:dyDescent="0.2">
      <c r="A523" s="27" t="s">
        <v>175</v>
      </c>
      <c r="B523" s="325" t="str">
        <f>'Combine Sal Op'!E532</f>
        <v xml:space="preserve"> 40-900011-7000-01</v>
      </c>
      <c r="C523" s="319">
        <f>'Combine Sal Op'!I532</f>
        <v>18458.78</v>
      </c>
      <c r="E523" s="27" t="s">
        <v>176</v>
      </c>
      <c r="F523" s="27" t="s">
        <v>177</v>
      </c>
      <c r="G523" s="38">
        <v>41518</v>
      </c>
    </row>
    <row r="524" spans="1:7" x14ac:dyDescent="0.2">
      <c r="A524" s="27" t="s">
        <v>175</v>
      </c>
      <c r="B524" s="325" t="str">
        <f>'Combine Sal Op'!E534</f>
        <v xml:space="preserve"> 40-900012-5000-01</v>
      </c>
      <c r="C524" s="319">
        <f>'Combine Sal Op'!I534</f>
        <v>0</v>
      </c>
      <c r="E524" s="27" t="s">
        <v>176</v>
      </c>
      <c r="F524" s="27" t="s">
        <v>177</v>
      </c>
      <c r="G524" s="38">
        <v>41518</v>
      </c>
    </row>
    <row r="525" spans="1:7" x14ac:dyDescent="0.2">
      <c r="A525" s="27" t="s">
        <v>175</v>
      </c>
      <c r="B525" s="325" t="str">
        <f>'Combine Sal Op'!E536</f>
        <v xml:space="preserve"> 40-910010-5000-01</v>
      </c>
      <c r="C525" s="319">
        <f>'Combine Sal Op'!I536</f>
        <v>251835</v>
      </c>
      <c r="E525" s="27" t="s">
        <v>176</v>
      </c>
      <c r="F525" s="27" t="s">
        <v>177</v>
      </c>
      <c r="G525" s="38">
        <v>41518</v>
      </c>
    </row>
    <row r="526" spans="1:7" x14ac:dyDescent="0.2">
      <c r="A526" s="27" t="s">
        <v>175</v>
      </c>
      <c r="B526" s="325" t="str">
        <f>'Combine Sal Op'!E537</f>
        <v xml:space="preserve"> 40-910010-7000-01</v>
      </c>
      <c r="C526" s="319">
        <f>'Combine Sal Op'!I537</f>
        <v>117471.4</v>
      </c>
      <c r="E526" s="27" t="s">
        <v>176</v>
      </c>
      <c r="F526" s="27" t="s">
        <v>177</v>
      </c>
      <c r="G526" s="38">
        <v>41518</v>
      </c>
    </row>
    <row r="527" spans="1:7" x14ac:dyDescent="0.2">
      <c r="A527" s="27" t="s">
        <v>175</v>
      </c>
      <c r="B527" s="325" t="str">
        <f>'Combine Sal Op'!E539</f>
        <v xml:space="preserve"> 40-920010-5000-01</v>
      </c>
      <c r="C527" s="319">
        <f>'Combine Sal Op'!I539</f>
        <v>0</v>
      </c>
      <c r="E527" s="27" t="s">
        <v>176</v>
      </c>
      <c r="F527" s="27" t="s">
        <v>177</v>
      </c>
      <c r="G527" s="38">
        <v>41518</v>
      </c>
    </row>
    <row r="528" spans="1:7" x14ac:dyDescent="0.2">
      <c r="A528" s="27" t="s">
        <v>175</v>
      </c>
      <c r="B528" s="325" t="str">
        <f>'Combine Sal Op'!E540</f>
        <v xml:space="preserve"> 40-920010-7000-01</v>
      </c>
      <c r="C528" s="319">
        <f>'Combine Sal Op'!I540</f>
        <v>0</v>
      </c>
      <c r="E528" s="27" t="s">
        <v>176</v>
      </c>
      <c r="F528" s="27" t="s">
        <v>177</v>
      </c>
      <c r="G528" s="38">
        <v>41518</v>
      </c>
    </row>
    <row r="529" spans="1:7" x14ac:dyDescent="0.2">
      <c r="A529" s="27" t="s">
        <v>175</v>
      </c>
      <c r="B529" s="325" t="str">
        <f>'Combine Sal Op'!E542</f>
        <v xml:space="preserve"> 40-960010-5000-01</v>
      </c>
      <c r="C529" s="319">
        <f>'Combine Sal Op'!I542</f>
        <v>49228</v>
      </c>
      <c r="E529" s="27" t="s">
        <v>176</v>
      </c>
      <c r="F529" s="27" t="s">
        <v>177</v>
      </c>
      <c r="G529" s="38">
        <v>41518</v>
      </c>
    </row>
    <row r="530" spans="1:7" x14ac:dyDescent="0.2">
      <c r="A530" s="27" t="s">
        <v>175</v>
      </c>
      <c r="B530" s="325" t="str">
        <f>'Combine Sal Op'!E544</f>
        <v xml:space="preserve"> 40-930010-5000-01</v>
      </c>
      <c r="C530" s="319">
        <f>'Combine Sal Op'!I544</f>
        <v>170000</v>
      </c>
      <c r="E530" s="27" t="s">
        <v>176</v>
      </c>
      <c r="F530" s="27" t="s">
        <v>177</v>
      </c>
      <c r="G530" s="38">
        <v>41518</v>
      </c>
    </row>
    <row r="531" spans="1:7" x14ac:dyDescent="0.2">
      <c r="A531" s="27" t="s">
        <v>175</v>
      </c>
      <c r="B531" s="325" t="str">
        <f>'Combine Sal Op'!E546</f>
        <v xml:space="preserve"> 40-930020-5000-01</v>
      </c>
      <c r="C531" s="319">
        <f>'Combine Sal Op'!I546</f>
        <v>37500</v>
      </c>
      <c r="E531" s="27" t="s">
        <v>176</v>
      </c>
      <c r="F531" s="27" t="s">
        <v>177</v>
      </c>
      <c r="G531" s="38">
        <v>41518</v>
      </c>
    </row>
    <row r="532" spans="1:7" x14ac:dyDescent="0.2">
      <c r="A532" s="27" t="s">
        <v>175</v>
      </c>
      <c r="B532" s="325" t="str">
        <f>'Combine Sal Op'!E548</f>
        <v xml:space="preserve"> 40-940010-5000-01</v>
      </c>
      <c r="C532" s="319">
        <f>'Combine Sal Op'!I548</f>
        <v>100000</v>
      </c>
      <c r="E532" s="27" t="s">
        <v>176</v>
      </c>
      <c r="F532" s="27" t="s">
        <v>177</v>
      </c>
      <c r="G532" s="38">
        <v>41518</v>
      </c>
    </row>
    <row r="533" spans="1:7" x14ac:dyDescent="0.2">
      <c r="A533" s="27" t="s">
        <v>175</v>
      </c>
      <c r="B533" s="325" t="str">
        <f>'Combine Sal Op'!E550</f>
        <v xml:space="preserve"> 40-920500-5000-01</v>
      </c>
      <c r="C533" s="319">
        <f>'Combine Sal Op'!I550</f>
        <v>94735</v>
      </c>
      <c r="E533" s="27" t="s">
        <v>176</v>
      </c>
      <c r="F533" s="27" t="s">
        <v>177</v>
      </c>
      <c r="G533" s="38">
        <v>41518</v>
      </c>
    </row>
    <row r="534" spans="1:7" x14ac:dyDescent="0.2">
      <c r="A534" s="27" t="s">
        <v>175</v>
      </c>
      <c r="B534" s="325" t="str">
        <f>'Combine Sal Op'!E551</f>
        <v xml:space="preserve"> 40-920500-7000-01</v>
      </c>
      <c r="C534" s="319">
        <f>'Combine Sal Op'!I551</f>
        <v>154109.68</v>
      </c>
      <c r="E534" s="27" t="s">
        <v>176</v>
      </c>
      <c r="F534" s="27" t="s">
        <v>177</v>
      </c>
      <c r="G534" s="38">
        <v>41518</v>
      </c>
    </row>
    <row r="535" spans="1:7" x14ac:dyDescent="0.2">
      <c r="A535" s="27" t="s">
        <v>175</v>
      </c>
      <c r="B535" s="328" t="str">
        <f>'Combine Sal Op'!E553</f>
        <v xml:space="preserve"> 40-951010-5000-01</v>
      </c>
      <c r="C535" s="321">
        <f>'Combine Sal Op'!I553</f>
        <v>0</v>
      </c>
      <c r="D535" s="73"/>
      <c r="E535" s="27" t="s">
        <v>176</v>
      </c>
      <c r="F535" s="27" t="s">
        <v>177</v>
      </c>
      <c r="G535" s="38">
        <v>41518</v>
      </c>
    </row>
    <row r="536" spans="1:7" x14ac:dyDescent="0.2">
      <c r="A536" s="27" t="s">
        <v>175</v>
      </c>
      <c r="B536" s="328" t="str">
        <f>'Combine Sal Op'!E554</f>
        <v xml:space="preserve"> 40-951010-7000-01</v>
      </c>
      <c r="C536" s="321">
        <f>'Combine Sal Op'!I554</f>
        <v>0</v>
      </c>
      <c r="D536" s="73"/>
      <c r="E536" s="27" t="s">
        <v>176</v>
      </c>
      <c r="F536" s="27" t="s">
        <v>177</v>
      </c>
      <c r="G536" s="38">
        <v>41518</v>
      </c>
    </row>
    <row r="537" spans="1:7" x14ac:dyDescent="0.2">
      <c r="C537" s="322">
        <f>SUM(C1:C536)</f>
        <v>43105230.079999998</v>
      </c>
      <c r="D537" s="130">
        <f>SUM(D1:D536)</f>
        <v>43105230</v>
      </c>
      <c r="E537" s="101"/>
    </row>
    <row r="538" spans="1:7" x14ac:dyDescent="0.2">
      <c r="D538" s="71"/>
      <c r="E538" s="37"/>
    </row>
    <row r="539" spans="1:7" x14ac:dyDescent="0.2">
      <c r="C539" s="131"/>
      <c r="D539" s="101"/>
    </row>
    <row r="540" spans="1:7" x14ac:dyDescent="0.2">
      <c r="C540" s="101"/>
      <c r="D540" s="101"/>
    </row>
    <row r="541" spans="1:7" x14ac:dyDescent="0.2">
      <c r="C541" s="131"/>
    </row>
    <row r="542" spans="1:7" x14ac:dyDescent="0.2">
      <c r="D542" s="101"/>
    </row>
  </sheetData>
  <customSheetViews>
    <customSheetView guid="{32908539-2542-409A-8F82-90CA4AF2FA22}" showPageBreaks="1">
      <selection activeCell="B502" sqref="B502"/>
      <pageMargins left="0.75" right="0.75" top="1" bottom="1" header="0.5" footer="0.5"/>
      <pageSetup orientation="portrait" r:id="rId1"/>
      <headerFooter alignWithMargins="0"/>
    </customSheetView>
    <customSheetView guid="{A8860A6A-D8F5-A548-B67D-3E99578E1F8E}">
      <selection activeCell="B502" sqref="B502"/>
      <pageMargins left="0.7" right="0.7" top="0.75" bottom="0.75" header="0.3" footer="0.3"/>
      <headerFooter alignWithMargins="0"/>
    </customSheetView>
  </customSheetViews>
  <phoneticPr fontId="15" type="noConversion"/>
  <conditionalFormatting sqref="C167:C168 B1:B536">
    <cfRule type="duplicateValues" dxfId="12" priority="4"/>
  </conditionalFormatting>
  <pageMargins left="0.7" right="0.7" top="0.25" bottom="0.25" header="0.05" footer="0.05"/>
  <pageSetup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30"/>
  <sheetViews>
    <sheetView workbookViewId="0">
      <selection activeCell="D14" sqref="D14"/>
    </sheetView>
  </sheetViews>
  <sheetFormatPr defaultRowHeight="15" x14ac:dyDescent="0.2"/>
  <cols>
    <col min="1" max="1" width="3.77734375" customWidth="1"/>
    <col min="2" max="2" width="33.88671875" customWidth="1"/>
    <col min="3" max="3" width="1.6640625" customWidth="1"/>
    <col min="4" max="4" width="16.109375" style="83" customWidth="1"/>
    <col min="5" max="5" width="14.21875" customWidth="1"/>
  </cols>
  <sheetData>
    <row r="1" spans="1:5" ht="15.75" x14ac:dyDescent="0.25">
      <c r="A1" s="519" t="s">
        <v>2059</v>
      </c>
      <c r="B1" s="519"/>
      <c r="C1" s="519"/>
      <c r="D1" s="519"/>
      <c r="E1" s="519"/>
    </row>
    <row r="2" spans="1:5" ht="15.75" x14ac:dyDescent="0.25">
      <c r="A2" s="519" t="s">
        <v>2060</v>
      </c>
      <c r="B2" s="519"/>
      <c r="C2" s="519"/>
      <c r="D2" s="519"/>
      <c r="E2" s="519"/>
    </row>
    <row r="3" spans="1:5" ht="15.75" x14ac:dyDescent="0.25">
      <c r="A3" s="519" t="s">
        <v>2061</v>
      </c>
      <c r="B3" s="519"/>
      <c r="C3" s="519"/>
      <c r="D3" s="519"/>
      <c r="E3" s="519"/>
    </row>
    <row r="6" spans="1:5" x14ac:dyDescent="0.2">
      <c r="A6" s="136" t="s">
        <v>2045</v>
      </c>
    </row>
    <row r="8" spans="1:5" x14ac:dyDescent="0.2">
      <c r="A8" s="136" t="s">
        <v>1921</v>
      </c>
    </row>
    <row r="9" spans="1:5" x14ac:dyDescent="0.2">
      <c r="B9" s="136" t="s">
        <v>2046</v>
      </c>
      <c r="D9" s="137">
        <v>8000000</v>
      </c>
    </row>
    <row r="10" spans="1:5" x14ac:dyDescent="0.2">
      <c r="B10" s="136" t="s">
        <v>2049</v>
      </c>
      <c r="D10" s="139">
        <v>1800000</v>
      </c>
      <c r="E10" s="137">
        <f>SUM(D9:D10)</f>
        <v>9800000</v>
      </c>
    </row>
    <row r="11" spans="1:5" x14ac:dyDescent="0.2">
      <c r="D11" s="140"/>
    </row>
    <row r="12" spans="1:5" x14ac:dyDescent="0.2">
      <c r="A12" s="136" t="s">
        <v>2047</v>
      </c>
      <c r="D12" s="140"/>
    </row>
    <row r="13" spans="1:5" x14ac:dyDescent="0.2">
      <c r="B13" s="136" t="s">
        <v>2048</v>
      </c>
      <c r="D13" s="140">
        <v>7000000</v>
      </c>
    </row>
    <row r="14" spans="1:5" x14ac:dyDescent="0.2">
      <c r="B14" s="136" t="s">
        <v>2049</v>
      </c>
      <c r="D14" s="139">
        <v>3550000</v>
      </c>
      <c r="E14" s="140">
        <f>SUM(D13:D14)</f>
        <v>10550000</v>
      </c>
    </row>
    <row r="15" spans="1:5" x14ac:dyDescent="0.2">
      <c r="D15" s="140"/>
      <c r="E15" s="140"/>
    </row>
    <row r="16" spans="1:5" x14ac:dyDescent="0.2">
      <c r="A16" s="136" t="s">
        <v>2050</v>
      </c>
      <c r="D16" s="140"/>
      <c r="E16" s="140"/>
    </row>
    <row r="17" spans="1:5" x14ac:dyDescent="0.2">
      <c r="B17" s="136" t="s">
        <v>2051</v>
      </c>
      <c r="D17" s="140">
        <v>1200000</v>
      </c>
      <c r="E17" s="140"/>
    </row>
    <row r="18" spans="1:5" x14ac:dyDescent="0.2">
      <c r="B18" s="136" t="s">
        <v>2052</v>
      </c>
      <c r="D18" s="140">
        <v>1225000</v>
      </c>
      <c r="E18" s="140"/>
    </row>
    <row r="19" spans="1:5" x14ac:dyDescent="0.2">
      <c r="B19" s="136" t="s">
        <v>2053</v>
      </c>
      <c r="D19" s="140">
        <v>750000</v>
      </c>
      <c r="E19" s="140"/>
    </row>
    <row r="20" spans="1:5" x14ac:dyDescent="0.2">
      <c r="B20" s="136" t="s">
        <v>2054</v>
      </c>
      <c r="D20" s="140">
        <v>1540000</v>
      </c>
      <c r="E20" s="140"/>
    </row>
    <row r="21" spans="1:5" x14ac:dyDescent="0.2">
      <c r="B21" s="136" t="s">
        <v>2049</v>
      </c>
      <c r="D21" s="139">
        <f>3164477+19245.68</f>
        <v>3183723</v>
      </c>
      <c r="E21" s="139">
        <f>SUM(D17:D21)</f>
        <v>7898723</v>
      </c>
    </row>
    <row r="22" spans="1:5" x14ac:dyDescent="0.2">
      <c r="D22" s="140"/>
    </row>
    <row r="23" spans="1:5" x14ac:dyDescent="0.2">
      <c r="A23" s="136" t="s">
        <v>2057</v>
      </c>
      <c r="D23" s="140"/>
      <c r="E23" s="137">
        <f>SUM(E10:E21)</f>
        <v>28248723</v>
      </c>
    </row>
    <row r="24" spans="1:5" x14ac:dyDescent="0.2">
      <c r="D24" s="140"/>
    </row>
    <row r="25" spans="1:5" x14ac:dyDescent="0.2">
      <c r="B25" s="136" t="s">
        <v>2055</v>
      </c>
      <c r="D25" s="140">
        <v>3098192</v>
      </c>
    </row>
    <row r="26" spans="1:5" x14ac:dyDescent="0.2">
      <c r="B26" s="136" t="s">
        <v>2056</v>
      </c>
      <c r="D26" s="139">
        <v>13760430</v>
      </c>
      <c r="E26" s="139">
        <f>SUM(D25:D26)</f>
        <v>16858622</v>
      </c>
    </row>
    <row r="29" spans="1:5" ht="15.75" thickBot="1" x14ac:dyDescent="0.25">
      <c r="A29" s="136" t="s">
        <v>2058</v>
      </c>
      <c r="E29" s="138">
        <f>SUM(E23:E26)</f>
        <v>45107345</v>
      </c>
    </row>
    <row r="30" spans="1:5" ht="15.75" thickTop="1" x14ac:dyDescent="0.2"/>
  </sheetData>
  <mergeCells count="3">
    <mergeCell ref="A1:E1"/>
    <mergeCell ref="A2:E2"/>
    <mergeCell ref="A3:E3"/>
  </mergeCells>
  <printOptions horizontalCentered="1" verticalCentered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P450"/>
  <sheetViews>
    <sheetView topLeftCell="A412" workbookViewId="0">
      <selection activeCell="A350" sqref="A350"/>
    </sheetView>
  </sheetViews>
  <sheetFormatPr defaultColWidth="8.6640625" defaultRowHeight="12.75" x14ac:dyDescent="0.2"/>
  <cols>
    <col min="1" max="1" width="2.77734375" style="27" customWidth="1"/>
    <col min="2" max="2" width="14.77734375" style="27" customWidth="1"/>
    <col min="3" max="3" width="12.77734375" style="71" customWidth="1"/>
    <col min="4" max="4" width="12.77734375" style="72" customWidth="1"/>
    <col min="5" max="5" width="20.77734375" style="27" customWidth="1"/>
    <col min="6" max="6" width="4.77734375" style="27" customWidth="1"/>
    <col min="7" max="8" width="8.77734375" style="27" customWidth="1"/>
    <col min="9" max="14" width="8.6640625" style="27"/>
    <col min="15" max="16" width="12.77734375" style="27" customWidth="1"/>
    <col min="17" max="16384" width="8.6640625" style="27"/>
  </cols>
  <sheetData>
    <row r="1" spans="1:16" x14ac:dyDescent="0.2">
      <c r="A1" s="27" t="s">
        <v>175</v>
      </c>
      <c r="B1" s="323" t="s">
        <v>3239</v>
      </c>
      <c r="D1" s="71">
        <v>46000000</v>
      </c>
      <c r="E1" s="27" t="s">
        <v>176</v>
      </c>
      <c r="F1" s="27" t="s">
        <v>177</v>
      </c>
      <c r="G1" s="38">
        <v>41518</v>
      </c>
      <c r="H1" s="38"/>
      <c r="I1" s="27">
        <v>76</v>
      </c>
      <c r="J1" s="373" t="s">
        <v>3231</v>
      </c>
      <c r="K1" s="27">
        <v>4040</v>
      </c>
      <c r="L1" s="373" t="s">
        <v>2063</v>
      </c>
      <c r="M1" s="27" t="str">
        <f t="shared" ref="M1:M64" si="0">RIGHT(I1,2)&amp;RIGHT(J1,6)&amp;RIGHT(K1,4)&amp;RIGHT(L1,2)</f>
        <v>76050000404001</v>
      </c>
      <c r="P1" s="27">
        <f t="shared" ref="O1:P61" si="1">+D1*100</f>
        <v>4600000000</v>
      </c>
    </row>
    <row r="2" spans="1:16" x14ac:dyDescent="0.2">
      <c r="A2" s="27" t="s">
        <v>175</v>
      </c>
      <c r="B2" s="323" t="s">
        <v>3240</v>
      </c>
      <c r="D2" s="71">
        <v>115464800</v>
      </c>
      <c r="E2" s="27" t="s">
        <v>176</v>
      </c>
      <c r="F2" s="27" t="s">
        <v>177</v>
      </c>
      <c r="G2" s="38">
        <v>41518</v>
      </c>
      <c r="H2" s="38"/>
      <c r="I2" s="27">
        <v>76</v>
      </c>
      <c r="J2" s="373" t="s">
        <v>3231</v>
      </c>
      <c r="K2" s="27">
        <v>4030</v>
      </c>
      <c r="L2" s="373" t="s">
        <v>2063</v>
      </c>
      <c r="M2" s="27" t="str">
        <f t="shared" si="0"/>
        <v>76050000403001</v>
      </c>
      <c r="P2" s="27">
        <f t="shared" si="1"/>
        <v>11546480000</v>
      </c>
    </row>
    <row r="3" spans="1:16" x14ac:dyDescent="0.2">
      <c r="A3" s="27" t="s">
        <v>175</v>
      </c>
      <c r="B3" s="323" t="s">
        <v>3241</v>
      </c>
      <c r="D3" s="71">
        <v>731174400</v>
      </c>
      <c r="E3" s="27" t="s">
        <v>176</v>
      </c>
      <c r="F3" s="27" t="s">
        <v>177</v>
      </c>
      <c r="G3" s="38">
        <v>41518</v>
      </c>
      <c r="H3" s="38"/>
      <c r="I3" s="27">
        <v>12</v>
      </c>
      <c r="J3" s="373" t="s">
        <v>3231</v>
      </c>
      <c r="K3" s="27">
        <v>4010</v>
      </c>
      <c r="L3" s="373" t="s">
        <v>2063</v>
      </c>
      <c r="M3" s="27" t="str">
        <f t="shared" si="0"/>
        <v>12050000401001</v>
      </c>
      <c r="P3" s="27">
        <f t="shared" si="1"/>
        <v>73117440000</v>
      </c>
    </row>
    <row r="4" spans="1:16" x14ac:dyDescent="0.2">
      <c r="A4" s="27" t="s">
        <v>175</v>
      </c>
      <c r="B4" s="325" t="s">
        <v>3242</v>
      </c>
      <c r="C4" s="71">
        <v>90000000</v>
      </c>
      <c r="D4" s="71"/>
      <c r="E4" s="27" t="s">
        <v>176</v>
      </c>
      <c r="F4" s="27" t="s">
        <v>177</v>
      </c>
      <c r="G4" s="38">
        <v>41518</v>
      </c>
      <c r="H4" s="38"/>
      <c r="I4" s="27">
        <v>11</v>
      </c>
      <c r="J4" s="373" t="s">
        <v>3232</v>
      </c>
      <c r="K4" s="27">
        <v>4329</v>
      </c>
      <c r="L4" s="373" t="s">
        <v>2063</v>
      </c>
      <c r="M4" s="27" t="str">
        <f t="shared" si="0"/>
        <v>11052000432901</v>
      </c>
      <c r="O4" s="27">
        <f>+C4*100</f>
        <v>9000000000</v>
      </c>
    </row>
    <row r="5" spans="1:16" x14ac:dyDescent="0.2">
      <c r="A5" s="27" t="s">
        <v>175</v>
      </c>
      <c r="B5" s="323" t="s">
        <v>3243</v>
      </c>
      <c r="D5" s="71">
        <v>850000</v>
      </c>
      <c r="E5" s="27" t="s">
        <v>176</v>
      </c>
      <c r="F5" s="27" t="s">
        <v>177</v>
      </c>
      <c r="G5" s="38">
        <v>41518</v>
      </c>
      <c r="H5" s="38"/>
      <c r="I5" s="27">
        <v>11</v>
      </c>
      <c r="J5" s="373" t="s">
        <v>3232</v>
      </c>
      <c r="K5" s="27">
        <v>4345</v>
      </c>
      <c r="L5" s="373" t="s">
        <v>2063</v>
      </c>
      <c r="M5" s="27" t="str">
        <f t="shared" si="0"/>
        <v>11052000434501</v>
      </c>
      <c r="P5" s="27">
        <f t="shared" si="1"/>
        <v>85000000</v>
      </c>
    </row>
    <row r="6" spans="1:16" x14ac:dyDescent="0.2">
      <c r="A6" s="27" t="s">
        <v>175</v>
      </c>
      <c r="B6" s="323" t="s">
        <v>3244</v>
      </c>
      <c r="D6" s="71">
        <v>1200000</v>
      </c>
      <c r="E6" s="27" t="s">
        <v>176</v>
      </c>
      <c r="F6" s="27" t="s">
        <v>177</v>
      </c>
      <c r="G6" s="38">
        <v>41518</v>
      </c>
      <c r="H6" s="38"/>
      <c r="I6" s="27">
        <v>11</v>
      </c>
      <c r="J6" s="373" t="s">
        <v>3232</v>
      </c>
      <c r="K6" s="27">
        <v>4375</v>
      </c>
      <c r="L6" s="373" t="s">
        <v>2063</v>
      </c>
      <c r="M6" s="27" t="str">
        <f t="shared" si="0"/>
        <v>11052000437501</v>
      </c>
      <c r="P6" s="27">
        <f t="shared" si="1"/>
        <v>120000000</v>
      </c>
    </row>
    <row r="7" spans="1:16" x14ac:dyDescent="0.2">
      <c r="A7" s="27" t="s">
        <v>175</v>
      </c>
      <c r="B7" s="323" t="s">
        <v>3245</v>
      </c>
      <c r="D7" s="71">
        <v>2500000</v>
      </c>
      <c r="E7" s="27" t="s">
        <v>176</v>
      </c>
      <c r="F7" s="27" t="s">
        <v>177</v>
      </c>
      <c r="G7" s="38">
        <v>41518</v>
      </c>
      <c r="H7" s="38"/>
      <c r="I7" s="27">
        <v>11</v>
      </c>
      <c r="J7" s="373" t="s">
        <v>3232</v>
      </c>
      <c r="K7" s="27">
        <v>4370</v>
      </c>
      <c r="L7" s="373" t="s">
        <v>2063</v>
      </c>
      <c r="M7" s="27" t="str">
        <f t="shared" si="0"/>
        <v>11052000437001</v>
      </c>
      <c r="P7" s="27">
        <f t="shared" si="1"/>
        <v>250000000</v>
      </c>
    </row>
    <row r="8" spans="1:16" x14ac:dyDescent="0.2">
      <c r="A8" s="27" t="s">
        <v>175</v>
      </c>
      <c r="B8" s="323" t="s">
        <v>3246</v>
      </c>
      <c r="D8" s="71">
        <v>3060000</v>
      </c>
      <c r="E8" s="27" t="s">
        <v>176</v>
      </c>
      <c r="F8" s="27" t="s">
        <v>177</v>
      </c>
      <c r="G8" s="38">
        <v>41518</v>
      </c>
      <c r="H8" s="38"/>
      <c r="I8" s="27">
        <v>11</v>
      </c>
      <c r="J8" s="373" t="s">
        <v>3232</v>
      </c>
      <c r="K8" s="27">
        <v>4383</v>
      </c>
      <c r="L8" s="373" t="s">
        <v>2063</v>
      </c>
      <c r="M8" s="27" t="str">
        <f t="shared" si="0"/>
        <v>11052000438301</v>
      </c>
      <c r="P8" s="27">
        <f t="shared" si="1"/>
        <v>306000000</v>
      </c>
    </row>
    <row r="9" spans="1:16" x14ac:dyDescent="0.2">
      <c r="A9" s="27" t="s">
        <v>175</v>
      </c>
      <c r="B9" s="323" t="s">
        <v>3247</v>
      </c>
      <c r="D9" s="71">
        <v>12500000</v>
      </c>
      <c r="E9" s="27" t="s">
        <v>176</v>
      </c>
      <c r="F9" s="27" t="s">
        <v>177</v>
      </c>
      <c r="G9" s="38">
        <v>41518</v>
      </c>
      <c r="H9" s="38"/>
      <c r="I9" s="27">
        <v>11</v>
      </c>
      <c r="J9" s="373" t="s">
        <v>3232</v>
      </c>
      <c r="K9" s="27">
        <v>4384</v>
      </c>
      <c r="L9" s="373" t="s">
        <v>2063</v>
      </c>
      <c r="M9" s="27" t="str">
        <f t="shared" si="0"/>
        <v>11052000438401</v>
      </c>
      <c r="P9" s="27">
        <f t="shared" si="1"/>
        <v>1250000000</v>
      </c>
    </row>
    <row r="10" spans="1:16" x14ac:dyDescent="0.2">
      <c r="A10" s="27" t="s">
        <v>175</v>
      </c>
      <c r="B10" s="323" t="s">
        <v>3248</v>
      </c>
      <c r="D10" s="71">
        <v>13000000</v>
      </c>
      <c r="E10" s="27" t="s">
        <v>176</v>
      </c>
      <c r="F10" s="27" t="s">
        <v>177</v>
      </c>
      <c r="G10" s="38">
        <v>41518</v>
      </c>
      <c r="H10" s="38"/>
      <c r="I10" s="27">
        <v>11</v>
      </c>
      <c r="J10" s="373" t="s">
        <v>3232</v>
      </c>
      <c r="K10" s="27">
        <v>4381</v>
      </c>
      <c r="L10" s="373" t="s">
        <v>2063</v>
      </c>
      <c r="M10" s="27" t="str">
        <f t="shared" si="0"/>
        <v>11052000438101</v>
      </c>
      <c r="P10" s="27">
        <f t="shared" si="1"/>
        <v>1300000000</v>
      </c>
    </row>
    <row r="11" spans="1:16" x14ac:dyDescent="0.2">
      <c r="A11" s="27" t="s">
        <v>175</v>
      </c>
      <c r="B11" s="323" t="s">
        <v>3249</v>
      </c>
      <c r="D11" s="71">
        <v>13500000</v>
      </c>
      <c r="E11" s="27" t="s">
        <v>176</v>
      </c>
      <c r="F11" s="27" t="s">
        <v>177</v>
      </c>
      <c r="G11" s="38">
        <v>41518</v>
      </c>
      <c r="H11" s="38"/>
      <c r="I11" s="27">
        <v>11</v>
      </c>
      <c r="J11" s="373" t="s">
        <v>3232</v>
      </c>
      <c r="K11" s="27">
        <v>4365</v>
      </c>
      <c r="L11" s="373" t="s">
        <v>2063</v>
      </c>
      <c r="M11" s="27" t="str">
        <f t="shared" si="0"/>
        <v>11052000436501</v>
      </c>
      <c r="P11" s="27">
        <f t="shared" si="1"/>
        <v>1350000000</v>
      </c>
    </row>
    <row r="12" spans="1:16" x14ac:dyDescent="0.2">
      <c r="A12" s="27" t="s">
        <v>175</v>
      </c>
      <c r="B12" s="323" t="s">
        <v>3250</v>
      </c>
      <c r="D12" s="71">
        <v>35000000</v>
      </c>
      <c r="E12" s="27" t="s">
        <v>176</v>
      </c>
      <c r="F12" s="27" t="s">
        <v>177</v>
      </c>
      <c r="G12" s="38">
        <v>41518</v>
      </c>
      <c r="H12" s="38"/>
      <c r="I12" s="27">
        <v>11</v>
      </c>
      <c r="J12" s="373" t="s">
        <v>3232</v>
      </c>
      <c r="K12" s="27">
        <v>4335</v>
      </c>
      <c r="L12" s="373" t="s">
        <v>2063</v>
      </c>
      <c r="M12" s="27" t="str">
        <f t="shared" si="0"/>
        <v>11052000433501</v>
      </c>
      <c r="P12" s="27">
        <f t="shared" si="1"/>
        <v>3500000000</v>
      </c>
    </row>
    <row r="13" spans="1:16" x14ac:dyDescent="0.2">
      <c r="A13" s="27" t="s">
        <v>175</v>
      </c>
      <c r="B13" s="323" t="s">
        <v>3251</v>
      </c>
      <c r="D13" s="71">
        <v>88000000</v>
      </c>
      <c r="E13" s="27" t="s">
        <v>176</v>
      </c>
      <c r="F13" s="27" t="s">
        <v>177</v>
      </c>
      <c r="G13" s="38">
        <v>41518</v>
      </c>
      <c r="H13" s="38"/>
      <c r="I13" s="27">
        <v>11</v>
      </c>
      <c r="J13" s="373" t="s">
        <v>3232</v>
      </c>
      <c r="K13" s="27">
        <v>4380</v>
      </c>
      <c r="L13" s="373" t="s">
        <v>2063</v>
      </c>
      <c r="M13" s="27" t="str">
        <f t="shared" si="0"/>
        <v>11052000438001</v>
      </c>
      <c r="P13" s="27">
        <f t="shared" si="1"/>
        <v>8800000000</v>
      </c>
    </row>
    <row r="14" spans="1:16" x14ac:dyDescent="0.2">
      <c r="A14" s="27" t="s">
        <v>175</v>
      </c>
      <c r="B14" s="323" t="s">
        <v>3252</v>
      </c>
      <c r="D14" s="71">
        <v>90750000</v>
      </c>
      <c r="E14" s="27" t="s">
        <v>176</v>
      </c>
      <c r="F14" s="27" t="s">
        <v>177</v>
      </c>
      <c r="G14" s="38">
        <v>41518</v>
      </c>
      <c r="H14" s="38"/>
      <c r="I14" s="27">
        <v>11</v>
      </c>
      <c r="J14" s="373" t="s">
        <v>3232</v>
      </c>
      <c r="K14" s="27">
        <v>4330</v>
      </c>
      <c r="L14" s="373" t="s">
        <v>2063</v>
      </c>
      <c r="M14" s="27" t="str">
        <f t="shared" si="0"/>
        <v>11052000433001</v>
      </c>
      <c r="P14" s="27">
        <f t="shared" si="1"/>
        <v>9075000000</v>
      </c>
    </row>
    <row r="15" spans="1:16" x14ac:dyDescent="0.2">
      <c r="A15" s="27" t="s">
        <v>175</v>
      </c>
      <c r="B15" s="323" t="s">
        <v>3253</v>
      </c>
      <c r="D15" s="71">
        <v>141918000</v>
      </c>
      <c r="E15" s="27" t="s">
        <v>176</v>
      </c>
      <c r="F15" s="27" t="s">
        <v>177</v>
      </c>
      <c r="G15" s="38">
        <v>41518</v>
      </c>
      <c r="H15" s="38"/>
      <c r="I15" s="27">
        <v>11</v>
      </c>
      <c r="J15" s="373" t="s">
        <v>3232</v>
      </c>
      <c r="K15" s="27">
        <v>4302</v>
      </c>
      <c r="L15" s="373" t="s">
        <v>2063</v>
      </c>
      <c r="M15" s="27" t="str">
        <f t="shared" si="0"/>
        <v>11052000430201</v>
      </c>
      <c r="P15" s="27">
        <f t="shared" si="1"/>
        <v>14191800000</v>
      </c>
    </row>
    <row r="16" spans="1:16" x14ac:dyDescent="0.2">
      <c r="A16" s="27" t="s">
        <v>175</v>
      </c>
      <c r="B16" s="323" t="s">
        <v>3254</v>
      </c>
      <c r="D16" s="71">
        <v>143000000</v>
      </c>
      <c r="E16" s="27" t="s">
        <v>176</v>
      </c>
      <c r="F16" s="27" t="s">
        <v>177</v>
      </c>
      <c r="G16" s="38">
        <v>41518</v>
      </c>
      <c r="H16" s="38"/>
      <c r="I16" s="27">
        <v>11</v>
      </c>
      <c r="J16" s="373" t="s">
        <v>3232</v>
      </c>
      <c r="K16" s="27">
        <v>4355</v>
      </c>
      <c r="L16" s="373" t="s">
        <v>2063</v>
      </c>
      <c r="M16" s="27" t="str">
        <f t="shared" si="0"/>
        <v>11052000435501</v>
      </c>
      <c r="P16" s="27">
        <f t="shared" si="1"/>
        <v>14300000000</v>
      </c>
    </row>
    <row r="17" spans="1:16" x14ac:dyDescent="0.2">
      <c r="A17" s="27" t="s">
        <v>175</v>
      </c>
      <c r="B17" s="323" t="s">
        <v>3255</v>
      </c>
      <c r="D17" s="71">
        <v>419760000</v>
      </c>
      <c r="E17" s="27" t="s">
        <v>176</v>
      </c>
      <c r="F17" s="27" t="s">
        <v>177</v>
      </c>
      <c r="G17" s="38">
        <v>41518</v>
      </c>
      <c r="H17" s="38"/>
      <c r="I17" s="27">
        <v>11</v>
      </c>
      <c r="J17" s="373" t="s">
        <v>3232</v>
      </c>
      <c r="K17" s="27">
        <v>4350</v>
      </c>
      <c r="L17" s="373" t="s">
        <v>2063</v>
      </c>
      <c r="M17" s="27" t="str">
        <f t="shared" si="0"/>
        <v>11052000435001</v>
      </c>
      <c r="P17" s="27">
        <f t="shared" si="1"/>
        <v>41976000000</v>
      </c>
    </row>
    <row r="18" spans="1:16" x14ac:dyDescent="0.2">
      <c r="A18" s="27" t="s">
        <v>175</v>
      </c>
      <c r="B18" s="323" t="s">
        <v>3256</v>
      </c>
      <c r="D18" s="71">
        <v>654390000</v>
      </c>
      <c r="E18" s="27" t="s">
        <v>176</v>
      </c>
      <c r="F18" s="27" t="s">
        <v>177</v>
      </c>
      <c r="G18" s="38">
        <v>41518</v>
      </c>
      <c r="H18" s="38"/>
      <c r="I18" s="27">
        <v>11</v>
      </c>
      <c r="J18" s="373" t="s">
        <v>3232</v>
      </c>
      <c r="K18" s="27">
        <v>4300</v>
      </c>
      <c r="L18" s="373" t="s">
        <v>2063</v>
      </c>
      <c r="M18" s="27" t="str">
        <f t="shared" si="0"/>
        <v>11052000430001</v>
      </c>
      <c r="P18" s="27">
        <f t="shared" si="1"/>
        <v>65439000000</v>
      </c>
    </row>
    <row r="19" spans="1:16" x14ac:dyDescent="0.2">
      <c r="A19" s="27" t="s">
        <v>175</v>
      </c>
      <c r="B19" s="323" t="s">
        <v>3257</v>
      </c>
      <c r="D19" s="71">
        <v>3500000</v>
      </c>
      <c r="E19" s="27" t="s">
        <v>176</v>
      </c>
      <c r="F19" s="27" t="s">
        <v>177</v>
      </c>
      <c r="G19" s="38">
        <v>41518</v>
      </c>
      <c r="H19" s="38"/>
      <c r="I19" s="27">
        <v>11</v>
      </c>
      <c r="J19" s="373" t="s">
        <v>3230</v>
      </c>
      <c r="K19" s="27">
        <v>4391</v>
      </c>
      <c r="L19" s="373" t="s">
        <v>3229</v>
      </c>
      <c r="M19" s="27" t="str">
        <f t="shared" si="0"/>
        <v>11053000439190</v>
      </c>
      <c r="P19" s="27">
        <f t="shared" si="1"/>
        <v>350000000</v>
      </c>
    </row>
    <row r="20" spans="1:16" x14ac:dyDescent="0.2">
      <c r="A20" s="27" t="s">
        <v>175</v>
      </c>
      <c r="B20" s="323" t="s">
        <v>3258</v>
      </c>
      <c r="D20" s="71">
        <v>162000000</v>
      </c>
      <c r="E20" s="27" t="s">
        <v>176</v>
      </c>
      <c r="F20" s="27" t="s">
        <v>177</v>
      </c>
      <c r="G20" s="38">
        <v>41518</v>
      </c>
      <c r="H20" s="38"/>
      <c r="I20" s="27">
        <v>11</v>
      </c>
      <c r="J20" s="373" t="s">
        <v>3230</v>
      </c>
      <c r="K20" s="27">
        <v>4390</v>
      </c>
      <c r="L20" s="373" t="s">
        <v>3229</v>
      </c>
      <c r="M20" s="27" t="str">
        <f t="shared" si="0"/>
        <v>11053000439090</v>
      </c>
      <c r="P20" s="27">
        <f t="shared" si="1"/>
        <v>16200000000</v>
      </c>
    </row>
    <row r="21" spans="1:16" x14ac:dyDescent="0.2">
      <c r="A21" s="27" t="s">
        <v>175</v>
      </c>
      <c r="B21" s="323" t="s">
        <v>3259</v>
      </c>
      <c r="D21" s="71">
        <v>700000</v>
      </c>
      <c r="E21" s="27" t="s">
        <v>176</v>
      </c>
      <c r="F21" s="27" t="s">
        <v>177</v>
      </c>
      <c r="G21" s="38">
        <v>41518</v>
      </c>
      <c r="H21" s="38"/>
      <c r="I21" s="27">
        <v>11</v>
      </c>
      <c r="J21" s="373" t="s">
        <v>3230</v>
      </c>
      <c r="K21" s="27">
        <v>4391</v>
      </c>
      <c r="L21" s="373" t="s">
        <v>3225</v>
      </c>
      <c r="M21" s="27" t="str">
        <f t="shared" si="0"/>
        <v>11053000439191</v>
      </c>
      <c r="P21" s="27">
        <f t="shared" si="1"/>
        <v>70000000</v>
      </c>
    </row>
    <row r="22" spans="1:16" x14ac:dyDescent="0.2">
      <c r="A22" s="27" t="s">
        <v>175</v>
      </c>
      <c r="B22" s="323" t="s">
        <v>3260</v>
      </c>
      <c r="D22" s="71">
        <v>42500000</v>
      </c>
      <c r="E22" s="27" t="s">
        <v>176</v>
      </c>
      <c r="F22" s="27" t="s">
        <v>177</v>
      </c>
      <c r="G22" s="38">
        <v>41518</v>
      </c>
      <c r="H22" s="38"/>
      <c r="I22" s="27">
        <v>11</v>
      </c>
      <c r="J22" s="373" t="s">
        <v>3230</v>
      </c>
      <c r="K22" s="27">
        <v>4390</v>
      </c>
      <c r="L22" s="373" t="s">
        <v>3225</v>
      </c>
      <c r="M22" s="27" t="str">
        <f t="shared" si="0"/>
        <v>11053000439091</v>
      </c>
      <c r="P22" s="27">
        <f t="shared" si="1"/>
        <v>4250000000</v>
      </c>
    </row>
    <row r="23" spans="1:16" x14ac:dyDescent="0.2">
      <c r="A23" s="27" t="s">
        <v>175</v>
      </c>
      <c r="B23" s="323" t="s">
        <v>3261</v>
      </c>
      <c r="D23" s="71">
        <v>1200000</v>
      </c>
      <c r="E23" s="27" t="s">
        <v>176</v>
      </c>
      <c r="F23" s="27" t="s">
        <v>177</v>
      </c>
      <c r="G23" s="38">
        <v>41518</v>
      </c>
      <c r="H23" s="38"/>
      <c r="I23" s="27">
        <v>11</v>
      </c>
      <c r="J23" s="373" t="s">
        <v>3230</v>
      </c>
      <c r="K23" s="27">
        <v>4391</v>
      </c>
      <c r="L23" s="373" t="s">
        <v>3226</v>
      </c>
      <c r="M23" s="27" t="str">
        <f t="shared" si="0"/>
        <v>11053000439192</v>
      </c>
      <c r="P23" s="27">
        <f t="shared" si="1"/>
        <v>120000000</v>
      </c>
    </row>
    <row r="24" spans="1:16" x14ac:dyDescent="0.2">
      <c r="A24" s="27" t="s">
        <v>175</v>
      </c>
      <c r="B24" s="323" t="s">
        <v>3262</v>
      </c>
      <c r="D24" s="71">
        <v>42200000</v>
      </c>
      <c r="E24" s="27" t="s">
        <v>176</v>
      </c>
      <c r="F24" s="27" t="s">
        <v>177</v>
      </c>
      <c r="G24" s="38">
        <v>41518</v>
      </c>
      <c r="H24" s="38"/>
      <c r="I24" s="27">
        <v>11</v>
      </c>
      <c r="J24" s="373" t="s">
        <v>3230</v>
      </c>
      <c r="K24" s="27">
        <v>4390</v>
      </c>
      <c r="L24" s="373" t="s">
        <v>3226</v>
      </c>
      <c r="M24" s="27" t="str">
        <f t="shared" si="0"/>
        <v>11053000439092</v>
      </c>
      <c r="P24" s="27">
        <f t="shared" si="1"/>
        <v>4220000000</v>
      </c>
    </row>
    <row r="25" spans="1:16" x14ac:dyDescent="0.2">
      <c r="A25" s="27" t="s">
        <v>175</v>
      </c>
      <c r="B25" s="323" t="s">
        <v>3263</v>
      </c>
      <c r="D25" s="71">
        <v>900000</v>
      </c>
      <c r="E25" s="27" t="s">
        <v>176</v>
      </c>
      <c r="F25" s="27" t="s">
        <v>177</v>
      </c>
      <c r="G25" s="38">
        <v>41518</v>
      </c>
      <c r="H25" s="38"/>
      <c r="I25" s="27">
        <v>11</v>
      </c>
      <c r="J25" s="373" t="s">
        <v>3233</v>
      </c>
      <c r="K25" s="27">
        <v>4450</v>
      </c>
      <c r="L25" s="373" t="s">
        <v>2063</v>
      </c>
      <c r="M25" s="27" t="str">
        <f t="shared" si="0"/>
        <v>11056000445001</v>
      </c>
      <c r="P25" s="27">
        <f t="shared" si="1"/>
        <v>90000000</v>
      </c>
    </row>
    <row r="26" spans="1:16" x14ac:dyDescent="0.2">
      <c r="A26" s="27" t="s">
        <v>175</v>
      </c>
      <c r="B26" s="323" t="s">
        <v>3264</v>
      </c>
      <c r="D26" s="71">
        <v>1200000</v>
      </c>
      <c r="E26" s="27" t="s">
        <v>176</v>
      </c>
      <c r="F26" s="27" t="s">
        <v>177</v>
      </c>
      <c r="G26" s="38">
        <v>41518</v>
      </c>
      <c r="H26" s="38"/>
      <c r="I26" s="27">
        <v>11</v>
      </c>
      <c r="J26" s="373" t="s">
        <v>3233</v>
      </c>
      <c r="K26" s="27">
        <v>4451</v>
      </c>
      <c r="L26" s="373" t="s">
        <v>2063</v>
      </c>
      <c r="M26" s="27" t="str">
        <f t="shared" si="0"/>
        <v>11056000445101</v>
      </c>
      <c r="P26" s="27">
        <f t="shared" si="1"/>
        <v>120000000</v>
      </c>
    </row>
    <row r="27" spans="1:16" x14ac:dyDescent="0.2">
      <c r="A27" s="27" t="s">
        <v>175</v>
      </c>
      <c r="B27" s="323" t="s">
        <v>3265</v>
      </c>
      <c r="D27" s="71">
        <v>1500000</v>
      </c>
      <c r="E27" s="27" t="s">
        <v>176</v>
      </c>
      <c r="F27" s="27" t="s">
        <v>177</v>
      </c>
      <c r="G27" s="38">
        <v>41518</v>
      </c>
      <c r="H27" s="38"/>
      <c r="I27" s="27">
        <v>11</v>
      </c>
      <c r="J27" s="373" t="s">
        <v>3234</v>
      </c>
      <c r="K27" s="27">
        <v>4510</v>
      </c>
      <c r="L27" s="373" t="s">
        <v>2063</v>
      </c>
      <c r="M27" s="27" t="str">
        <f t="shared" si="0"/>
        <v>11059000451001</v>
      </c>
      <c r="P27" s="27">
        <f t="shared" si="1"/>
        <v>150000000</v>
      </c>
    </row>
    <row r="28" spans="1:16" x14ac:dyDescent="0.2">
      <c r="A28" s="27" t="s">
        <v>175</v>
      </c>
      <c r="B28" s="323" t="s">
        <v>3653</v>
      </c>
      <c r="D28" s="71">
        <v>2100000</v>
      </c>
      <c r="E28" s="27" t="s">
        <v>176</v>
      </c>
      <c r="F28" s="27" t="s">
        <v>177</v>
      </c>
      <c r="G28" s="38">
        <v>41518</v>
      </c>
      <c r="H28" s="38"/>
      <c r="I28" s="27">
        <v>11</v>
      </c>
      <c r="J28" s="373" t="s">
        <v>3234</v>
      </c>
      <c r="K28" s="27">
        <v>4535</v>
      </c>
      <c r="L28" s="373" t="s">
        <v>2063</v>
      </c>
      <c r="M28" s="27" t="str">
        <f t="shared" si="0"/>
        <v>11059000453501</v>
      </c>
      <c r="P28" s="27">
        <f t="shared" si="1"/>
        <v>210000000</v>
      </c>
    </row>
    <row r="29" spans="1:16" x14ac:dyDescent="0.2">
      <c r="A29" s="27" t="s">
        <v>175</v>
      </c>
      <c r="B29" s="323" t="s">
        <v>3654</v>
      </c>
      <c r="D29" s="71">
        <v>2500000</v>
      </c>
      <c r="E29" s="27" t="s">
        <v>176</v>
      </c>
      <c r="F29" s="27" t="s">
        <v>177</v>
      </c>
      <c r="G29" s="38">
        <v>41518</v>
      </c>
      <c r="H29" s="38"/>
      <c r="I29" s="27">
        <v>11</v>
      </c>
      <c r="J29" s="373" t="s">
        <v>3234</v>
      </c>
      <c r="K29" s="27">
        <v>4530</v>
      </c>
      <c r="L29" s="373" t="s">
        <v>2063</v>
      </c>
      <c r="M29" s="27" t="str">
        <f t="shared" si="0"/>
        <v>11059000453001</v>
      </c>
      <c r="P29" s="27">
        <f t="shared" si="1"/>
        <v>250000000</v>
      </c>
    </row>
    <row r="30" spans="1:16" x14ac:dyDescent="0.2">
      <c r="A30" s="27" t="s">
        <v>175</v>
      </c>
      <c r="B30" s="323" t="s">
        <v>3655</v>
      </c>
      <c r="D30" s="71">
        <v>2600000</v>
      </c>
      <c r="E30" s="27" t="s">
        <v>176</v>
      </c>
      <c r="F30" s="27" t="s">
        <v>177</v>
      </c>
      <c r="G30" s="38">
        <v>41518</v>
      </c>
      <c r="H30" s="38"/>
      <c r="I30" s="27">
        <v>11</v>
      </c>
      <c r="J30" s="373" t="s">
        <v>3234</v>
      </c>
      <c r="K30" s="27">
        <v>4520</v>
      </c>
      <c r="L30" s="373" t="s">
        <v>2063</v>
      </c>
      <c r="M30" s="27" t="str">
        <f t="shared" si="0"/>
        <v>11059000452001</v>
      </c>
      <c r="P30" s="27">
        <f t="shared" si="1"/>
        <v>260000000</v>
      </c>
    </row>
    <row r="31" spans="1:16" x14ac:dyDescent="0.2">
      <c r="A31" s="27" t="s">
        <v>175</v>
      </c>
      <c r="B31" s="323" t="s">
        <v>3656</v>
      </c>
      <c r="D31" s="71">
        <v>3000000</v>
      </c>
      <c r="E31" s="27" t="s">
        <v>176</v>
      </c>
      <c r="F31" s="27" t="s">
        <v>177</v>
      </c>
      <c r="G31" s="38">
        <v>41518</v>
      </c>
      <c r="H31" s="38"/>
      <c r="I31" s="27">
        <v>11</v>
      </c>
      <c r="J31" s="373" t="s">
        <v>3234</v>
      </c>
      <c r="K31" s="27">
        <v>4542</v>
      </c>
      <c r="L31" s="373" t="s">
        <v>2063</v>
      </c>
      <c r="M31" s="27" t="str">
        <f t="shared" si="0"/>
        <v>11059000454201</v>
      </c>
      <c r="P31" s="27">
        <f t="shared" si="1"/>
        <v>300000000</v>
      </c>
    </row>
    <row r="32" spans="1:16" x14ac:dyDescent="0.2">
      <c r="A32" s="27" t="s">
        <v>175</v>
      </c>
      <c r="B32" s="323" t="s">
        <v>3657</v>
      </c>
      <c r="D32" s="71">
        <v>8200000</v>
      </c>
      <c r="E32" s="27" t="s">
        <v>176</v>
      </c>
      <c r="F32" s="27" t="s">
        <v>177</v>
      </c>
      <c r="G32" s="38">
        <v>41518</v>
      </c>
      <c r="H32" s="38"/>
      <c r="I32" s="27">
        <v>11</v>
      </c>
      <c r="J32" s="373" t="s">
        <v>3234</v>
      </c>
      <c r="K32" s="27">
        <v>4599</v>
      </c>
      <c r="L32" s="373" t="s">
        <v>2063</v>
      </c>
      <c r="M32" s="27" t="str">
        <f t="shared" si="0"/>
        <v>11059000459901</v>
      </c>
      <c r="P32" s="27">
        <f t="shared" si="1"/>
        <v>820000000</v>
      </c>
    </row>
    <row r="33" spans="1:16" x14ac:dyDescent="0.2">
      <c r="A33" s="27" t="s">
        <v>175</v>
      </c>
      <c r="B33" s="323" t="s">
        <v>3658</v>
      </c>
      <c r="D33" s="71">
        <v>14000000</v>
      </c>
      <c r="E33" s="27" t="s">
        <v>176</v>
      </c>
      <c r="F33" s="27" t="s">
        <v>177</v>
      </c>
      <c r="G33" s="38">
        <v>41518</v>
      </c>
      <c r="H33" s="38"/>
      <c r="I33" s="27">
        <v>11</v>
      </c>
      <c r="J33" s="373" t="s">
        <v>3234</v>
      </c>
      <c r="K33" s="27">
        <v>4299</v>
      </c>
      <c r="L33" s="373" t="s">
        <v>2063</v>
      </c>
      <c r="M33" s="27" t="str">
        <f t="shared" si="0"/>
        <v>11059000429901</v>
      </c>
      <c r="P33" s="27">
        <f t="shared" si="1"/>
        <v>1400000000</v>
      </c>
    </row>
    <row r="34" spans="1:16" x14ac:dyDescent="0.2">
      <c r="A34" s="27" t="s">
        <v>175</v>
      </c>
      <c r="B34" s="323" t="s">
        <v>3659</v>
      </c>
      <c r="D34" s="71">
        <v>14000000</v>
      </c>
      <c r="E34" s="27" t="s">
        <v>176</v>
      </c>
      <c r="F34" s="27" t="s">
        <v>177</v>
      </c>
      <c r="G34" s="38">
        <v>41518</v>
      </c>
      <c r="H34" s="38"/>
      <c r="I34" s="27">
        <v>11</v>
      </c>
      <c r="J34" s="373" t="s">
        <v>3234</v>
      </c>
      <c r="K34" s="27">
        <v>4536</v>
      </c>
      <c r="L34" s="373" t="s">
        <v>2063</v>
      </c>
      <c r="M34" s="27" t="str">
        <f t="shared" si="0"/>
        <v>11059000453601</v>
      </c>
      <c r="P34" s="27">
        <f t="shared" si="1"/>
        <v>1400000000</v>
      </c>
    </row>
    <row r="35" spans="1:16" x14ac:dyDescent="0.2">
      <c r="A35" s="27" t="s">
        <v>175</v>
      </c>
      <c r="B35" s="323" t="s">
        <v>3660</v>
      </c>
      <c r="D35" s="71">
        <v>14220000</v>
      </c>
      <c r="E35" s="27" t="s">
        <v>176</v>
      </c>
      <c r="F35" s="27" t="s">
        <v>177</v>
      </c>
      <c r="G35" s="38">
        <v>41518</v>
      </c>
      <c r="H35" s="38"/>
      <c r="I35" s="27">
        <v>11</v>
      </c>
      <c r="J35" s="373" t="s">
        <v>3234</v>
      </c>
      <c r="K35" s="27">
        <v>4501</v>
      </c>
      <c r="L35" s="373" t="s">
        <v>2063</v>
      </c>
      <c r="M35" s="27" t="str">
        <f t="shared" si="0"/>
        <v>11059000450101</v>
      </c>
      <c r="P35" s="27">
        <f t="shared" si="1"/>
        <v>1422000000</v>
      </c>
    </row>
    <row r="36" spans="1:16" x14ac:dyDescent="0.2">
      <c r="A36" s="27" t="s">
        <v>175</v>
      </c>
      <c r="B36" s="323" t="s">
        <v>3661</v>
      </c>
      <c r="D36" s="71">
        <v>127027200</v>
      </c>
      <c r="E36" s="27" t="s">
        <v>176</v>
      </c>
      <c r="F36" s="27" t="s">
        <v>177</v>
      </c>
      <c r="G36" s="38">
        <v>41518</v>
      </c>
      <c r="H36" s="38"/>
      <c r="I36" s="27">
        <v>11</v>
      </c>
      <c r="J36" s="373" t="s">
        <v>3234</v>
      </c>
      <c r="K36" s="27">
        <v>4500</v>
      </c>
      <c r="L36" s="373" t="s">
        <v>2063</v>
      </c>
      <c r="M36" s="27" t="str">
        <f t="shared" si="0"/>
        <v>11059000450001</v>
      </c>
      <c r="P36" s="27">
        <f t="shared" si="1"/>
        <v>12702720000</v>
      </c>
    </row>
    <row r="37" spans="1:16" x14ac:dyDescent="0.2">
      <c r="A37" s="27" t="s">
        <v>175</v>
      </c>
      <c r="B37" s="323" t="s">
        <v>3266</v>
      </c>
      <c r="D37" s="71">
        <v>200000</v>
      </c>
      <c r="E37" s="27" t="s">
        <v>176</v>
      </c>
      <c r="F37" s="27" t="s">
        <v>177</v>
      </c>
      <c r="G37" s="38">
        <v>41518</v>
      </c>
      <c r="H37" s="38"/>
      <c r="I37" s="27">
        <v>40</v>
      </c>
      <c r="J37" s="373" t="s">
        <v>3235</v>
      </c>
      <c r="K37" s="27">
        <v>4510</v>
      </c>
      <c r="L37" s="373" t="s">
        <v>2063</v>
      </c>
      <c r="M37" s="27" t="str">
        <f t="shared" si="0"/>
        <v>40060000451001</v>
      </c>
      <c r="P37" s="27">
        <f t="shared" si="1"/>
        <v>20000000</v>
      </c>
    </row>
    <row r="38" spans="1:16" x14ac:dyDescent="0.2">
      <c r="A38" s="27" t="s">
        <v>175</v>
      </c>
      <c r="B38" s="323" t="s">
        <v>3662</v>
      </c>
      <c r="D38" s="71">
        <v>250000</v>
      </c>
      <c r="E38" s="27" t="s">
        <v>176</v>
      </c>
      <c r="F38" s="27" t="s">
        <v>177</v>
      </c>
      <c r="G38" s="38">
        <v>41518</v>
      </c>
      <c r="H38" s="38"/>
      <c r="I38" s="27">
        <v>40</v>
      </c>
      <c r="J38" s="373" t="s">
        <v>3235</v>
      </c>
      <c r="K38" s="27">
        <v>4758</v>
      </c>
      <c r="L38" s="373" t="s">
        <v>2063</v>
      </c>
      <c r="M38" s="27" t="str">
        <f t="shared" si="0"/>
        <v>40060000475801</v>
      </c>
      <c r="P38" s="27">
        <f t="shared" si="1"/>
        <v>25000000</v>
      </c>
    </row>
    <row r="39" spans="1:16" x14ac:dyDescent="0.2">
      <c r="A39" s="27" t="s">
        <v>175</v>
      </c>
      <c r="B39" s="323" t="s">
        <v>3663</v>
      </c>
      <c r="D39" s="71">
        <v>500000</v>
      </c>
      <c r="E39" s="27" t="s">
        <v>176</v>
      </c>
      <c r="F39" s="27" t="s">
        <v>177</v>
      </c>
      <c r="G39" s="38">
        <v>41518</v>
      </c>
      <c r="H39" s="38"/>
      <c r="I39" s="27">
        <v>40</v>
      </c>
      <c r="J39" s="373" t="s">
        <v>3235</v>
      </c>
      <c r="K39" s="27">
        <v>4799</v>
      </c>
      <c r="L39" s="373" t="s">
        <v>2063</v>
      </c>
      <c r="M39" s="27" t="str">
        <f t="shared" si="0"/>
        <v>40060000479901</v>
      </c>
      <c r="P39" s="27">
        <f t="shared" si="1"/>
        <v>50000000</v>
      </c>
    </row>
    <row r="40" spans="1:16" x14ac:dyDescent="0.2">
      <c r="A40" s="27" t="s">
        <v>175</v>
      </c>
      <c r="B40" s="323" t="s">
        <v>3664</v>
      </c>
      <c r="D40" s="71">
        <v>2000000</v>
      </c>
      <c r="E40" s="27" t="s">
        <v>176</v>
      </c>
      <c r="F40" s="27" t="s">
        <v>177</v>
      </c>
      <c r="G40" s="38">
        <v>41518</v>
      </c>
      <c r="H40" s="38"/>
      <c r="I40" s="27">
        <v>40</v>
      </c>
      <c r="J40" s="373" t="s">
        <v>3235</v>
      </c>
      <c r="K40" s="27">
        <v>4740</v>
      </c>
      <c r="L40" s="373" t="s">
        <v>2063</v>
      </c>
      <c r="M40" s="27" t="str">
        <f t="shared" si="0"/>
        <v>40060000474001</v>
      </c>
      <c r="P40" s="27">
        <f t="shared" si="1"/>
        <v>200000000</v>
      </c>
    </row>
    <row r="41" spans="1:16" x14ac:dyDescent="0.2">
      <c r="A41" s="27" t="s">
        <v>175</v>
      </c>
      <c r="B41" s="323" t="s">
        <v>3665</v>
      </c>
      <c r="D41" s="71">
        <v>5000000</v>
      </c>
      <c r="E41" s="27" t="s">
        <v>176</v>
      </c>
      <c r="F41" s="27" t="s">
        <v>177</v>
      </c>
      <c r="G41" s="38">
        <v>41518</v>
      </c>
      <c r="H41" s="38"/>
      <c r="I41" s="27">
        <v>40</v>
      </c>
      <c r="J41" s="373" t="s">
        <v>3235</v>
      </c>
      <c r="K41" s="27">
        <v>4771</v>
      </c>
      <c r="L41" s="373" t="s">
        <v>2063</v>
      </c>
      <c r="M41" s="27" t="str">
        <f t="shared" si="0"/>
        <v>40060000477101</v>
      </c>
      <c r="P41" s="27">
        <f t="shared" si="1"/>
        <v>500000000</v>
      </c>
    </row>
    <row r="42" spans="1:16" x14ac:dyDescent="0.2">
      <c r="A42" s="27" t="s">
        <v>175</v>
      </c>
      <c r="B42" s="323" t="s">
        <v>3666</v>
      </c>
      <c r="D42" s="374">
        <v>8000000</v>
      </c>
      <c r="E42" s="27" t="s">
        <v>176</v>
      </c>
      <c r="F42" s="27" t="s">
        <v>177</v>
      </c>
      <c r="G42" s="38">
        <v>41518</v>
      </c>
      <c r="H42" s="38"/>
      <c r="I42" s="27">
        <v>40</v>
      </c>
      <c r="J42" s="373" t="s">
        <v>3235</v>
      </c>
      <c r="K42" s="27">
        <v>4745</v>
      </c>
      <c r="L42" s="373" t="s">
        <v>2063</v>
      </c>
      <c r="M42" s="27" t="str">
        <f t="shared" si="0"/>
        <v>40060000474501</v>
      </c>
      <c r="P42" s="27">
        <f t="shared" si="1"/>
        <v>800000000</v>
      </c>
    </row>
    <row r="43" spans="1:16" x14ac:dyDescent="0.2">
      <c r="A43" s="27" t="s">
        <v>175</v>
      </c>
      <c r="B43" s="323" t="s">
        <v>3667</v>
      </c>
      <c r="D43" s="71">
        <v>10000000</v>
      </c>
      <c r="E43" s="27" t="s">
        <v>176</v>
      </c>
      <c r="F43" s="27" t="s">
        <v>177</v>
      </c>
      <c r="G43" s="38">
        <v>41518</v>
      </c>
      <c r="H43" s="38"/>
      <c r="I43" s="27">
        <v>40</v>
      </c>
      <c r="J43" s="373" t="s">
        <v>3235</v>
      </c>
      <c r="K43" s="27">
        <v>4757</v>
      </c>
      <c r="L43" s="373" t="s">
        <v>2063</v>
      </c>
      <c r="M43" s="27" t="str">
        <f t="shared" si="0"/>
        <v>40060000475701</v>
      </c>
      <c r="P43" s="27">
        <f t="shared" si="1"/>
        <v>1000000000</v>
      </c>
    </row>
    <row r="44" spans="1:16" x14ac:dyDescent="0.2">
      <c r="A44" s="27" t="s">
        <v>175</v>
      </c>
      <c r="B44" s="323" t="s">
        <v>3668</v>
      </c>
      <c r="D44" s="71">
        <v>10000000</v>
      </c>
      <c r="E44" s="27" t="s">
        <v>176</v>
      </c>
      <c r="F44" s="27" t="s">
        <v>177</v>
      </c>
      <c r="G44" s="38">
        <v>41518</v>
      </c>
      <c r="H44" s="38"/>
      <c r="I44" s="27">
        <v>40</v>
      </c>
      <c r="J44" s="373" t="s">
        <v>3235</v>
      </c>
      <c r="K44" s="27">
        <v>4775</v>
      </c>
      <c r="L44" s="373" t="s">
        <v>2063</v>
      </c>
      <c r="M44" s="27" t="str">
        <f t="shared" si="0"/>
        <v>40060000477501</v>
      </c>
      <c r="P44" s="27">
        <f t="shared" si="1"/>
        <v>1000000000</v>
      </c>
    </row>
    <row r="45" spans="1:16" x14ac:dyDescent="0.2">
      <c r="A45" s="27" t="s">
        <v>175</v>
      </c>
      <c r="B45" s="323" t="s">
        <v>3669</v>
      </c>
      <c r="D45" s="71">
        <v>33000000</v>
      </c>
      <c r="E45" s="27" t="s">
        <v>176</v>
      </c>
      <c r="F45" s="27" t="s">
        <v>177</v>
      </c>
      <c r="G45" s="38">
        <v>41518</v>
      </c>
      <c r="H45" s="38"/>
      <c r="I45" s="27">
        <v>40</v>
      </c>
      <c r="J45" s="373" t="s">
        <v>3235</v>
      </c>
      <c r="K45" s="27">
        <v>4770</v>
      </c>
      <c r="L45" s="373" t="s">
        <v>2063</v>
      </c>
      <c r="M45" s="27" t="str">
        <f t="shared" si="0"/>
        <v>40060000477001</v>
      </c>
      <c r="P45" s="27">
        <f t="shared" si="1"/>
        <v>3300000000</v>
      </c>
    </row>
    <row r="46" spans="1:16" x14ac:dyDescent="0.2">
      <c r="A46" s="27" t="s">
        <v>175</v>
      </c>
      <c r="B46" s="323" t="s">
        <v>3670</v>
      </c>
      <c r="D46" s="71">
        <v>44500000</v>
      </c>
      <c r="E46" s="27" t="s">
        <v>176</v>
      </c>
      <c r="F46" s="27" t="s">
        <v>177</v>
      </c>
      <c r="G46" s="38">
        <v>41518</v>
      </c>
      <c r="H46" s="38"/>
      <c r="I46" s="27">
        <v>40</v>
      </c>
      <c r="J46" s="373" t="s">
        <v>3235</v>
      </c>
      <c r="K46" s="27">
        <v>4756</v>
      </c>
      <c r="L46" s="373" t="s">
        <v>2063</v>
      </c>
      <c r="M46" s="27" t="str">
        <f t="shared" si="0"/>
        <v>40060000475601</v>
      </c>
      <c r="P46" s="27">
        <f t="shared" si="1"/>
        <v>4450000000</v>
      </c>
    </row>
    <row r="47" spans="1:16" x14ac:dyDescent="0.2">
      <c r="A47" s="27" t="s">
        <v>175</v>
      </c>
      <c r="B47" s="323" t="s">
        <v>3267</v>
      </c>
      <c r="D47" s="71">
        <v>3220500</v>
      </c>
      <c r="E47" s="27" t="s">
        <v>176</v>
      </c>
      <c r="F47" s="27" t="s">
        <v>177</v>
      </c>
      <c r="G47" s="38">
        <v>41518</v>
      </c>
      <c r="H47" s="38"/>
      <c r="I47" s="27">
        <v>76</v>
      </c>
      <c r="J47" s="373" t="s">
        <v>3236</v>
      </c>
      <c r="K47" s="27">
        <v>4148</v>
      </c>
      <c r="L47" s="373" t="s">
        <v>2063</v>
      </c>
      <c r="M47" s="27" t="str">
        <f t="shared" si="0"/>
        <v>76074000414801</v>
      </c>
      <c r="P47" s="27">
        <f t="shared" si="1"/>
        <v>322050000</v>
      </c>
    </row>
    <row r="48" spans="1:16" x14ac:dyDescent="0.2">
      <c r="A48" s="27" t="s">
        <v>175</v>
      </c>
      <c r="B48" s="323" t="s">
        <v>3671</v>
      </c>
      <c r="D48" s="71">
        <v>3388100</v>
      </c>
      <c r="E48" s="27" t="s">
        <v>176</v>
      </c>
      <c r="F48" s="27" t="s">
        <v>177</v>
      </c>
      <c r="G48" s="38">
        <v>41518</v>
      </c>
      <c r="H48" s="38"/>
      <c r="I48" s="27">
        <v>73</v>
      </c>
      <c r="J48" s="373" t="s">
        <v>3236</v>
      </c>
      <c r="K48" s="27">
        <v>4640</v>
      </c>
      <c r="L48" s="373" t="s">
        <v>2063</v>
      </c>
      <c r="M48" s="27" t="str">
        <f t="shared" si="0"/>
        <v>73074000464001</v>
      </c>
      <c r="P48" s="27">
        <f t="shared" si="1"/>
        <v>338810000</v>
      </c>
    </row>
    <row r="49" spans="1:16" x14ac:dyDescent="0.2">
      <c r="A49" s="27" t="s">
        <v>175</v>
      </c>
      <c r="B49" s="323" t="s">
        <v>3672</v>
      </c>
      <c r="D49" s="71">
        <v>12260200</v>
      </c>
      <c r="E49" s="27" t="s">
        <v>176</v>
      </c>
      <c r="F49" s="27" t="s">
        <v>177</v>
      </c>
      <c r="G49" s="38">
        <v>41518</v>
      </c>
      <c r="H49" s="38"/>
      <c r="I49" s="27">
        <v>76</v>
      </c>
      <c r="J49" s="373" t="s">
        <v>3236</v>
      </c>
      <c r="K49" s="27">
        <v>4141</v>
      </c>
      <c r="L49" s="373" t="s">
        <v>2063</v>
      </c>
      <c r="M49" s="27" t="str">
        <f t="shared" si="0"/>
        <v>76074000414101</v>
      </c>
      <c r="P49" s="27">
        <f t="shared" si="1"/>
        <v>1226020000</v>
      </c>
    </row>
    <row r="50" spans="1:16" x14ac:dyDescent="0.2">
      <c r="A50" s="27" t="s">
        <v>175</v>
      </c>
      <c r="B50" s="323" t="s">
        <v>3673</v>
      </c>
      <c r="D50" s="71">
        <v>13691300</v>
      </c>
      <c r="E50" s="27" t="s">
        <v>176</v>
      </c>
      <c r="F50" s="27" t="s">
        <v>177</v>
      </c>
      <c r="G50" s="38">
        <v>41518</v>
      </c>
      <c r="H50" s="38"/>
      <c r="I50" s="27">
        <v>73</v>
      </c>
      <c r="J50" s="373" t="s">
        <v>3236</v>
      </c>
      <c r="K50" s="27">
        <v>4636</v>
      </c>
      <c r="L50" s="373" t="s">
        <v>2063</v>
      </c>
      <c r="M50" s="27" t="str">
        <f t="shared" si="0"/>
        <v>73074000463601</v>
      </c>
      <c r="P50" s="27">
        <f t="shared" si="1"/>
        <v>1369130000</v>
      </c>
    </row>
    <row r="51" spans="1:16" x14ac:dyDescent="0.2">
      <c r="A51" s="27" t="s">
        <v>175</v>
      </c>
      <c r="B51" s="323" t="s">
        <v>3674</v>
      </c>
      <c r="D51" s="71">
        <v>43592500</v>
      </c>
      <c r="E51" s="27" t="s">
        <v>176</v>
      </c>
      <c r="F51" s="27" t="s">
        <v>177</v>
      </c>
      <c r="G51" s="38">
        <v>41518</v>
      </c>
      <c r="H51" s="38"/>
      <c r="I51" s="27">
        <v>73</v>
      </c>
      <c r="J51" s="373" t="s">
        <v>3236</v>
      </c>
      <c r="K51" s="27">
        <v>4649</v>
      </c>
      <c r="L51" s="373" t="s">
        <v>2063</v>
      </c>
      <c r="M51" s="27" t="str">
        <f t="shared" si="0"/>
        <v>73074000464901</v>
      </c>
      <c r="P51" s="27">
        <f t="shared" si="1"/>
        <v>4359250000</v>
      </c>
    </row>
    <row r="52" spans="1:16" x14ac:dyDescent="0.2">
      <c r="A52" s="27" t="s">
        <v>175</v>
      </c>
      <c r="B52" s="323" t="s">
        <v>3268</v>
      </c>
      <c r="D52" s="71">
        <v>6213000</v>
      </c>
      <c r="E52" s="27" t="s">
        <v>176</v>
      </c>
      <c r="F52" s="27" t="s">
        <v>177</v>
      </c>
      <c r="G52" s="38">
        <v>41518</v>
      </c>
      <c r="H52" s="38"/>
      <c r="I52" s="27">
        <v>76</v>
      </c>
      <c r="J52" s="373" t="s">
        <v>3237</v>
      </c>
      <c r="K52" s="27">
        <v>4200</v>
      </c>
      <c r="L52" s="373" t="s">
        <v>2063</v>
      </c>
      <c r="M52" s="27" t="str">
        <f t="shared" si="0"/>
        <v>76075000420001</v>
      </c>
      <c r="P52" s="27">
        <f t="shared" si="1"/>
        <v>621300000</v>
      </c>
    </row>
    <row r="53" spans="1:16" x14ac:dyDescent="0.2">
      <c r="A53" s="27" t="s">
        <v>175</v>
      </c>
      <c r="B53" s="323" t="s">
        <v>3675</v>
      </c>
      <c r="D53" s="71">
        <v>10200000</v>
      </c>
      <c r="E53" s="27" t="s">
        <v>176</v>
      </c>
      <c r="F53" s="27" t="s">
        <v>177</v>
      </c>
      <c r="G53" s="38">
        <v>41518</v>
      </c>
      <c r="H53" s="38"/>
      <c r="I53" s="27">
        <v>76</v>
      </c>
      <c r="J53" s="373" t="s">
        <v>3237</v>
      </c>
      <c r="K53" s="27">
        <v>4217</v>
      </c>
      <c r="L53" s="373" t="s">
        <v>2063</v>
      </c>
      <c r="M53" s="27" t="str">
        <f t="shared" si="0"/>
        <v>76075000421701</v>
      </c>
      <c r="P53" s="27">
        <f t="shared" si="1"/>
        <v>1020000000</v>
      </c>
    </row>
    <row r="54" spans="1:16" x14ac:dyDescent="0.2">
      <c r="A54" s="27" t="s">
        <v>175</v>
      </c>
      <c r="B54" s="323" t="s">
        <v>3676</v>
      </c>
      <c r="D54" s="71">
        <v>14753400</v>
      </c>
      <c r="E54" s="27" t="s">
        <v>176</v>
      </c>
      <c r="F54" s="27" t="s">
        <v>177</v>
      </c>
      <c r="G54" s="38">
        <v>41518</v>
      </c>
      <c r="H54" s="38"/>
      <c r="I54" s="27">
        <v>74</v>
      </c>
      <c r="J54" s="373" t="s">
        <v>3237</v>
      </c>
      <c r="K54" s="27">
        <v>4600</v>
      </c>
      <c r="L54" s="373" t="s">
        <v>2063</v>
      </c>
      <c r="M54" s="27" t="str">
        <f t="shared" si="0"/>
        <v>74075000460001</v>
      </c>
      <c r="P54" s="27">
        <f t="shared" si="1"/>
        <v>1475340000</v>
      </c>
    </row>
    <row r="55" spans="1:16" x14ac:dyDescent="0.2">
      <c r="A55" s="27" t="s">
        <v>175</v>
      </c>
      <c r="B55" s="323" t="s">
        <v>3677</v>
      </c>
      <c r="D55" s="71">
        <v>22619700</v>
      </c>
      <c r="E55" s="27" t="s">
        <v>176</v>
      </c>
      <c r="F55" s="27" t="s">
        <v>177</v>
      </c>
      <c r="G55" s="38">
        <v>41518</v>
      </c>
      <c r="H55" s="38"/>
      <c r="I55" s="27">
        <v>76</v>
      </c>
      <c r="J55" s="373" t="s">
        <v>3237</v>
      </c>
      <c r="K55" s="27">
        <v>4229</v>
      </c>
      <c r="L55" s="373" t="s">
        <v>2063</v>
      </c>
      <c r="M55" s="27" t="str">
        <f t="shared" si="0"/>
        <v>76075000422901</v>
      </c>
      <c r="P55" s="27">
        <f t="shared" si="1"/>
        <v>2261970000</v>
      </c>
    </row>
    <row r="56" spans="1:16" x14ac:dyDescent="0.2">
      <c r="A56" s="27" t="s">
        <v>175</v>
      </c>
      <c r="B56" s="323" t="s">
        <v>3678</v>
      </c>
      <c r="D56" s="71">
        <v>24695200</v>
      </c>
      <c r="E56" s="27" t="s">
        <v>176</v>
      </c>
      <c r="F56" s="27" t="s">
        <v>177</v>
      </c>
      <c r="G56" s="38">
        <v>41518</v>
      </c>
      <c r="H56" s="38"/>
      <c r="I56" s="27">
        <v>76</v>
      </c>
      <c r="J56" s="373" t="s">
        <v>3237</v>
      </c>
      <c r="K56" s="27">
        <v>4242</v>
      </c>
      <c r="L56" s="373" t="s">
        <v>2063</v>
      </c>
      <c r="M56" s="27" t="str">
        <f t="shared" si="0"/>
        <v>76075000424201</v>
      </c>
      <c r="P56" s="27">
        <f t="shared" si="1"/>
        <v>2469520000</v>
      </c>
    </row>
    <row r="57" spans="1:16" x14ac:dyDescent="0.2">
      <c r="A57" s="27" t="s">
        <v>175</v>
      </c>
      <c r="B57" s="323" t="s">
        <v>3679</v>
      </c>
      <c r="D57" s="71">
        <v>30092300</v>
      </c>
      <c r="E57" s="27" t="s">
        <v>176</v>
      </c>
      <c r="F57" s="27" t="s">
        <v>177</v>
      </c>
      <c r="G57" s="38">
        <v>41518</v>
      </c>
      <c r="H57" s="38"/>
      <c r="I57" s="27">
        <v>76</v>
      </c>
      <c r="J57" s="373" t="s">
        <v>3237</v>
      </c>
      <c r="K57" s="27">
        <v>4228</v>
      </c>
      <c r="L57" s="373" t="s">
        <v>2063</v>
      </c>
      <c r="M57" s="27" t="str">
        <f t="shared" si="0"/>
        <v>76075000422801</v>
      </c>
      <c r="P57" s="27">
        <f t="shared" si="1"/>
        <v>3009230000</v>
      </c>
    </row>
    <row r="58" spans="1:16" x14ac:dyDescent="0.2">
      <c r="A58" s="27" t="s">
        <v>175</v>
      </c>
      <c r="B58" s="323" t="s">
        <v>3680</v>
      </c>
      <c r="D58" s="71">
        <v>64601700</v>
      </c>
      <c r="E58" s="27" t="s">
        <v>176</v>
      </c>
      <c r="F58" s="27" t="s">
        <v>177</v>
      </c>
      <c r="G58" s="38">
        <v>41518</v>
      </c>
      <c r="H58" s="38"/>
      <c r="I58" s="27">
        <v>76</v>
      </c>
      <c r="J58" s="373" t="s">
        <v>3237</v>
      </c>
      <c r="K58" s="27">
        <v>4214</v>
      </c>
      <c r="L58" s="373" t="s">
        <v>2063</v>
      </c>
      <c r="M58" s="27" t="str">
        <f t="shared" si="0"/>
        <v>76075000421401</v>
      </c>
      <c r="P58" s="27">
        <f t="shared" si="1"/>
        <v>6460170000</v>
      </c>
    </row>
    <row r="59" spans="1:16" x14ac:dyDescent="0.2">
      <c r="A59" s="27" t="s">
        <v>175</v>
      </c>
      <c r="B59" s="323" t="s">
        <v>3681</v>
      </c>
      <c r="D59" s="71">
        <v>1200000000</v>
      </c>
      <c r="E59" s="27" t="s">
        <v>176</v>
      </c>
      <c r="F59" s="27" t="s">
        <v>177</v>
      </c>
      <c r="G59" s="38">
        <v>41518</v>
      </c>
      <c r="H59" s="38"/>
      <c r="I59" s="27">
        <v>72</v>
      </c>
      <c r="J59" s="373" t="s">
        <v>3237</v>
      </c>
      <c r="K59" s="27">
        <v>4620</v>
      </c>
      <c r="L59" s="373" t="s">
        <v>2063</v>
      </c>
      <c r="M59" s="27" t="str">
        <f t="shared" si="0"/>
        <v>72075000462001</v>
      </c>
      <c r="P59" s="27">
        <f t="shared" si="1"/>
        <v>120000000000</v>
      </c>
    </row>
    <row r="60" spans="1:16" x14ac:dyDescent="0.2">
      <c r="A60" s="27" t="s">
        <v>175</v>
      </c>
      <c r="B60" s="323" t="s">
        <v>3269</v>
      </c>
      <c r="D60" s="71">
        <v>30000000</v>
      </c>
      <c r="E60" s="27" t="s">
        <v>176</v>
      </c>
      <c r="F60" s="27" t="s">
        <v>177</v>
      </c>
      <c r="G60" s="38">
        <v>41518</v>
      </c>
      <c r="H60" s="38"/>
      <c r="I60" s="27">
        <v>76</v>
      </c>
      <c r="J60" s="373" t="s">
        <v>3238</v>
      </c>
      <c r="K60" s="27">
        <v>4578</v>
      </c>
      <c r="L60" s="373" t="s">
        <v>2063</v>
      </c>
      <c r="M60" s="27" t="str">
        <f t="shared" si="0"/>
        <v>76079000457801</v>
      </c>
      <c r="P60" s="27">
        <f t="shared" si="1"/>
        <v>3000000000</v>
      </c>
    </row>
    <row r="61" spans="1:16" x14ac:dyDescent="0.2">
      <c r="A61" s="27" t="s">
        <v>175</v>
      </c>
      <c r="B61" s="325" t="s">
        <v>3270</v>
      </c>
      <c r="C61" s="71">
        <v>7403700</v>
      </c>
      <c r="E61" s="27" t="s">
        <v>176</v>
      </c>
      <c r="F61" s="27" t="s">
        <v>177</v>
      </c>
      <c r="G61" s="38">
        <v>41518</v>
      </c>
      <c r="H61" s="38"/>
      <c r="I61" s="27">
        <v>12</v>
      </c>
      <c r="J61" s="27">
        <v>100201</v>
      </c>
      <c r="K61" s="27">
        <v>5000</v>
      </c>
      <c r="L61" s="373" t="s">
        <v>2063</v>
      </c>
      <c r="M61" s="27" t="str">
        <f t="shared" si="0"/>
        <v>12100201500001</v>
      </c>
      <c r="O61" s="27">
        <f t="shared" si="1"/>
        <v>740370000</v>
      </c>
    </row>
    <row r="62" spans="1:16" x14ac:dyDescent="0.2">
      <c r="A62" s="27" t="s">
        <v>175</v>
      </c>
      <c r="B62" s="325" t="s">
        <v>3271</v>
      </c>
      <c r="C62" s="71">
        <v>1552600</v>
      </c>
      <c r="E62" s="27" t="s">
        <v>176</v>
      </c>
      <c r="F62" s="27" t="s">
        <v>177</v>
      </c>
      <c r="G62" s="38">
        <v>41518</v>
      </c>
      <c r="H62" s="38"/>
      <c r="I62" s="27">
        <v>12</v>
      </c>
      <c r="J62" s="27">
        <v>100201</v>
      </c>
      <c r="K62" s="27">
        <v>5000</v>
      </c>
      <c r="L62" s="373" t="s">
        <v>3218</v>
      </c>
      <c r="M62" s="27" t="str">
        <f t="shared" si="0"/>
        <v>12100201500002</v>
      </c>
      <c r="O62" s="27">
        <f t="shared" ref="O62:O125" si="2">+C62*100</f>
        <v>155260000</v>
      </c>
    </row>
    <row r="63" spans="1:16" x14ac:dyDescent="0.2">
      <c r="A63" s="27" t="s">
        <v>175</v>
      </c>
      <c r="B63" s="325" t="s">
        <v>3272</v>
      </c>
      <c r="C63" s="71">
        <v>1159000</v>
      </c>
      <c r="E63" s="27" t="s">
        <v>176</v>
      </c>
      <c r="F63" s="27" t="s">
        <v>177</v>
      </c>
      <c r="G63" s="38">
        <v>41518</v>
      </c>
      <c r="H63" s="38"/>
      <c r="I63" s="27">
        <v>12</v>
      </c>
      <c r="J63" s="27">
        <v>100201</v>
      </c>
      <c r="K63" s="27">
        <v>5000</v>
      </c>
      <c r="L63" s="373" t="s">
        <v>3219</v>
      </c>
      <c r="M63" s="27" t="str">
        <f t="shared" si="0"/>
        <v>12100201500003</v>
      </c>
      <c r="O63" s="27">
        <f t="shared" si="2"/>
        <v>115900000</v>
      </c>
    </row>
    <row r="64" spans="1:16" x14ac:dyDescent="0.2">
      <c r="A64" s="27" t="s">
        <v>175</v>
      </c>
      <c r="B64" s="325" t="s">
        <v>3273</v>
      </c>
      <c r="C64" s="71">
        <v>1100000</v>
      </c>
      <c r="E64" s="27" t="s">
        <v>176</v>
      </c>
      <c r="F64" s="27" t="s">
        <v>177</v>
      </c>
      <c r="G64" s="38">
        <v>41518</v>
      </c>
      <c r="H64" s="38"/>
      <c r="I64" s="27">
        <v>12</v>
      </c>
      <c r="J64" s="27">
        <v>100201</v>
      </c>
      <c r="K64" s="27">
        <v>5000</v>
      </c>
      <c r="L64" s="373" t="s">
        <v>3220</v>
      </c>
      <c r="M64" s="27" t="str">
        <f t="shared" si="0"/>
        <v>12100201500004</v>
      </c>
      <c r="O64" s="27">
        <f t="shared" si="2"/>
        <v>110000000</v>
      </c>
    </row>
    <row r="65" spans="1:15" x14ac:dyDescent="0.2">
      <c r="A65" s="27" t="s">
        <v>175</v>
      </c>
      <c r="B65" s="325" t="s">
        <v>3274</v>
      </c>
      <c r="C65" s="71">
        <v>200000</v>
      </c>
      <c r="E65" s="27" t="s">
        <v>176</v>
      </c>
      <c r="F65" s="27" t="s">
        <v>177</v>
      </c>
      <c r="G65" s="38">
        <v>41518</v>
      </c>
      <c r="H65" s="38"/>
      <c r="I65" s="27">
        <v>12</v>
      </c>
      <c r="J65" s="27">
        <v>100201</v>
      </c>
      <c r="K65" s="27">
        <v>5000</v>
      </c>
      <c r="L65" s="373" t="s">
        <v>3224</v>
      </c>
      <c r="M65" s="27" t="str">
        <f t="shared" ref="M65:M128" si="3">RIGHT(I65,2)&amp;RIGHT(J65,6)&amp;RIGHT(K65,4)&amp;RIGHT(L65,2)</f>
        <v>12100201500023</v>
      </c>
      <c r="O65" s="27">
        <f t="shared" si="2"/>
        <v>20000000</v>
      </c>
    </row>
    <row r="66" spans="1:15" x14ac:dyDescent="0.2">
      <c r="A66" s="27" t="s">
        <v>175</v>
      </c>
      <c r="B66" s="325" t="s">
        <v>3275</v>
      </c>
      <c r="C66" s="71">
        <v>1358500</v>
      </c>
      <c r="E66" s="27" t="s">
        <v>176</v>
      </c>
      <c r="F66" s="27" t="s">
        <v>177</v>
      </c>
      <c r="G66" s="38">
        <v>41518</v>
      </c>
      <c r="H66" s="38"/>
      <c r="I66" s="27">
        <v>12</v>
      </c>
      <c r="J66" s="27">
        <v>100301</v>
      </c>
      <c r="K66" s="27">
        <v>5000</v>
      </c>
      <c r="L66" s="373" t="s">
        <v>2063</v>
      </c>
      <c r="M66" s="27" t="str">
        <f t="shared" si="3"/>
        <v>12100301500001</v>
      </c>
      <c r="O66" s="27">
        <f t="shared" si="2"/>
        <v>135850000</v>
      </c>
    </row>
    <row r="67" spans="1:15" x14ac:dyDescent="0.2">
      <c r="A67" s="27" t="s">
        <v>175</v>
      </c>
      <c r="B67" s="325" t="s">
        <v>3276</v>
      </c>
      <c r="C67" s="71">
        <v>90100</v>
      </c>
      <c r="E67" s="27" t="s">
        <v>176</v>
      </c>
      <c r="F67" s="27" t="s">
        <v>177</v>
      </c>
      <c r="G67" s="38">
        <v>41518</v>
      </c>
      <c r="H67" s="38"/>
      <c r="I67" s="27">
        <v>12</v>
      </c>
      <c r="J67" s="27">
        <v>100301</v>
      </c>
      <c r="K67" s="27">
        <v>5000</v>
      </c>
      <c r="L67" s="373" t="s">
        <v>3218</v>
      </c>
      <c r="M67" s="27" t="str">
        <f t="shared" si="3"/>
        <v>12100301500002</v>
      </c>
      <c r="O67" s="27">
        <f t="shared" si="2"/>
        <v>9010000</v>
      </c>
    </row>
    <row r="68" spans="1:15" x14ac:dyDescent="0.2">
      <c r="A68" s="27" t="s">
        <v>175</v>
      </c>
      <c r="B68" s="325" t="s">
        <v>3277</v>
      </c>
      <c r="C68" s="71">
        <v>60000</v>
      </c>
      <c r="E68" s="27" t="s">
        <v>176</v>
      </c>
      <c r="F68" s="27" t="s">
        <v>177</v>
      </c>
      <c r="G68" s="38">
        <v>41518</v>
      </c>
      <c r="H68" s="38"/>
      <c r="I68" s="27">
        <v>12</v>
      </c>
      <c r="J68" s="27">
        <v>100301</v>
      </c>
      <c r="K68" s="27">
        <v>5000</v>
      </c>
      <c r="L68" s="373" t="s">
        <v>3219</v>
      </c>
      <c r="M68" s="27" t="str">
        <f t="shared" si="3"/>
        <v>12100301500003</v>
      </c>
      <c r="O68" s="27">
        <f t="shared" si="2"/>
        <v>6000000</v>
      </c>
    </row>
    <row r="69" spans="1:15" x14ac:dyDescent="0.2">
      <c r="A69" s="27" t="s">
        <v>175</v>
      </c>
      <c r="B69" s="325" t="s">
        <v>3278</v>
      </c>
      <c r="C69" s="71">
        <v>372000</v>
      </c>
      <c r="E69" s="27" t="s">
        <v>176</v>
      </c>
      <c r="F69" s="27" t="s">
        <v>177</v>
      </c>
      <c r="G69" s="38">
        <v>41518</v>
      </c>
      <c r="H69" s="38"/>
      <c r="I69" s="27">
        <v>12</v>
      </c>
      <c r="J69" s="27">
        <v>100401</v>
      </c>
      <c r="K69" s="27">
        <v>5000</v>
      </c>
      <c r="L69" s="373" t="s">
        <v>2063</v>
      </c>
      <c r="M69" s="27" t="str">
        <f t="shared" si="3"/>
        <v>12100401500001</v>
      </c>
      <c r="O69" s="27">
        <f t="shared" si="2"/>
        <v>37200000</v>
      </c>
    </row>
    <row r="70" spans="1:15" x14ac:dyDescent="0.2">
      <c r="A70" s="27" t="s">
        <v>175</v>
      </c>
      <c r="B70" s="325" t="s">
        <v>3279</v>
      </c>
      <c r="C70" s="71">
        <v>132500</v>
      </c>
      <c r="E70" s="27" t="s">
        <v>176</v>
      </c>
      <c r="F70" s="27" t="s">
        <v>177</v>
      </c>
      <c r="G70" s="38">
        <v>41518</v>
      </c>
      <c r="H70" s="38"/>
      <c r="I70" s="27">
        <v>12</v>
      </c>
      <c r="J70" s="27">
        <v>100406</v>
      </c>
      <c r="K70" s="27">
        <v>5000</v>
      </c>
      <c r="L70" s="373" t="s">
        <v>2063</v>
      </c>
      <c r="M70" s="27" t="str">
        <f t="shared" si="3"/>
        <v>12100406500001</v>
      </c>
      <c r="O70" s="27">
        <f t="shared" si="2"/>
        <v>13250000</v>
      </c>
    </row>
    <row r="71" spans="1:15" x14ac:dyDescent="0.2">
      <c r="A71" s="27" t="s">
        <v>175</v>
      </c>
      <c r="B71" s="325" t="s">
        <v>3280</v>
      </c>
      <c r="C71" s="71">
        <v>114000</v>
      </c>
      <c r="E71" s="27" t="s">
        <v>176</v>
      </c>
      <c r="F71" s="27" t="s">
        <v>177</v>
      </c>
      <c r="G71" s="38">
        <v>41518</v>
      </c>
      <c r="H71" s="38"/>
      <c r="I71" s="27">
        <v>12</v>
      </c>
      <c r="J71" s="27">
        <v>100600</v>
      </c>
      <c r="K71" s="27">
        <v>5000</v>
      </c>
      <c r="L71" s="373" t="s">
        <v>2063</v>
      </c>
      <c r="M71" s="27" t="str">
        <f t="shared" si="3"/>
        <v>12100600500001</v>
      </c>
      <c r="O71" s="27">
        <f t="shared" si="2"/>
        <v>11400000</v>
      </c>
    </row>
    <row r="72" spans="1:15" x14ac:dyDescent="0.2">
      <c r="A72" s="27" t="s">
        <v>175</v>
      </c>
      <c r="B72" s="325" t="s">
        <v>3281</v>
      </c>
      <c r="C72" s="71">
        <v>227500</v>
      </c>
      <c r="E72" s="27" t="s">
        <v>176</v>
      </c>
      <c r="F72" s="27" t="s">
        <v>177</v>
      </c>
      <c r="G72" s="38">
        <v>41518</v>
      </c>
      <c r="H72" s="38"/>
      <c r="I72" s="27">
        <v>12</v>
      </c>
      <c r="J72" s="27">
        <v>100601</v>
      </c>
      <c r="K72" s="27">
        <v>5000</v>
      </c>
      <c r="L72" s="373" t="s">
        <v>2063</v>
      </c>
      <c r="M72" s="27" t="str">
        <f t="shared" si="3"/>
        <v>12100601500001</v>
      </c>
      <c r="O72" s="27">
        <f t="shared" si="2"/>
        <v>22750000</v>
      </c>
    </row>
    <row r="73" spans="1:15" x14ac:dyDescent="0.2">
      <c r="A73" s="27" t="s">
        <v>175</v>
      </c>
      <c r="B73" s="325" t="s">
        <v>3282</v>
      </c>
      <c r="C73" s="71">
        <v>196900</v>
      </c>
      <c r="E73" s="27" t="s">
        <v>176</v>
      </c>
      <c r="F73" s="27" t="s">
        <v>177</v>
      </c>
      <c r="G73" s="38">
        <v>41518</v>
      </c>
      <c r="H73" s="38"/>
      <c r="I73" s="27">
        <v>12</v>
      </c>
      <c r="J73" s="27">
        <v>100601</v>
      </c>
      <c r="K73" s="27">
        <v>5000</v>
      </c>
      <c r="L73" s="373" t="s">
        <v>3218</v>
      </c>
      <c r="M73" s="27" t="str">
        <f t="shared" si="3"/>
        <v>12100601500002</v>
      </c>
      <c r="O73" s="27">
        <f t="shared" si="2"/>
        <v>19690000</v>
      </c>
    </row>
    <row r="74" spans="1:15" x14ac:dyDescent="0.2">
      <c r="A74" s="27" t="s">
        <v>175</v>
      </c>
      <c r="B74" s="325" t="s">
        <v>3283</v>
      </c>
      <c r="C74" s="71">
        <v>279000</v>
      </c>
      <c r="E74" s="27" t="s">
        <v>176</v>
      </c>
      <c r="F74" s="27" t="s">
        <v>177</v>
      </c>
      <c r="G74" s="38">
        <v>41518</v>
      </c>
      <c r="H74" s="38"/>
      <c r="I74" s="27">
        <v>12</v>
      </c>
      <c r="J74" s="27">
        <v>100601</v>
      </c>
      <c r="K74" s="27">
        <v>5000</v>
      </c>
      <c r="L74" s="373" t="s">
        <v>3219</v>
      </c>
      <c r="M74" s="27" t="str">
        <f t="shared" si="3"/>
        <v>12100601500003</v>
      </c>
      <c r="O74" s="27">
        <f t="shared" si="2"/>
        <v>27900000</v>
      </c>
    </row>
    <row r="75" spans="1:15" x14ac:dyDescent="0.2">
      <c r="A75" s="27" t="s">
        <v>175</v>
      </c>
      <c r="B75" s="325" t="s">
        <v>3284</v>
      </c>
      <c r="C75" s="71">
        <v>2895000</v>
      </c>
      <c r="E75" s="27" t="s">
        <v>176</v>
      </c>
      <c r="F75" s="27" t="s">
        <v>177</v>
      </c>
      <c r="G75" s="38">
        <v>41518</v>
      </c>
      <c r="H75" s="38"/>
      <c r="I75" s="27">
        <v>12</v>
      </c>
      <c r="J75" s="27">
        <v>100602</v>
      </c>
      <c r="K75" s="27">
        <v>5000</v>
      </c>
      <c r="L75" s="373" t="s">
        <v>2063</v>
      </c>
      <c r="M75" s="27" t="str">
        <f t="shared" si="3"/>
        <v>12100602500001</v>
      </c>
      <c r="O75" s="27">
        <f t="shared" si="2"/>
        <v>289500000</v>
      </c>
    </row>
    <row r="76" spans="1:15" x14ac:dyDescent="0.2">
      <c r="A76" s="27" t="s">
        <v>175</v>
      </c>
      <c r="B76" s="325" t="s">
        <v>3285</v>
      </c>
      <c r="C76" s="71">
        <v>4409996</v>
      </c>
      <c r="E76" s="27" t="s">
        <v>176</v>
      </c>
      <c r="F76" s="27" t="s">
        <v>177</v>
      </c>
      <c r="G76" s="38">
        <v>41518</v>
      </c>
      <c r="H76" s="38"/>
      <c r="I76" s="27">
        <v>12</v>
      </c>
      <c r="J76" s="27">
        <v>100602</v>
      </c>
      <c r="K76" s="27">
        <v>7000</v>
      </c>
      <c r="L76" s="373" t="s">
        <v>2063</v>
      </c>
      <c r="M76" s="27" t="str">
        <f t="shared" si="3"/>
        <v>12100602700001</v>
      </c>
      <c r="O76" s="27">
        <f t="shared" si="2"/>
        <v>440999600</v>
      </c>
    </row>
    <row r="77" spans="1:15" x14ac:dyDescent="0.2">
      <c r="A77" s="27" t="s">
        <v>175</v>
      </c>
      <c r="B77" s="325" t="s">
        <v>3286</v>
      </c>
      <c r="C77" s="71">
        <v>2555000</v>
      </c>
      <c r="E77" s="27" t="s">
        <v>176</v>
      </c>
      <c r="F77" s="27" t="s">
        <v>177</v>
      </c>
      <c r="G77" s="38">
        <v>41518</v>
      </c>
      <c r="H77" s="38"/>
      <c r="I77" s="27">
        <v>12</v>
      </c>
      <c r="J77" s="27">
        <v>100602</v>
      </c>
      <c r="K77" s="27">
        <v>5000</v>
      </c>
      <c r="L77" s="373" t="s">
        <v>3218</v>
      </c>
      <c r="M77" s="27" t="str">
        <f t="shared" si="3"/>
        <v>12100602500002</v>
      </c>
      <c r="O77" s="27">
        <f t="shared" si="2"/>
        <v>255500000</v>
      </c>
    </row>
    <row r="78" spans="1:15" x14ac:dyDescent="0.2">
      <c r="A78" s="27" t="s">
        <v>175</v>
      </c>
      <c r="B78" s="325" t="s">
        <v>3287</v>
      </c>
      <c r="C78" s="71">
        <v>2120000</v>
      </c>
      <c r="E78" s="27" t="s">
        <v>176</v>
      </c>
      <c r="F78" s="27" t="s">
        <v>177</v>
      </c>
      <c r="G78" s="38">
        <v>41518</v>
      </c>
      <c r="H78" s="38"/>
      <c r="I78" s="27">
        <v>12</v>
      </c>
      <c r="J78" s="27">
        <v>100602</v>
      </c>
      <c r="K78" s="27">
        <v>5000</v>
      </c>
      <c r="L78" s="373" t="s">
        <v>3219</v>
      </c>
      <c r="M78" s="27" t="str">
        <f t="shared" si="3"/>
        <v>12100602500003</v>
      </c>
      <c r="O78" s="27">
        <f t="shared" si="2"/>
        <v>212000000</v>
      </c>
    </row>
    <row r="79" spans="1:15" x14ac:dyDescent="0.2">
      <c r="A79" s="27" t="s">
        <v>175</v>
      </c>
      <c r="B79" s="325" t="s">
        <v>3288</v>
      </c>
      <c r="C79" s="71">
        <v>4016652</v>
      </c>
      <c r="E79" s="27" t="s">
        <v>176</v>
      </c>
      <c r="F79" s="27" t="s">
        <v>177</v>
      </c>
      <c r="G79" s="38">
        <v>41518</v>
      </c>
      <c r="H79" s="38"/>
      <c r="I79" s="27">
        <v>12</v>
      </c>
      <c r="J79" s="27">
        <v>100602</v>
      </c>
      <c r="K79" s="27">
        <v>7000</v>
      </c>
      <c r="L79" s="373" t="s">
        <v>3219</v>
      </c>
      <c r="M79" s="27" t="str">
        <f t="shared" si="3"/>
        <v>12100602700003</v>
      </c>
      <c r="O79" s="27">
        <f t="shared" si="2"/>
        <v>401665200</v>
      </c>
    </row>
    <row r="80" spans="1:15" x14ac:dyDescent="0.2">
      <c r="A80" s="27" t="s">
        <v>175</v>
      </c>
      <c r="B80" s="325" t="s">
        <v>3289</v>
      </c>
      <c r="C80" s="71">
        <v>3226795</v>
      </c>
      <c r="E80" s="27" t="s">
        <v>176</v>
      </c>
      <c r="F80" s="27" t="s">
        <v>177</v>
      </c>
      <c r="G80" s="38">
        <v>41518</v>
      </c>
      <c r="H80" s="38"/>
      <c r="I80" s="27">
        <v>12</v>
      </c>
      <c r="J80" s="27">
        <v>100603</v>
      </c>
      <c r="K80" s="27">
        <v>7000</v>
      </c>
      <c r="L80" s="373" t="s">
        <v>2063</v>
      </c>
      <c r="M80" s="27" t="str">
        <f t="shared" si="3"/>
        <v>12100603700001</v>
      </c>
      <c r="O80" s="27">
        <f t="shared" si="2"/>
        <v>322679500</v>
      </c>
    </row>
    <row r="81" spans="1:15" x14ac:dyDescent="0.2">
      <c r="A81" s="27" t="s">
        <v>175</v>
      </c>
      <c r="B81" s="325" t="s">
        <v>3290</v>
      </c>
      <c r="C81" s="71">
        <v>3585000</v>
      </c>
      <c r="E81" s="27" t="s">
        <v>176</v>
      </c>
      <c r="F81" s="27" t="s">
        <v>177</v>
      </c>
      <c r="G81" s="38">
        <v>41518</v>
      </c>
      <c r="H81" s="38"/>
      <c r="I81" s="27">
        <v>12</v>
      </c>
      <c r="J81" s="27">
        <v>100603</v>
      </c>
      <c r="K81" s="27">
        <v>5000</v>
      </c>
      <c r="L81" s="373" t="s">
        <v>2063</v>
      </c>
      <c r="M81" s="27" t="str">
        <f t="shared" si="3"/>
        <v>12100603500001</v>
      </c>
      <c r="O81" s="27">
        <f t="shared" si="2"/>
        <v>358500000</v>
      </c>
    </row>
    <row r="82" spans="1:15" x14ac:dyDescent="0.2">
      <c r="A82" s="27" t="s">
        <v>175</v>
      </c>
      <c r="B82" s="325" t="s">
        <v>3291</v>
      </c>
      <c r="C82" s="71">
        <v>348600</v>
      </c>
      <c r="E82" s="27" t="s">
        <v>176</v>
      </c>
      <c r="F82" s="27" t="s">
        <v>177</v>
      </c>
      <c r="G82" s="38">
        <v>41518</v>
      </c>
      <c r="H82" s="38"/>
      <c r="I82" s="27">
        <v>12</v>
      </c>
      <c r="J82" s="27">
        <v>100603</v>
      </c>
      <c r="K82" s="27">
        <v>5000</v>
      </c>
      <c r="L82" s="373" t="s">
        <v>3218</v>
      </c>
      <c r="M82" s="27" t="str">
        <f t="shared" si="3"/>
        <v>12100603500002</v>
      </c>
      <c r="O82" s="27">
        <f t="shared" si="2"/>
        <v>34860000</v>
      </c>
    </row>
    <row r="83" spans="1:15" x14ac:dyDescent="0.2">
      <c r="A83" s="27" t="s">
        <v>175</v>
      </c>
      <c r="B83" s="325" t="s">
        <v>3292</v>
      </c>
      <c r="C83" s="71">
        <v>235000</v>
      </c>
      <c r="E83" s="27" t="s">
        <v>176</v>
      </c>
      <c r="F83" s="27" t="s">
        <v>177</v>
      </c>
      <c r="G83" s="38">
        <v>41518</v>
      </c>
      <c r="H83" s="38"/>
      <c r="I83" s="27">
        <v>12</v>
      </c>
      <c r="J83" s="27">
        <v>100606</v>
      </c>
      <c r="K83" s="27">
        <v>5000</v>
      </c>
      <c r="L83" s="373" t="s">
        <v>2063</v>
      </c>
      <c r="M83" s="27" t="str">
        <f t="shared" si="3"/>
        <v>12100606500001</v>
      </c>
      <c r="O83" s="27">
        <f t="shared" si="2"/>
        <v>23500000</v>
      </c>
    </row>
    <row r="84" spans="1:15" x14ac:dyDescent="0.2">
      <c r="A84" s="27" t="s">
        <v>175</v>
      </c>
      <c r="B84" s="325" t="s">
        <v>3293</v>
      </c>
      <c r="C84" s="71">
        <v>50000</v>
      </c>
      <c r="E84" s="27" t="s">
        <v>176</v>
      </c>
      <c r="F84" s="27" t="s">
        <v>177</v>
      </c>
      <c r="G84" s="38">
        <v>41518</v>
      </c>
      <c r="H84" s="38"/>
      <c r="I84" s="27">
        <v>12</v>
      </c>
      <c r="J84" s="27">
        <v>100606</v>
      </c>
      <c r="K84" s="27">
        <v>5000</v>
      </c>
      <c r="L84" s="373" t="s">
        <v>3220</v>
      </c>
      <c r="M84" s="27" t="str">
        <f t="shared" si="3"/>
        <v>12100606500004</v>
      </c>
      <c r="O84" s="27">
        <f t="shared" si="2"/>
        <v>5000000</v>
      </c>
    </row>
    <row r="85" spans="1:15" x14ac:dyDescent="0.2">
      <c r="A85" s="27" t="s">
        <v>175</v>
      </c>
      <c r="B85" s="325" t="s">
        <v>3294</v>
      </c>
      <c r="C85" s="71">
        <v>70000</v>
      </c>
      <c r="E85" s="27" t="s">
        <v>176</v>
      </c>
      <c r="F85" s="27" t="s">
        <v>177</v>
      </c>
      <c r="G85" s="38">
        <v>41518</v>
      </c>
      <c r="H85" s="38"/>
      <c r="I85" s="27">
        <v>12</v>
      </c>
      <c r="J85" s="27">
        <v>100606</v>
      </c>
      <c r="K85" s="27">
        <v>5000</v>
      </c>
      <c r="L85" s="373" t="s">
        <v>3224</v>
      </c>
      <c r="M85" s="27" t="str">
        <f t="shared" si="3"/>
        <v>12100606500023</v>
      </c>
      <c r="O85" s="27">
        <f t="shared" si="2"/>
        <v>7000000</v>
      </c>
    </row>
    <row r="86" spans="1:15" x14ac:dyDescent="0.2">
      <c r="A86" s="27" t="s">
        <v>175</v>
      </c>
      <c r="B86" s="325" t="s">
        <v>3295</v>
      </c>
      <c r="C86" s="71">
        <v>337200</v>
      </c>
      <c r="E86" s="27" t="s">
        <v>176</v>
      </c>
      <c r="F86" s="27" t="s">
        <v>177</v>
      </c>
      <c r="G86" s="38">
        <v>41518</v>
      </c>
      <c r="H86" s="38"/>
      <c r="I86" s="27">
        <v>12</v>
      </c>
      <c r="J86" s="27">
        <v>100607</v>
      </c>
      <c r="K86" s="27">
        <v>5000</v>
      </c>
      <c r="L86" s="373" t="s">
        <v>2063</v>
      </c>
      <c r="M86" s="27" t="str">
        <f t="shared" si="3"/>
        <v>12100607500001</v>
      </c>
      <c r="O86" s="27">
        <f t="shared" si="2"/>
        <v>33720000</v>
      </c>
    </row>
    <row r="87" spans="1:15" x14ac:dyDescent="0.2">
      <c r="A87" s="27" t="s">
        <v>175</v>
      </c>
      <c r="B87" s="325" t="s">
        <v>3296</v>
      </c>
      <c r="C87" s="71">
        <v>405000</v>
      </c>
      <c r="E87" s="27" t="s">
        <v>176</v>
      </c>
      <c r="F87" s="27" t="s">
        <v>177</v>
      </c>
      <c r="G87" s="38">
        <v>41518</v>
      </c>
      <c r="H87" s="38"/>
      <c r="I87" s="27">
        <v>12</v>
      </c>
      <c r="J87" s="27">
        <v>100609</v>
      </c>
      <c r="K87" s="27">
        <v>5000</v>
      </c>
      <c r="L87" s="373" t="s">
        <v>2063</v>
      </c>
      <c r="M87" s="27" t="str">
        <f t="shared" si="3"/>
        <v>12100609500001</v>
      </c>
      <c r="O87" s="27">
        <f t="shared" si="2"/>
        <v>40500000</v>
      </c>
    </row>
    <row r="88" spans="1:15" x14ac:dyDescent="0.2">
      <c r="A88" s="27" t="s">
        <v>175</v>
      </c>
      <c r="B88" s="325" t="s">
        <v>3297</v>
      </c>
      <c r="C88" s="71">
        <v>145000</v>
      </c>
      <c r="E88" s="27" t="s">
        <v>176</v>
      </c>
      <c r="F88" s="27" t="s">
        <v>177</v>
      </c>
      <c r="G88" s="38">
        <v>41518</v>
      </c>
      <c r="H88" s="38"/>
      <c r="I88" s="27">
        <v>12</v>
      </c>
      <c r="J88" s="27">
        <v>100610</v>
      </c>
      <c r="K88" s="27">
        <v>5000</v>
      </c>
      <c r="L88" s="373" t="s">
        <v>2063</v>
      </c>
      <c r="M88" s="27" t="str">
        <f t="shared" si="3"/>
        <v>12100610500001</v>
      </c>
      <c r="O88" s="27">
        <f t="shared" si="2"/>
        <v>14500000</v>
      </c>
    </row>
    <row r="89" spans="1:15" x14ac:dyDescent="0.2">
      <c r="A89" s="27" t="s">
        <v>175</v>
      </c>
      <c r="B89" s="325" t="s">
        <v>3298</v>
      </c>
      <c r="C89" s="71">
        <v>100000</v>
      </c>
      <c r="E89" s="27" t="s">
        <v>176</v>
      </c>
      <c r="F89" s="27" t="s">
        <v>177</v>
      </c>
      <c r="G89" s="38">
        <v>41518</v>
      </c>
      <c r="H89" s="38"/>
      <c r="I89" s="27">
        <v>12</v>
      </c>
      <c r="J89" s="27">
        <v>100611</v>
      </c>
      <c r="K89" s="27">
        <v>5000</v>
      </c>
      <c r="L89" s="373" t="s">
        <v>2063</v>
      </c>
      <c r="M89" s="27" t="str">
        <f t="shared" si="3"/>
        <v>12100611500001</v>
      </c>
      <c r="O89" s="27">
        <f t="shared" si="2"/>
        <v>10000000</v>
      </c>
    </row>
    <row r="90" spans="1:15" x14ac:dyDescent="0.2">
      <c r="A90" s="27" t="s">
        <v>175</v>
      </c>
      <c r="B90" s="325" t="s">
        <v>3299</v>
      </c>
      <c r="C90" s="71">
        <v>351500</v>
      </c>
      <c r="E90" s="27" t="s">
        <v>176</v>
      </c>
      <c r="F90" s="27" t="s">
        <v>177</v>
      </c>
      <c r="G90" s="38">
        <v>41518</v>
      </c>
      <c r="H90" s="38"/>
      <c r="I90" s="27">
        <v>12</v>
      </c>
      <c r="J90" s="27">
        <v>100611</v>
      </c>
      <c r="K90" s="27">
        <v>5000</v>
      </c>
      <c r="L90" s="373" t="s">
        <v>3218</v>
      </c>
      <c r="M90" s="27" t="str">
        <f t="shared" si="3"/>
        <v>12100611500002</v>
      </c>
      <c r="O90" s="27">
        <f t="shared" si="2"/>
        <v>35150000</v>
      </c>
    </row>
    <row r="91" spans="1:15" x14ac:dyDescent="0.2">
      <c r="A91" s="27" t="s">
        <v>175</v>
      </c>
      <c r="B91" s="325" t="s">
        <v>3300</v>
      </c>
      <c r="C91" s="71">
        <v>547500</v>
      </c>
      <c r="E91" s="27" t="s">
        <v>176</v>
      </c>
      <c r="F91" s="27" t="s">
        <v>177</v>
      </c>
      <c r="G91" s="38">
        <v>41518</v>
      </c>
      <c r="H91" s="38"/>
      <c r="I91" s="27">
        <v>12</v>
      </c>
      <c r="J91" s="27">
        <v>100611</v>
      </c>
      <c r="K91" s="27">
        <v>5000</v>
      </c>
      <c r="L91" s="373" t="s">
        <v>3219</v>
      </c>
      <c r="M91" s="27" t="str">
        <f t="shared" si="3"/>
        <v>12100611500003</v>
      </c>
      <c r="O91" s="27">
        <f t="shared" si="2"/>
        <v>54750000</v>
      </c>
    </row>
    <row r="92" spans="1:15" x14ac:dyDescent="0.2">
      <c r="A92" s="27" t="s">
        <v>175</v>
      </c>
      <c r="B92" s="325" t="s">
        <v>3301</v>
      </c>
      <c r="C92" s="71">
        <v>44500</v>
      </c>
      <c r="E92" s="27" t="s">
        <v>176</v>
      </c>
      <c r="F92" s="27" t="s">
        <v>177</v>
      </c>
      <c r="G92" s="38">
        <v>41518</v>
      </c>
      <c r="H92" s="38"/>
      <c r="I92" s="27">
        <v>12</v>
      </c>
      <c r="J92" s="27">
        <v>100700</v>
      </c>
      <c r="K92" s="27">
        <v>5000</v>
      </c>
      <c r="L92" s="373" t="s">
        <v>3219</v>
      </c>
      <c r="M92" s="27" t="str">
        <f t="shared" si="3"/>
        <v>12100700500003</v>
      </c>
      <c r="O92" s="27">
        <f t="shared" si="2"/>
        <v>4450000</v>
      </c>
    </row>
    <row r="93" spans="1:15" x14ac:dyDescent="0.2">
      <c r="A93" s="27" t="s">
        <v>175</v>
      </c>
      <c r="B93" s="325" t="s">
        <v>3302</v>
      </c>
      <c r="C93" s="71">
        <v>669000</v>
      </c>
      <c r="E93" s="27" t="s">
        <v>176</v>
      </c>
      <c r="F93" s="27" t="s">
        <v>177</v>
      </c>
      <c r="G93" s="38">
        <v>41518</v>
      </c>
      <c r="H93" s="38"/>
      <c r="I93" s="27">
        <v>12</v>
      </c>
      <c r="J93" s="27">
        <v>100701</v>
      </c>
      <c r="K93" s="27">
        <v>5000</v>
      </c>
      <c r="L93" s="373" t="s">
        <v>2063</v>
      </c>
      <c r="M93" s="27" t="str">
        <f t="shared" si="3"/>
        <v>12100701500001</v>
      </c>
      <c r="O93" s="27">
        <f t="shared" si="2"/>
        <v>66900000</v>
      </c>
    </row>
    <row r="94" spans="1:15" x14ac:dyDescent="0.2">
      <c r="A94" s="27" t="s">
        <v>175</v>
      </c>
      <c r="B94" s="325" t="s">
        <v>3303</v>
      </c>
      <c r="C94" s="71">
        <v>181900</v>
      </c>
      <c r="E94" s="27" t="s">
        <v>176</v>
      </c>
      <c r="F94" s="27" t="s">
        <v>177</v>
      </c>
      <c r="G94" s="38">
        <v>41518</v>
      </c>
      <c r="H94" s="38"/>
      <c r="I94" s="27">
        <v>12</v>
      </c>
      <c r="J94" s="27">
        <v>100701</v>
      </c>
      <c r="K94" s="27">
        <v>5000</v>
      </c>
      <c r="L94" s="373" t="s">
        <v>3218</v>
      </c>
      <c r="M94" s="27" t="str">
        <f t="shared" si="3"/>
        <v>12100701500002</v>
      </c>
      <c r="O94" s="27">
        <f t="shared" si="2"/>
        <v>18190000</v>
      </c>
    </row>
    <row r="95" spans="1:15" x14ac:dyDescent="0.2">
      <c r="A95" s="27" t="s">
        <v>175</v>
      </c>
      <c r="B95" s="325" t="s">
        <v>3304</v>
      </c>
      <c r="C95" s="71">
        <v>373000</v>
      </c>
      <c r="E95" s="27" t="s">
        <v>176</v>
      </c>
      <c r="F95" s="27" t="s">
        <v>177</v>
      </c>
      <c r="G95" s="38">
        <v>41518</v>
      </c>
      <c r="H95" s="38"/>
      <c r="I95" s="27">
        <v>12</v>
      </c>
      <c r="J95" s="27">
        <v>100701</v>
      </c>
      <c r="K95" s="27">
        <v>5000</v>
      </c>
      <c r="L95" s="373" t="s">
        <v>3219</v>
      </c>
      <c r="M95" s="27" t="str">
        <f t="shared" si="3"/>
        <v>12100701500003</v>
      </c>
      <c r="O95" s="27">
        <f t="shared" si="2"/>
        <v>37300000</v>
      </c>
    </row>
    <row r="96" spans="1:15" x14ac:dyDescent="0.2">
      <c r="A96" s="27" t="s">
        <v>175</v>
      </c>
      <c r="B96" s="325" t="s">
        <v>3305</v>
      </c>
      <c r="C96" s="71">
        <v>735000</v>
      </c>
      <c r="E96" s="27" t="s">
        <v>176</v>
      </c>
      <c r="F96" s="27" t="s">
        <v>177</v>
      </c>
      <c r="G96" s="38">
        <v>41518</v>
      </c>
      <c r="H96" s="38"/>
      <c r="I96" s="27">
        <v>12</v>
      </c>
      <c r="J96" s="27">
        <v>100703</v>
      </c>
      <c r="K96" s="27">
        <v>5000</v>
      </c>
      <c r="L96" s="373" t="s">
        <v>2063</v>
      </c>
      <c r="M96" s="27" t="str">
        <f t="shared" si="3"/>
        <v>12100703500001</v>
      </c>
      <c r="O96" s="27">
        <f t="shared" si="2"/>
        <v>73500000</v>
      </c>
    </row>
    <row r="97" spans="1:15" x14ac:dyDescent="0.2">
      <c r="A97" s="27" t="s">
        <v>175</v>
      </c>
      <c r="B97" s="325" t="s">
        <v>3306</v>
      </c>
      <c r="C97" s="71">
        <v>35000</v>
      </c>
      <c r="E97" s="27" t="s">
        <v>176</v>
      </c>
      <c r="F97" s="27" t="s">
        <v>177</v>
      </c>
      <c r="G97" s="38">
        <v>41518</v>
      </c>
      <c r="H97" s="38"/>
      <c r="I97" s="27">
        <v>12</v>
      </c>
      <c r="J97" s="27">
        <v>100703</v>
      </c>
      <c r="K97" s="27">
        <v>5000</v>
      </c>
      <c r="L97" s="373" t="s">
        <v>3218</v>
      </c>
      <c r="M97" s="27" t="str">
        <f t="shared" si="3"/>
        <v>12100703500002</v>
      </c>
      <c r="O97" s="27">
        <f t="shared" si="2"/>
        <v>3500000</v>
      </c>
    </row>
    <row r="98" spans="1:15" x14ac:dyDescent="0.2">
      <c r="A98" s="27" t="s">
        <v>175</v>
      </c>
      <c r="B98" s="325" t="s">
        <v>3307</v>
      </c>
      <c r="C98" s="71">
        <v>50000</v>
      </c>
      <c r="E98" s="27" t="s">
        <v>176</v>
      </c>
      <c r="F98" s="27" t="s">
        <v>177</v>
      </c>
      <c r="G98" s="38">
        <v>41518</v>
      </c>
      <c r="H98" s="38"/>
      <c r="I98" s="27">
        <v>12</v>
      </c>
      <c r="J98" s="27">
        <v>100703</v>
      </c>
      <c r="K98" s="27">
        <v>5000</v>
      </c>
      <c r="L98" s="373" t="s">
        <v>3219</v>
      </c>
      <c r="M98" s="27" t="str">
        <f t="shared" si="3"/>
        <v>12100703500003</v>
      </c>
      <c r="O98" s="27">
        <f t="shared" si="2"/>
        <v>5000000</v>
      </c>
    </row>
    <row r="99" spans="1:15" x14ac:dyDescent="0.2">
      <c r="A99" s="27" t="s">
        <v>175</v>
      </c>
      <c r="B99" s="325" t="s">
        <v>3308</v>
      </c>
      <c r="C99" s="71">
        <v>50000</v>
      </c>
      <c r="E99" s="27" t="s">
        <v>176</v>
      </c>
      <c r="F99" s="27" t="s">
        <v>177</v>
      </c>
      <c r="G99" s="38">
        <v>41518</v>
      </c>
      <c r="H99" s="38"/>
      <c r="I99" s="27">
        <v>12</v>
      </c>
      <c r="J99" s="27">
        <v>100703</v>
      </c>
      <c r="K99" s="27">
        <v>5000</v>
      </c>
      <c r="L99" s="373" t="s">
        <v>3220</v>
      </c>
      <c r="M99" s="27" t="str">
        <f t="shared" si="3"/>
        <v>12100703500004</v>
      </c>
      <c r="O99" s="27">
        <f t="shared" si="2"/>
        <v>5000000</v>
      </c>
    </row>
    <row r="100" spans="1:15" x14ac:dyDescent="0.2">
      <c r="A100" s="27" t="s">
        <v>175</v>
      </c>
      <c r="B100" s="325" t="s">
        <v>3309</v>
      </c>
      <c r="C100" s="71">
        <v>100500</v>
      </c>
      <c r="E100" s="27" t="s">
        <v>176</v>
      </c>
      <c r="F100" s="27" t="s">
        <v>177</v>
      </c>
      <c r="G100" s="38">
        <v>41518</v>
      </c>
      <c r="H100" s="38"/>
      <c r="I100" s="27">
        <v>12</v>
      </c>
      <c r="J100" s="27">
        <v>100801</v>
      </c>
      <c r="K100" s="27">
        <v>5000</v>
      </c>
      <c r="L100" s="373" t="s">
        <v>2063</v>
      </c>
      <c r="M100" s="27" t="str">
        <f t="shared" si="3"/>
        <v>12100801500001</v>
      </c>
      <c r="O100" s="27">
        <f t="shared" si="2"/>
        <v>10050000</v>
      </c>
    </row>
    <row r="101" spans="1:15" x14ac:dyDescent="0.2">
      <c r="A101" s="27" t="s">
        <v>175</v>
      </c>
      <c r="B101" s="325" t="s">
        <v>3310</v>
      </c>
      <c r="C101" s="71">
        <v>22500</v>
      </c>
      <c r="E101" s="27" t="s">
        <v>176</v>
      </c>
      <c r="F101" s="27" t="s">
        <v>177</v>
      </c>
      <c r="G101" s="38">
        <v>41518</v>
      </c>
      <c r="H101" s="38"/>
      <c r="I101" s="27">
        <v>12</v>
      </c>
      <c r="J101" s="27">
        <v>100801</v>
      </c>
      <c r="K101" s="27">
        <v>5000</v>
      </c>
      <c r="L101" s="373" t="s">
        <v>3219</v>
      </c>
      <c r="M101" s="27" t="str">
        <f t="shared" si="3"/>
        <v>12100801500003</v>
      </c>
      <c r="O101" s="27">
        <f t="shared" si="2"/>
        <v>2250000</v>
      </c>
    </row>
    <row r="102" spans="1:15" x14ac:dyDescent="0.2">
      <c r="A102" s="27" t="s">
        <v>175</v>
      </c>
      <c r="B102" s="325" t="s">
        <v>3311</v>
      </c>
      <c r="C102" s="71">
        <v>74500</v>
      </c>
      <c r="E102" s="27" t="s">
        <v>176</v>
      </c>
      <c r="F102" s="27" t="s">
        <v>177</v>
      </c>
      <c r="G102" s="38">
        <v>41518</v>
      </c>
      <c r="H102" s="38"/>
      <c r="I102" s="27">
        <v>12</v>
      </c>
      <c r="J102" s="27">
        <v>101001</v>
      </c>
      <c r="K102" s="27">
        <v>5000</v>
      </c>
      <c r="L102" s="373" t="s">
        <v>2063</v>
      </c>
      <c r="M102" s="27" t="str">
        <f t="shared" si="3"/>
        <v>12101001500001</v>
      </c>
      <c r="O102" s="27">
        <f t="shared" si="2"/>
        <v>7450000</v>
      </c>
    </row>
    <row r="103" spans="1:15" x14ac:dyDescent="0.2">
      <c r="A103" s="27" t="s">
        <v>175</v>
      </c>
      <c r="B103" s="325" t="s">
        <v>3312</v>
      </c>
      <c r="C103" s="71">
        <v>143300</v>
      </c>
      <c r="E103" s="27" t="s">
        <v>176</v>
      </c>
      <c r="F103" s="27" t="s">
        <v>177</v>
      </c>
      <c r="G103" s="38">
        <v>41518</v>
      </c>
      <c r="H103" s="38"/>
      <c r="I103" s="27">
        <v>12</v>
      </c>
      <c r="J103" s="27">
        <v>101001</v>
      </c>
      <c r="K103" s="27">
        <v>5000</v>
      </c>
      <c r="L103" s="373" t="s">
        <v>3218</v>
      </c>
      <c r="M103" s="27" t="str">
        <f t="shared" si="3"/>
        <v>12101001500002</v>
      </c>
      <c r="O103" s="27">
        <f t="shared" si="2"/>
        <v>14330000</v>
      </c>
    </row>
    <row r="104" spans="1:15" x14ac:dyDescent="0.2">
      <c r="A104" s="27" t="s">
        <v>175</v>
      </c>
      <c r="B104" s="325" t="s">
        <v>3313</v>
      </c>
      <c r="C104" s="71">
        <v>1584500</v>
      </c>
      <c r="E104" s="27" t="s">
        <v>176</v>
      </c>
      <c r="F104" s="27" t="s">
        <v>177</v>
      </c>
      <c r="G104" s="38">
        <v>41518</v>
      </c>
      <c r="H104" s="38"/>
      <c r="I104" s="27">
        <v>12</v>
      </c>
      <c r="J104" s="27">
        <v>101001</v>
      </c>
      <c r="K104" s="27">
        <v>5000</v>
      </c>
      <c r="L104" s="373" t="s">
        <v>3219</v>
      </c>
      <c r="M104" s="27" t="str">
        <f t="shared" si="3"/>
        <v>12101001500003</v>
      </c>
      <c r="O104" s="27">
        <f t="shared" si="2"/>
        <v>158450000</v>
      </c>
    </row>
    <row r="105" spans="1:15" x14ac:dyDescent="0.2">
      <c r="A105" s="27" t="s">
        <v>175</v>
      </c>
      <c r="B105" s="325" t="s">
        <v>3314</v>
      </c>
      <c r="C105" s="71">
        <v>206500</v>
      </c>
      <c r="E105" s="27" t="s">
        <v>176</v>
      </c>
      <c r="F105" s="27" t="s">
        <v>177</v>
      </c>
      <c r="G105" s="38">
        <v>41518</v>
      </c>
      <c r="H105" s="38"/>
      <c r="I105" s="27">
        <v>12</v>
      </c>
      <c r="J105" s="27">
        <v>101200</v>
      </c>
      <c r="K105" s="27">
        <v>5000</v>
      </c>
      <c r="L105" s="373" t="s">
        <v>2063</v>
      </c>
      <c r="M105" s="27" t="str">
        <f t="shared" si="3"/>
        <v>12101200500001</v>
      </c>
      <c r="O105" s="27">
        <f t="shared" si="2"/>
        <v>20650000</v>
      </c>
    </row>
    <row r="106" spans="1:15" x14ac:dyDescent="0.2">
      <c r="A106" s="27" t="s">
        <v>175</v>
      </c>
      <c r="B106" s="325" t="s">
        <v>3315</v>
      </c>
      <c r="C106" s="71">
        <v>974600</v>
      </c>
      <c r="E106" s="27" t="s">
        <v>176</v>
      </c>
      <c r="F106" s="27" t="s">
        <v>177</v>
      </c>
      <c r="G106" s="38">
        <v>41518</v>
      </c>
      <c r="H106" s="38"/>
      <c r="I106" s="27">
        <v>12</v>
      </c>
      <c r="J106" s="27">
        <v>101201</v>
      </c>
      <c r="K106" s="27">
        <v>5000</v>
      </c>
      <c r="L106" s="373" t="s">
        <v>2063</v>
      </c>
      <c r="M106" s="27" t="str">
        <f t="shared" si="3"/>
        <v>12101201500001</v>
      </c>
      <c r="O106" s="27">
        <f t="shared" si="2"/>
        <v>97460000</v>
      </c>
    </row>
    <row r="107" spans="1:15" x14ac:dyDescent="0.2">
      <c r="A107" s="27" t="s">
        <v>175</v>
      </c>
      <c r="B107" s="325" t="s">
        <v>3316</v>
      </c>
      <c r="C107" s="71">
        <v>668000</v>
      </c>
      <c r="E107" s="27" t="s">
        <v>176</v>
      </c>
      <c r="F107" s="27" t="s">
        <v>177</v>
      </c>
      <c r="G107" s="38">
        <v>41518</v>
      </c>
      <c r="H107" s="38"/>
      <c r="I107" s="27">
        <v>12</v>
      </c>
      <c r="J107" s="27">
        <v>101201</v>
      </c>
      <c r="K107" s="27">
        <v>5000</v>
      </c>
      <c r="L107" s="373" t="s">
        <v>3218</v>
      </c>
      <c r="M107" s="27" t="str">
        <f t="shared" si="3"/>
        <v>12101201500002</v>
      </c>
      <c r="O107" s="27">
        <f t="shared" si="2"/>
        <v>66800000</v>
      </c>
    </row>
    <row r="108" spans="1:15" x14ac:dyDescent="0.2">
      <c r="A108" s="27" t="s">
        <v>175</v>
      </c>
      <c r="B108" s="325" t="s">
        <v>3317</v>
      </c>
      <c r="C108" s="71">
        <v>813000</v>
      </c>
      <c r="E108" s="27" t="s">
        <v>176</v>
      </c>
      <c r="F108" s="27" t="s">
        <v>177</v>
      </c>
      <c r="G108" s="38">
        <v>41518</v>
      </c>
      <c r="H108" s="38"/>
      <c r="I108" s="27">
        <v>12</v>
      </c>
      <c r="J108" s="27">
        <v>101201</v>
      </c>
      <c r="K108" s="27">
        <v>5000</v>
      </c>
      <c r="L108" s="373" t="s">
        <v>3219</v>
      </c>
      <c r="M108" s="27" t="str">
        <f t="shared" si="3"/>
        <v>12101201500003</v>
      </c>
      <c r="O108" s="27">
        <f t="shared" si="2"/>
        <v>81300000</v>
      </c>
    </row>
    <row r="109" spans="1:15" x14ac:dyDescent="0.2">
      <c r="A109" s="27" t="s">
        <v>175</v>
      </c>
      <c r="B109" s="325" t="s">
        <v>3318</v>
      </c>
      <c r="C109" s="71">
        <v>50000</v>
      </c>
      <c r="E109" s="27" t="s">
        <v>176</v>
      </c>
      <c r="F109" s="27" t="s">
        <v>177</v>
      </c>
      <c r="G109" s="38">
        <v>41518</v>
      </c>
      <c r="H109" s="38"/>
      <c r="I109" s="27">
        <v>12</v>
      </c>
      <c r="J109" s="27">
        <v>101201</v>
      </c>
      <c r="K109" s="27">
        <v>5000</v>
      </c>
      <c r="L109" s="373" t="s">
        <v>3220</v>
      </c>
      <c r="M109" s="27" t="str">
        <f t="shared" si="3"/>
        <v>12101201500004</v>
      </c>
      <c r="O109" s="27">
        <f t="shared" si="2"/>
        <v>5000000</v>
      </c>
    </row>
    <row r="110" spans="1:15" x14ac:dyDescent="0.2">
      <c r="A110" s="27" t="s">
        <v>175</v>
      </c>
      <c r="B110" s="325" t="s">
        <v>3319</v>
      </c>
      <c r="C110" s="71">
        <v>50000</v>
      </c>
      <c r="E110" s="27" t="s">
        <v>176</v>
      </c>
      <c r="F110" s="27" t="s">
        <v>177</v>
      </c>
      <c r="G110" s="38">
        <v>41518</v>
      </c>
      <c r="H110" s="38"/>
      <c r="I110" s="27">
        <v>12</v>
      </c>
      <c r="J110" s="27">
        <v>101201</v>
      </c>
      <c r="K110" s="27">
        <v>5000</v>
      </c>
      <c r="L110" s="373" t="s">
        <v>3223</v>
      </c>
      <c r="M110" s="27" t="str">
        <f t="shared" si="3"/>
        <v>12101201500008</v>
      </c>
      <c r="O110" s="27">
        <f t="shared" si="2"/>
        <v>5000000</v>
      </c>
    </row>
    <row r="111" spans="1:15" x14ac:dyDescent="0.2">
      <c r="A111" s="27" t="s">
        <v>175</v>
      </c>
      <c r="B111" s="325" t="s">
        <v>3320</v>
      </c>
      <c r="C111" s="71">
        <v>50000</v>
      </c>
      <c r="E111" s="27" t="s">
        <v>176</v>
      </c>
      <c r="F111" s="27" t="s">
        <v>177</v>
      </c>
      <c r="G111" s="38">
        <v>41518</v>
      </c>
      <c r="H111" s="38"/>
      <c r="I111" s="27">
        <v>12</v>
      </c>
      <c r="J111" s="27">
        <v>101201</v>
      </c>
      <c r="K111" s="27">
        <v>5000</v>
      </c>
      <c r="L111" s="373" t="s">
        <v>3224</v>
      </c>
      <c r="M111" s="27" t="str">
        <f t="shared" si="3"/>
        <v>12101201500023</v>
      </c>
      <c r="O111" s="27">
        <f t="shared" si="2"/>
        <v>5000000</v>
      </c>
    </row>
    <row r="112" spans="1:15" x14ac:dyDescent="0.2">
      <c r="A112" s="27" t="s">
        <v>175</v>
      </c>
      <c r="B112" s="325" t="s">
        <v>3321</v>
      </c>
      <c r="C112" s="71">
        <v>40000</v>
      </c>
      <c r="E112" s="27" t="s">
        <v>176</v>
      </c>
      <c r="F112" s="27" t="s">
        <v>177</v>
      </c>
      <c r="G112" s="38">
        <v>41518</v>
      </c>
      <c r="H112" s="38"/>
      <c r="I112" s="27">
        <v>12</v>
      </c>
      <c r="J112" s="27">
        <v>101201</v>
      </c>
      <c r="K112" s="27">
        <v>5000</v>
      </c>
      <c r="L112" s="373" t="s">
        <v>3227</v>
      </c>
      <c r="M112" s="27" t="str">
        <f t="shared" si="3"/>
        <v>12101201500027</v>
      </c>
      <c r="O112" s="27">
        <f t="shared" si="2"/>
        <v>4000000</v>
      </c>
    </row>
    <row r="113" spans="1:15" x14ac:dyDescent="0.2">
      <c r="A113" s="27" t="s">
        <v>175</v>
      </c>
      <c r="B113" s="325" t="s">
        <v>3322</v>
      </c>
      <c r="C113" s="71">
        <v>108000</v>
      </c>
      <c r="E113" s="27" t="s">
        <v>176</v>
      </c>
      <c r="F113" s="27" t="s">
        <v>177</v>
      </c>
      <c r="G113" s="38">
        <v>41518</v>
      </c>
      <c r="H113" s="38"/>
      <c r="I113" s="27">
        <v>12</v>
      </c>
      <c r="J113" s="27">
        <v>101202</v>
      </c>
      <c r="K113" s="27">
        <v>5000</v>
      </c>
      <c r="L113" s="373" t="s">
        <v>2063</v>
      </c>
      <c r="M113" s="27" t="str">
        <f t="shared" si="3"/>
        <v>12101202500001</v>
      </c>
      <c r="O113" s="27">
        <f t="shared" si="2"/>
        <v>10800000</v>
      </c>
    </row>
    <row r="114" spans="1:15" x14ac:dyDescent="0.2">
      <c r="A114" s="27" t="s">
        <v>175</v>
      </c>
      <c r="B114" s="325" t="s">
        <v>3323</v>
      </c>
      <c r="C114" s="71">
        <v>28000</v>
      </c>
      <c r="E114" s="27" t="s">
        <v>176</v>
      </c>
      <c r="F114" s="27" t="s">
        <v>177</v>
      </c>
      <c r="G114" s="38">
        <v>41518</v>
      </c>
      <c r="H114" s="38"/>
      <c r="I114" s="27">
        <v>12</v>
      </c>
      <c r="J114" s="27">
        <v>101202</v>
      </c>
      <c r="K114" s="27">
        <v>5000</v>
      </c>
      <c r="L114" s="373" t="s">
        <v>3219</v>
      </c>
      <c r="M114" s="27" t="str">
        <f t="shared" si="3"/>
        <v>12101202500003</v>
      </c>
      <c r="O114" s="27">
        <f t="shared" si="2"/>
        <v>2800000</v>
      </c>
    </row>
    <row r="115" spans="1:15" x14ac:dyDescent="0.2">
      <c r="A115" s="27" t="s">
        <v>175</v>
      </c>
      <c r="B115" s="325" t="s">
        <v>3324</v>
      </c>
      <c r="C115" s="71">
        <v>242500</v>
      </c>
      <c r="E115" s="27" t="s">
        <v>176</v>
      </c>
      <c r="F115" s="27" t="s">
        <v>177</v>
      </c>
      <c r="G115" s="38">
        <v>41518</v>
      </c>
      <c r="H115" s="38"/>
      <c r="I115" s="27">
        <v>12</v>
      </c>
      <c r="J115" s="27">
        <v>101203</v>
      </c>
      <c r="K115" s="27">
        <v>5000</v>
      </c>
      <c r="L115" s="373" t="s">
        <v>2063</v>
      </c>
      <c r="M115" s="27" t="str">
        <f t="shared" si="3"/>
        <v>12101203500001</v>
      </c>
      <c r="O115" s="27">
        <f t="shared" si="2"/>
        <v>24250000</v>
      </c>
    </row>
    <row r="116" spans="1:15" x14ac:dyDescent="0.2">
      <c r="A116" s="27" t="s">
        <v>175</v>
      </c>
      <c r="B116" s="325" t="s">
        <v>3325</v>
      </c>
      <c r="C116" s="71">
        <v>214100</v>
      </c>
      <c r="E116" s="27" t="s">
        <v>176</v>
      </c>
      <c r="F116" s="27" t="s">
        <v>177</v>
      </c>
      <c r="G116" s="38">
        <v>41518</v>
      </c>
      <c r="H116" s="38"/>
      <c r="I116" s="27">
        <v>12</v>
      </c>
      <c r="J116" s="27">
        <v>101203</v>
      </c>
      <c r="K116" s="27">
        <v>5000</v>
      </c>
      <c r="L116" s="373" t="s">
        <v>3218</v>
      </c>
      <c r="M116" s="27" t="str">
        <f t="shared" si="3"/>
        <v>12101203500002</v>
      </c>
      <c r="O116" s="27">
        <f t="shared" si="2"/>
        <v>21410000</v>
      </c>
    </row>
    <row r="117" spans="1:15" x14ac:dyDescent="0.2">
      <c r="A117" s="27" t="s">
        <v>175</v>
      </c>
      <c r="B117" s="325" t="s">
        <v>3326</v>
      </c>
      <c r="C117" s="71">
        <v>330000</v>
      </c>
      <c r="E117" s="27" t="s">
        <v>176</v>
      </c>
      <c r="F117" s="27" t="s">
        <v>177</v>
      </c>
      <c r="G117" s="38">
        <v>41518</v>
      </c>
      <c r="H117" s="38"/>
      <c r="I117" s="27">
        <v>12</v>
      </c>
      <c r="J117" s="27">
        <v>101203</v>
      </c>
      <c r="K117" s="27">
        <v>5000</v>
      </c>
      <c r="L117" s="373" t="s">
        <v>3219</v>
      </c>
      <c r="M117" s="27" t="str">
        <f t="shared" si="3"/>
        <v>12101203500003</v>
      </c>
      <c r="O117" s="27">
        <f t="shared" si="2"/>
        <v>33000000</v>
      </c>
    </row>
    <row r="118" spans="1:15" x14ac:dyDescent="0.2">
      <c r="A118" s="27" t="s">
        <v>175</v>
      </c>
      <c r="B118" s="325" t="s">
        <v>3327</v>
      </c>
      <c r="C118" s="71">
        <v>166000</v>
      </c>
      <c r="E118" s="27" t="s">
        <v>176</v>
      </c>
      <c r="F118" s="27" t="s">
        <v>177</v>
      </c>
      <c r="G118" s="38">
        <v>41518</v>
      </c>
      <c r="H118" s="38"/>
      <c r="I118" s="27">
        <v>12</v>
      </c>
      <c r="J118" s="27">
        <v>101205</v>
      </c>
      <c r="K118" s="27">
        <v>5000</v>
      </c>
      <c r="L118" s="373" t="s">
        <v>2063</v>
      </c>
      <c r="M118" s="27" t="str">
        <f t="shared" si="3"/>
        <v>12101205500001</v>
      </c>
      <c r="O118" s="27">
        <f t="shared" si="2"/>
        <v>16600000</v>
      </c>
    </row>
    <row r="119" spans="1:15" x14ac:dyDescent="0.2">
      <c r="A119" s="27" t="s">
        <v>175</v>
      </c>
      <c r="B119" s="325" t="s">
        <v>3328</v>
      </c>
      <c r="C119" s="71">
        <v>690000</v>
      </c>
      <c r="E119" s="27" t="s">
        <v>176</v>
      </c>
      <c r="F119" s="27" t="s">
        <v>177</v>
      </c>
      <c r="G119" s="38">
        <v>41518</v>
      </c>
      <c r="H119" s="38"/>
      <c r="I119" s="27">
        <v>12</v>
      </c>
      <c r="J119" s="27">
        <v>101301</v>
      </c>
      <c r="K119" s="27">
        <v>5000</v>
      </c>
      <c r="L119" s="373" t="s">
        <v>2063</v>
      </c>
      <c r="M119" s="27" t="str">
        <f t="shared" si="3"/>
        <v>12101301500001</v>
      </c>
      <c r="O119" s="27">
        <f t="shared" si="2"/>
        <v>69000000</v>
      </c>
    </row>
    <row r="120" spans="1:15" x14ac:dyDescent="0.2">
      <c r="A120" s="27" t="s">
        <v>175</v>
      </c>
      <c r="B120" s="325" t="s">
        <v>3329</v>
      </c>
      <c r="C120" s="71">
        <v>428500</v>
      </c>
      <c r="E120" s="27" t="s">
        <v>176</v>
      </c>
      <c r="F120" s="27" t="s">
        <v>177</v>
      </c>
      <c r="G120" s="38">
        <v>41518</v>
      </c>
      <c r="H120" s="38"/>
      <c r="I120" s="27">
        <v>12</v>
      </c>
      <c r="J120" s="27">
        <v>101301</v>
      </c>
      <c r="K120" s="27">
        <v>5000</v>
      </c>
      <c r="L120" s="373" t="s">
        <v>3218</v>
      </c>
      <c r="M120" s="27" t="str">
        <f t="shared" si="3"/>
        <v>12101301500002</v>
      </c>
      <c r="O120" s="27">
        <f t="shared" si="2"/>
        <v>42850000</v>
      </c>
    </row>
    <row r="121" spans="1:15" x14ac:dyDescent="0.2">
      <c r="A121" s="27" t="s">
        <v>175</v>
      </c>
      <c r="B121" s="325" t="s">
        <v>3330</v>
      </c>
      <c r="C121" s="71">
        <v>695000</v>
      </c>
      <c r="E121" s="27" t="s">
        <v>176</v>
      </c>
      <c r="F121" s="27" t="s">
        <v>177</v>
      </c>
      <c r="G121" s="38">
        <v>41518</v>
      </c>
      <c r="H121" s="38"/>
      <c r="I121" s="27">
        <v>12</v>
      </c>
      <c r="J121" s="27">
        <v>101301</v>
      </c>
      <c r="K121" s="27">
        <v>5000</v>
      </c>
      <c r="L121" s="373" t="s">
        <v>3219</v>
      </c>
      <c r="M121" s="27" t="str">
        <f t="shared" si="3"/>
        <v>12101301500003</v>
      </c>
      <c r="O121" s="27">
        <f t="shared" si="2"/>
        <v>69500000</v>
      </c>
    </row>
    <row r="122" spans="1:15" x14ac:dyDescent="0.2">
      <c r="A122" s="27" t="s">
        <v>175</v>
      </c>
      <c r="B122" s="325" t="s">
        <v>3331</v>
      </c>
      <c r="C122" s="71">
        <v>150000</v>
      </c>
      <c r="E122" s="27" t="s">
        <v>176</v>
      </c>
      <c r="F122" s="27" t="s">
        <v>177</v>
      </c>
      <c r="G122" s="38">
        <v>41518</v>
      </c>
      <c r="H122" s="38"/>
      <c r="I122" s="27">
        <v>12</v>
      </c>
      <c r="J122" s="27">
        <v>101301</v>
      </c>
      <c r="K122" s="27">
        <v>5000</v>
      </c>
      <c r="L122" s="373" t="s">
        <v>3220</v>
      </c>
      <c r="M122" s="27" t="str">
        <f t="shared" si="3"/>
        <v>12101301500004</v>
      </c>
      <c r="O122" s="27">
        <f t="shared" si="2"/>
        <v>15000000</v>
      </c>
    </row>
    <row r="123" spans="1:15" x14ac:dyDescent="0.2">
      <c r="A123" s="27" t="s">
        <v>175</v>
      </c>
      <c r="B123" s="325" t="s">
        <v>3332</v>
      </c>
      <c r="C123" s="71">
        <v>40000</v>
      </c>
      <c r="E123" s="27" t="s">
        <v>176</v>
      </c>
      <c r="F123" s="27" t="s">
        <v>177</v>
      </c>
      <c r="G123" s="38">
        <v>41518</v>
      </c>
      <c r="H123" s="38"/>
      <c r="I123" s="27">
        <v>12</v>
      </c>
      <c r="J123" s="27">
        <v>101301</v>
      </c>
      <c r="K123" s="27">
        <v>5000</v>
      </c>
      <c r="L123" s="373" t="s">
        <v>3223</v>
      </c>
      <c r="M123" s="27" t="str">
        <f t="shared" si="3"/>
        <v>12101301500008</v>
      </c>
      <c r="O123" s="27">
        <f t="shared" si="2"/>
        <v>4000000</v>
      </c>
    </row>
    <row r="124" spans="1:15" x14ac:dyDescent="0.2">
      <c r="A124" s="27" t="s">
        <v>175</v>
      </c>
      <c r="B124" s="325" t="s">
        <v>3333</v>
      </c>
      <c r="C124" s="71">
        <v>40000</v>
      </c>
      <c r="E124" s="27" t="s">
        <v>176</v>
      </c>
      <c r="F124" s="27" t="s">
        <v>177</v>
      </c>
      <c r="G124" s="38">
        <v>41518</v>
      </c>
      <c r="H124" s="38"/>
      <c r="I124" s="27">
        <v>12</v>
      </c>
      <c r="J124" s="27">
        <v>101301</v>
      </c>
      <c r="K124" s="27">
        <v>5000</v>
      </c>
      <c r="L124" s="373" t="s">
        <v>3224</v>
      </c>
      <c r="M124" s="27" t="str">
        <f t="shared" si="3"/>
        <v>12101301500023</v>
      </c>
      <c r="O124" s="27">
        <f t="shared" si="2"/>
        <v>4000000</v>
      </c>
    </row>
    <row r="125" spans="1:15" x14ac:dyDescent="0.2">
      <c r="A125" s="27" t="s">
        <v>175</v>
      </c>
      <c r="B125" s="325" t="s">
        <v>3334</v>
      </c>
      <c r="C125" s="71">
        <v>75000</v>
      </c>
      <c r="E125" s="27" t="s">
        <v>176</v>
      </c>
      <c r="F125" s="27" t="s">
        <v>177</v>
      </c>
      <c r="G125" s="38">
        <v>41518</v>
      </c>
      <c r="H125" s="38"/>
      <c r="I125" s="27">
        <v>12</v>
      </c>
      <c r="J125" s="27">
        <v>101301</v>
      </c>
      <c r="K125" s="27">
        <v>5000</v>
      </c>
      <c r="L125" s="373" t="s">
        <v>3227</v>
      </c>
      <c r="M125" s="27" t="str">
        <f t="shared" si="3"/>
        <v>12101301500027</v>
      </c>
      <c r="O125" s="27">
        <f t="shared" si="2"/>
        <v>7500000</v>
      </c>
    </row>
    <row r="126" spans="1:15" x14ac:dyDescent="0.2">
      <c r="A126" s="27" t="s">
        <v>175</v>
      </c>
      <c r="B126" s="325" t="s">
        <v>3335</v>
      </c>
      <c r="C126" s="71">
        <v>10210000</v>
      </c>
      <c r="E126" s="27" t="s">
        <v>176</v>
      </c>
      <c r="F126" s="27" t="s">
        <v>177</v>
      </c>
      <c r="G126" s="38">
        <v>41518</v>
      </c>
      <c r="H126" s="38"/>
      <c r="I126" s="27">
        <v>12</v>
      </c>
      <c r="J126" s="27">
        <v>101302</v>
      </c>
      <c r="K126" s="27">
        <v>5000</v>
      </c>
      <c r="L126" s="373" t="s">
        <v>2063</v>
      </c>
      <c r="M126" s="27" t="str">
        <f t="shared" si="3"/>
        <v>12101302500001</v>
      </c>
      <c r="O126" s="27">
        <f t="shared" ref="O126:O189" si="4">+C126*100</f>
        <v>1021000000</v>
      </c>
    </row>
    <row r="127" spans="1:15" x14ac:dyDescent="0.2">
      <c r="A127" s="27" t="s">
        <v>175</v>
      </c>
      <c r="B127" s="325" t="s">
        <v>3336</v>
      </c>
      <c r="C127" s="71">
        <v>24428166</v>
      </c>
      <c r="E127" s="27" t="s">
        <v>176</v>
      </c>
      <c r="F127" s="27" t="s">
        <v>177</v>
      </c>
      <c r="G127" s="38">
        <v>41518</v>
      </c>
      <c r="H127" s="38"/>
      <c r="I127" s="27">
        <v>12</v>
      </c>
      <c r="J127" s="27">
        <v>101302</v>
      </c>
      <c r="K127" s="27">
        <v>7000</v>
      </c>
      <c r="L127" s="373" t="s">
        <v>2063</v>
      </c>
      <c r="M127" s="27" t="str">
        <f t="shared" si="3"/>
        <v>12101302700001</v>
      </c>
      <c r="O127" s="27">
        <f t="shared" si="4"/>
        <v>2442816600</v>
      </c>
    </row>
    <row r="128" spans="1:15" x14ac:dyDescent="0.2">
      <c r="A128" s="27" t="s">
        <v>175</v>
      </c>
      <c r="B128" s="325" t="s">
        <v>3337</v>
      </c>
      <c r="C128" s="71">
        <v>499500</v>
      </c>
      <c r="E128" s="27" t="s">
        <v>176</v>
      </c>
      <c r="F128" s="27" t="s">
        <v>177</v>
      </c>
      <c r="G128" s="38">
        <v>41518</v>
      </c>
      <c r="H128" s="38"/>
      <c r="I128" s="27">
        <v>12</v>
      </c>
      <c r="J128" s="27">
        <v>101401</v>
      </c>
      <c r="K128" s="27">
        <v>5000</v>
      </c>
      <c r="L128" s="373" t="s">
        <v>2063</v>
      </c>
      <c r="M128" s="27" t="str">
        <f t="shared" si="3"/>
        <v>12101401500001</v>
      </c>
      <c r="O128" s="27">
        <f t="shared" si="4"/>
        <v>49950000</v>
      </c>
    </row>
    <row r="129" spans="1:15" x14ac:dyDescent="0.2">
      <c r="A129" s="27" t="s">
        <v>175</v>
      </c>
      <c r="B129" s="325" t="s">
        <v>3338</v>
      </c>
      <c r="C129" s="71">
        <v>107200</v>
      </c>
      <c r="E129" s="27" t="s">
        <v>176</v>
      </c>
      <c r="F129" s="27" t="s">
        <v>177</v>
      </c>
      <c r="G129" s="38">
        <v>41518</v>
      </c>
      <c r="H129" s="38"/>
      <c r="I129" s="27">
        <v>12</v>
      </c>
      <c r="J129" s="27">
        <v>101401</v>
      </c>
      <c r="K129" s="27">
        <v>5000</v>
      </c>
      <c r="L129" s="373" t="s">
        <v>3218</v>
      </c>
      <c r="M129" s="27" t="str">
        <f t="shared" ref="M129:M192" si="5">RIGHT(I129,2)&amp;RIGHT(J129,6)&amp;RIGHT(K129,4)&amp;RIGHT(L129,2)</f>
        <v>12101401500002</v>
      </c>
      <c r="O129" s="27">
        <f t="shared" si="4"/>
        <v>10720000</v>
      </c>
    </row>
    <row r="130" spans="1:15" x14ac:dyDescent="0.2">
      <c r="A130" s="27" t="s">
        <v>175</v>
      </c>
      <c r="B130" s="325" t="s">
        <v>3339</v>
      </c>
      <c r="C130" s="71">
        <v>1384000</v>
      </c>
      <c r="E130" s="27" t="s">
        <v>176</v>
      </c>
      <c r="F130" s="27" t="s">
        <v>177</v>
      </c>
      <c r="G130" s="38">
        <v>41518</v>
      </c>
      <c r="H130" s="38"/>
      <c r="I130" s="27">
        <v>12</v>
      </c>
      <c r="J130" s="27">
        <v>101401</v>
      </c>
      <c r="K130" s="27">
        <v>5000</v>
      </c>
      <c r="L130" s="373" t="s">
        <v>3219</v>
      </c>
      <c r="M130" s="27" t="str">
        <f t="shared" si="5"/>
        <v>12101401500003</v>
      </c>
      <c r="O130" s="27">
        <f t="shared" si="4"/>
        <v>138400000</v>
      </c>
    </row>
    <row r="131" spans="1:15" x14ac:dyDescent="0.2">
      <c r="A131" s="27" t="s">
        <v>175</v>
      </c>
      <c r="B131" s="325" t="s">
        <v>3340</v>
      </c>
      <c r="C131" s="71">
        <v>255000</v>
      </c>
      <c r="E131" s="27" t="s">
        <v>176</v>
      </c>
      <c r="F131" s="27" t="s">
        <v>177</v>
      </c>
      <c r="G131" s="38">
        <v>41518</v>
      </c>
      <c r="H131" s="38"/>
      <c r="I131" s="27">
        <v>12</v>
      </c>
      <c r="J131" s="27">
        <v>101501</v>
      </c>
      <c r="K131" s="27">
        <v>5000</v>
      </c>
      <c r="L131" s="373" t="s">
        <v>2063</v>
      </c>
      <c r="M131" s="27" t="str">
        <f t="shared" si="5"/>
        <v>12101501500001</v>
      </c>
      <c r="O131" s="27">
        <f t="shared" si="4"/>
        <v>25500000</v>
      </c>
    </row>
    <row r="132" spans="1:15" x14ac:dyDescent="0.2">
      <c r="A132" s="27" t="s">
        <v>175</v>
      </c>
      <c r="B132" s="325" t="s">
        <v>3341</v>
      </c>
      <c r="C132" s="71">
        <v>522100</v>
      </c>
      <c r="E132" s="27" t="s">
        <v>176</v>
      </c>
      <c r="F132" s="27" t="s">
        <v>177</v>
      </c>
      <c r="G132" s="38">
        <v>41518</v>
      </c>
      <c r="H132" s="38"/>
      <c r="I132" s="27">
        <v>12</v>
      </c>
      <c r="J132" s="27">
        <v>101501</v>
      </c>
      <c r="K132" s="27">
        <v>5000</v>
      </c>
      <c r="L132" s="373" t="s">
        <v>3218</v>
      </c>
      <c r="M132" s="27" t="str">
        <f t="shared" si="5"/>
        <v>12101501500002</v>
      </c>
      <c r="O132" s="27">
        <f t="shared" si="4"/>
        <v>52210000</v>
      </c>
    </row>
    <row r="133" spans="1:15" x14ac:dyDescent="0.2">
      <c r="A133" s="27" t="s">
        <v>175</v>
      </c>
      <c r="B133" s="325" t="s">
        <v>3342</v>
      </c>
      <c r="C133" s="71">
        <v>499500</v>
      </c>
      <c r="E133" s="27" t="s">
        <v>176</v>
      </c>
      <c r="F133" s="27" t="s">
        <v>177</v>
      </c>
      <c r="G133" s="38">
        <v>41518</v>
      </c>
      <c r="H133" s="38"/>
      <c r="I133" s="27">
        <v>12</v>
      </c>
      <c r="J133" s="27">
        <v>101501</v>
      </c>
      <c r="K133" s="27">
        <v>5000</v>
      </c>
      <c r="L133" s="373" t="s">
        <v>3219</v>
      </c>
      <c r="M133" s="27" t="str">
        <f t="shared" si="5"/>
        <v>12101501500003</v>
      </c>
      <c r="O133" s="27">
        <f t="shared" si="4"/>
        <v>49950000</v>
      </c>
    </row>
    <row r="134" spans="1:15" x14ac:dyDescent="0.2">
      <c r="A134" s="27" t="s">
        <v>175</v>
      </c>
      <c r="B134" s="325" t="s">
        <v>3343</v>
      </c>
      <c r="C134" s="71">
        <v>150000</v>
      </c>
      <c r="E134" s="27" t="s">
        <v>176</v>
      </c>
      <c r="F134" s="27" t="s">
        <v>177</v>
      </c>
      <c r="G134" s="38">
        <v>41518</v>
      </c>
      <c r="H134" s="38"/>
      <c r="I134" s="27">
        <v>12</v>
      </c>
      <c r="J134" s="27">
        <v>101501</v>
      </c>
      <c r="K134" s="27">
        <v>5000</v>
      </c>
      <c r="L134" s="373" t="s">
        <v>3220</v>
      </c>
      <c r="M134" s="27" t="str">
        <f t="shared" si="5"/>
        <v>12101501500004</v>
      </c>
      <c r="O134" s="27">
        <f t="shared" si="4"/>
        <v>15000000</v>
      </c>
    </row>
    <row r="135" spans="1:15" x14ac:dyDescent="0.2">
      <c r="A135" s="27" t="s">
        <v>175</v>
      </c>
      <c r="B135" s="325" t="s">
        <v>3344</v>
      </c>
      <c r="C135" s="71">
        <v>40000</v>
      </c>
      <c r="E135" s="27" t="s">
        <v>176</v>
      </c>
      <c r="F135" s="27" t="s">
        <v>177</v>
      </c>
      <c r="G135" s="38">
        <v>41518</v>
      </c>
      <c r="H135" s="38"/>
      <c r="I135" s="27">
        <v>12</v>
      </c>
      <c r="J135" s="27">
        <v>101501</v>
      </c>
      <c r="K135" s="27">
        <v>5000</v>
      </c>
      <c r="L135" s="373" t="s">
        <v>3221</v>
      </c>
      <c r="M135" s="27" t="str">
        <f t="shared" si="5"/>
        <v>12101501500005</v>
      </c>
      <c r="O135" s="27">
        <f t="shared" si="4"/>
        <v>4000000</v>
      </c>
    </row>
    <row r="136" spans="1:15" x14ac:dyDescent="0.2">
      <c r="A136" s="27" t="s">
        <v>175</v>
      </c>
      <c r="B136" s="325" t="s">
        <v>3345</v>
      </c>
      <c r="C136" s="71">
        <v>40000</v>
      </c>
      <c r="E136" s="27" t="s">
        <v>176</v>
      </c>
      <c r="F136" s="27" t="s">
        <v>177</v>
      </c>
      <c r="G136" s="38">
        <v>41518</v>
      </c>
      <c r="H136" s="38"/>
      <c r="I136" s="27">
        <v>12</v>
      </c>
      <c r="J136" s="27">
        <v>101501</v>
      </c>
      <c r="K136" s="27">
        <v>5000</v>
      </c>
      <c r="L136" s="373" t="s">
        <v>3223</v>
      </c>
      <c r="M136" s="27" t="str">
        <f t="shared" si="5"/>
        <v>12101501500008</v>
      </c>
      <c r="O136" s="27">
        <f t="shared" si="4"/>
        <v>4000000</v>
      </c>
    </row>
    <row r="137" spans="1:15" x14ac:dyDescent="0.2">
      <c r="A137" s="27" t="s">
        <v>175</v>
      </c>
      <c r="B137" s="325" t="s">
        <v>3346</v>
      </c>
      <c r="C137" s="71">
        <v>40000</v>
      </c>
      <c r="E137" s="27" t="s">
        <v>176</v>
      </c>
      <c r="F137" s="27" t="s">
        <v>177</v>
      </c>
      <c r="G137" s="38">
        <v>41518</v>
      </c>
      <c r="H137" s="38"/>
      <c r="I137" s="27">
        <v>12</v>
      </c>
      <c r="J137" s="27">
        <v>101501</v>
      </c>
      <c r="K137" s="27">
        <v>5000</v>
      </c>
      <c r="L137" s="373" t="s">
        <v>3227</v>
      </c>
      <c r="M137" s="27" t="str">
        <f t="shared" si="5"/>
        <v>12101501500027</v>
      </c>
      <c r="O137" s="27">
        <f t="shared" si="4"/>
        <v>4000000</v>
      </c>
    </row>
    <row r="138" spans="1:15" x14ac:dyDescent="0.2">
      <c r="A138" s="27" t="s">
        <v>175</v>
      </c>
      <c r="B138" s="325" t="s">
        <v>3347</v>
      </c>
      <c r="C138" s="71">
        <v>355000</v>
      </c>
      <c r="E138" s="27" t="s">
        <v>176</v>
      </c>
      <c r="F138" s="27" t="s">
        <v>177</v>
      </c>
      <c r="G138" s="38">
        <v>41518</v>
      </c>
      <c r="H138" s="38"/>
      <c r="I138" s="27">
        <v>12</v>
      </c>
      <c r="J138" s="27">
        <v>101603</v>
      </c>
      <c r="K138" s="27">
        <v>5000</v>
      </c>
      <c r="L138" s="373" t="s">
        <v>2063</v>
      </c>
      <c r="M138" s="27" t="str">
        <f t="shared" si="5"/>
        <v>12101603500001</v>
      </c>
      <c r="O138" s="27">
        <f t="shared" si="4"/>
        <v>35500000</v>
      </c>
    </row>
    <row r="139" spans="1:15" x14ac:dyDescent="0.2">
      <c r="A139" s="27" t="s">
        <v>175</v>
      </c>
      <c r="B139" s="325" t="s">
        <v>3348</v>
      </c>
      <c r="C139" s="71">
        <v>223100</v>
      </c>
      <c r="E139" s="27" t="s">
        <v>176</v>
      </c>
      <c r="F139" s="27" t="s">
        <v>177</v>
      </c>
      <c r="G139" s="38">
        <v>41518</v>
      </c>
      <c r="H139" s="38"/>
      <c r="I139" s="27">
        <v>12</v>
      </c>
      <c r="J139" s="27">
        <v>101603</v>
      </c>
      <c r="K139" s="27">
        <v>5000</v>
      </c>
      <c r="L139" s="373" t="s">
        <v>3218</v>
      </c>
      <c r="M139" s="27" t="str">
        <f t="shared" si="5"/>
        <v>12101603500002</v>
      </c>
      <c r="O139" s="27">
        <f t="shared" si="4"/>
        <v>22310000</v>
      </c>
    </row>
    <row r="140" spans="1:15" x14ac:dyDescent="0.2">
      <c r="A140" s="27" t="s">
        <v>175</v>
      </c>
      <c r="B140" s="325" t="s">
        <v>3349</v>
      </c>
      <c r="C140" s="71">
        <v>189000</v>
      </c>
      <c r="E140" s="27" t="s">
        <v>176</v>
      </c>
      <c r="F140" s="27" t="s">
        <v>177</v>
      </c>
      <c r="G140" s="38">
        <v>41518</v>
      </c>
      <c r="H140" s="38"/>
      <c r="I140" s="27">
        <v>12</v>
      </c>
      <c r="J140" s="27">
        <v>101603</v>
      </c>
      <c r="K140" s="27">
        <v>5000</v>
      </c>
      <c r="L140" s="373" t="s">
        <v>3219</v>
      </c>
      <c r="M140" s="27" t="str">
        <f t="shared" si="5"/>
        <v>12101603500003</v>
      </c>
      <c r="O140" s="27">
        <f t="shared" si="4"/>
        <v>18900000</v>
      </c>
    </row>
    <row r="141" spans="1:15" x14ac:dyDescent="0.2">
      <c r="A141" s="27" t="s">
        <v>175</v>
      </c>
      <c r="B141" s="325" t="s">
        <v>3350</v>
      </c>
      <c r="C141" s="71">
        <v>50000</v>
      </c>
      <c r="E141" s="27" t="s">
        <v>176</v>
      </c>
      <c r="F141" s="27" t="s">
        <v>177</v>
      </c>
      <c r="G141" s="38">
        <v>41518</v>
      </c>
      <c r="H141" s="38"/>
      <c r="I141" s="27">
        <v>12</v>
      </c>
      <c r="J141" s="27">
        <v>101603</v>
      </c>
      <c r="K141" s="27">
        <v>5000</v>
      </c>
      <c r="L141" s="373" t="s">
        <v>3220</v>
      </c>
      <c r="M141" s="27" t="str">
        <f t="shared" si="5"/>
        <v>12101603500004</v>
      </c>
      <c r="O141" s="27">
        <f t="shared" si="4"/>
        <v>5000000</v>
      </c>
    </row>
    <row r="142" spans="1:15" x14ac:dyDescent="0.2">
      <c r="A142" s="27" t="s">
        <v>175</v>
      </c>
      <c r="B142" s="325" t="s">
        <v>3351</v>
      </c>
      <c r="C142" s="71">
        <v>40000</v>
      </c>
      <c r="E142" s="27" t="s">
        <v>176</v>
      </c>
      <c r="F142" s="27" t="s">
        <v>177</v>
      </c>
      <c r="G142" s="38">
        <v>41518</v>
      </c>
      <c r="H142" s="38"/>
      <c r="I142" s="27">
        <v>12</v>
      </c>
      <c r="J142" s="27">
        <v>101603</v>
      </c>
      <c r="K142" s="27">
        <v>5000</v>
      </c>
      <c r="L142" s="373" t="s">
        <v>3223</v>
      </c>
      <c r="M142" s="27" t="str">
        <f t="shared" si="5"/>
        <v>12101603500008</v>
      </c>
      <c r="O142" s="27">
        <f t="shared" si="4"/>
        <v>4000000</v>
      </c>
    </row>
    <row r="143" spans="1:15" x14ac:dyDescent="0.2">
      <c r="A143" s="27" t="s">
        <v>175</v>
      </c>
      <c r="B143" s="325" t="s">
        <v>3352</v>
      </c>
      <c r="C143" s="71">
        <v>40000</v>
      </c>
      <c r="E143" s="27" t="s">
        <v>176</v>
      </c>
      <c r="F143" s="27" t="s">
        <v>177</v>
      </c>
      <c r="G143" s="38">
        <v>41518</v>
      </c>
      <c r="H143" s="38"/>
      <c r="I143" s="27">
        <v>12</v>
      </c>
      <c r="J143" s="27">
        <v>101603</v>
      </c>
      <c r="K143" s="27">
        <v>5000</v>
      </c>
      <c r="L143" s="373" t="s">
        <v>3227</v>
      </c>
      <c r="M143" s="27" t="str">
        <f t="shared" si="5"/>
        <v>12101603500027</v>
      </c>
      <c r="O143" s="27">
        <f t="shared" si="4"/>
        <v>4000000</v>
      </c>
    </row>
    <row r="144" spans="1:15" x14ac:dyDescent="0.2">
      <c r="A144" s="27" t="s">
        <v>175</v>
      </c>
      <c r="B144" s="325" t="s">
        <v>3353</v>
      </c>
      <c r="C144" s="71">
        <v>372500</v>
      </c>
      <c r="E144" s="27" t="s">
        <v>176</v>
      </c>
      <c r="F144" s="27" t="s">
        <v>177</v>
      </c>
      <c r="G144" s="38">
        <v>41518</v>
      </c>
      <c r="H144" s="38"/>
      <c r="I144" s="27">
        <v>12</v>
      </c>
      <c r="J144" s="27">
        <v>101604</v>
      </c>
      <c r="K144" s="27">
        <v>5000</v>
      </c>
      <c r="L144" s="373" t="s">
        <v>2063</v>
      </c>
      <c r="M144" s="27" t="str">
        <f t="shared" si="5"/>
        <v>12101604500001</v>
      </c>
      <c r="O144" s="27">
        <f t="shared" si="4"/>
        <v>37250000</v>
      </c>
    </row>
    <row r="145" spans="1:15" x14ac:dyDescent="0.2">
      <c r="A145" s="27" t="s">
        <v>175</v>
      </c>
      <c r="B145" s="325" t="s">
        <v>3354</v>
      </c>
      <c r="C145" s="71">
        <v>306400</v>
      </c>
      <c r="E145" s="27" t="s">
        <v>176</v>
      </c>
      <c r="F145" s="27" t="s">
        <v>177</v>
      </c>
      <c r="G145" s="38">
        <v>41518</v>
      </c>
      <c r="H145" s="38"/>
      <c r="I145" s="27">
        <v>12</v>
      </c>
      <c r="J145" s="27">
        <v>101604</v>
      </c>
      <c r="K145" s="27">
        <v>5000</v>
      </c>
      <c r="L145" s="373" t="s">
        <v>3218</v>
      </c>
      <c r="M145" s="27" t="str">
        <f t="shared" si="5"/>
        <v>12101604500002</v>
      </c>
      <c r="O145" s="27">
        <f t="shared" si="4"/>
        <v>30640000</v>
      </c>
    </row>
    <row r="146" spans="1:15" x14ac:dyDescent="0.2">
      <c r="A146" s="27" t="s">
        <v>175</v>
      </c>
      <c r="B146" s="325" t="s">
        <v>3355</v>
      </c>
      <c r="C146" s="71">
        <v>330200</v>
      </c>
      <c r="E146" s="27" t="s">
        <v>176</v>
      </c>
      <c r="F146" s="27" t="s">
        <v>177</v>
      </c>
      <c r="G146" s="38">
        <v>41518</v>
      </c>
      <c r="H146" s="38"/>
      <c r="I146" s="27">
        <v>12</v>
      </c>
      <c r="J146" s="27">
        <v>101604</v>
      </c>
      <c r="K146" s="27">
        <v>5000</v>
      </c>
      <c r="L146" s="373" t="s">
        <v>3219</v>
      </c>
      <c r="M146" s="27" t="str">
        <f t="shared" si="5"/>
        <v>12101604500003</v>
      </c>
      <c r="O146" s="27">
        <f t="shared" si="4"/>
        <v>33020000</v>
      </c>
    </row>
    <row r="147" spans="1:15" x14ac:dyDescent="0.2">
      <c r="A147" s="27" t="s">
        <v>175</v>
      </c>
      <c r="B147" s="325" t="s">
        <v>3356</v>
      </c>
      <c r="C147" s="71">
        <v>50000</v>
      </c>
      <c r="E147" s="27" t="s">
        <v>176</v>
      </c>
      <c r="F147" s="27" t="s">
        <v>177</v>
      </c>
      <c r="G147" s="38">
        <v>41518</v>
      </c>
      <c r="H147" s="38"/>
      <c r="I147" s="27">
        <v>12</v>
      </c>
      <c r="J147" s="27">
        <v>101604</v>
      </c>
      <c r="K147" s="27">
        <v>5000</v>
      </c>
      <c r="L147" s="373" t="s">
        <v>3220</v>
      </c>
      <c r="M147" s="27" t="str">
        <f t="shared" si="5"/>
        <v>12101604500004</v>
      </c>
      <c r="O147" s="27">
        <f t="shared" si="4"/>
        <v>5000000</v>
      </c>
    </row>
    <row r="148" spans="1:15" x14ac:dyDescent="0.2">
      <c r="A148" s="27" t="s">
        <v>175</v>
      </c>
      <c r="B148" s="325" t="s">
        <v>3357</v>
      </c>
      <c r="C148" s="71">
        <v>40000</v>
      </c>
      <c r="E148" s="27" t="s">
        <v>176</v>
      </c>
      <c r="F148" s="27" t="s">
        <v>177</v>
      </c>
      <c r="G148" s="38">
        <v>41518</v>
      </c>
      <c r="H148" s="38"/>
      <c r="I148" s="27">
        <v>12</v>
      </c>
      <c r="J148" s="27">
        <v>101604</v>
      </c>
      <c r="K148" s="27">
        <v>5000</v>
      </c>
      <c r="L148" s="373" t="s">
        <v>3223</v>
      </c>
      <c r="M148" s="27" t="str">
        <f t="shared" si="5"/>
        <v>12101604500008</v>
      </c>
      <c r="O148" s="27">
        <f t="shared" si="4"/>
        <v>4000000</v>
      </c>
    </row>
    <row r="149" spans="1:15" x14ac:dyDescent="0.2">
      <c r="A149" s="27" t="s">
        <v>175</v>
      </c>
      <c r="B149" s="325" t="s">
        <v>3358</v>
      </c>
      <c r="C149" s="71">
        <v>40000</v>
      </c>
      <c r="E149" s="27" t="s">
        <v>176</v>
      </c>
      <c r="F149" s="27" t="s">
        <v>177</v>
      </c>
      <c r="G149" s="38">
        <v>41518</v>
      </c>
      <c r="H149" s="38"/>
      <c r="I149" s="27">
        <v>12</v>
      </c>
      <c r="J149" s="27">
        <v>101604</v>
      </c>
      <c r="K149" s="27">
        <v>5000</v>
      </c>
      <c r="L149" s="373" t="s">
        <v>3224</v>
      </c>
      <c r="M149" s="27" t="str">
        <f t="shared" si="5"/>
        <v>12101604500023</v>
      </c>
      <c r="O149" s="27">
        <f t="shared" si="4"/>
        <v>4000000</v>
      </c>
    </row>
    <row r="150" spans="1:15" x14ac:dyDescent="0.2">
      <c r="A150" s="27" t="s">
        <v>175</v>
      </c>
      <c r="B150" s="325" t="s">
        <v>3359</v>
      </c>
      <c r="C150" s="71">
        <v>175000</v>
      </c>
      <c r="E150" s="27" t="s">
        <v>176</v>
      </c>
      <c r="F150" s="27" t="s">
        <v>177</v>
      </c>
      <c r="G150" s="38">
        <v>41518</v>
      </c>
      <c r="H150" s="38"/>
      <c r="I150" s="27">
        <v>12</v>
      </c>
      <c r="J150" s="27">
        <v>101605</v>
      </c>
      <c r="K150" s="27">
        <v>5000</v>
      </c>
      <c r="L150" s="373" t="s">
        <v>2063</v>
      </c>
      <c r="M150" s="27" t="str">
        <f t="shared" si="5"/>
        <v>12101605500001</v>
      </c>
      <c r="O150" s="27">
        <f t="shared" si="4"/>
        <v>17500000</v>
      </c>
    </row>
    <row r="151" spans="1:15" x14ac:dyDescent="0.2">
      <c r="A151" s="27" t="s">
        <v>175</v>
      </c>
      <c r="B151" s="325" t="s">
        <v>3360</v>
      </c>
      <c r="C151" s="71">
        <v>42500</v>
      </c>
      <c r="E151" s="27" t="s">
        <v>176</v>
      </c>
      <c r="F151" s="27" t="s">
        <v>177</v>
      </c>
      <c r="G151" s="38">
        <v>41518</v>
      </c>
      <c r="H151" s="38"/>
      <c r="I151" s="27">
        <v>12</v>
      </c>
      <c r="J151" s="27">
        <v>101605</v>
      </c>
      <c r="K151" s="27">
        <v>5000</v>
      </c>
      <c r="L151" s="373" t="s">
        <v>3218</v>
      </c>
      <c r="M151" s="27" t="str">
        <f t="shared" si="5"/>
        <v>12101605500002</v>
      </c>
      <c r="O151" s="27">
        <f t="shared" si="4"/>
        <v>4250000</v>
      </c>
    </row>
    <row r="152" spans="1:15" x14ac:dyDescent="0.2">
      <c r="A152" s="27" t="s">
        <v>175</v>
      </c>
      <c r="B152" s="325" t="s">
        <v>3361</v>
      </c>
      <c r="C152" s="71">
        <v>50000</v>
      </c>
      <c r="E152" s="27" t="s">
        <v>176</v>
      </c>
      <c r="F152" s="27" t="s">
        <v>177</v>
      </c>
      <c r="G152" s="38">
        <v>41518</v>
      </c>
      <c r="H152" s="38"/>
      <c r="I152" s="27">
        <v>12</v>
      </c>
      <c r="J152" s="27">
        <v>101605</v>
      </c>
      <c r="K152" s="27">
        <v>5000</v>
      </c>
      <c r="L152" s="373" t="s">
        <v>3220</v>
      </c>
      <c r="M152" s="27" t="str">
        <f t="shared" si="5"/>
        <v>12101605500004</v>
      </c>
      <c r="O152" s="27">
        <f t="shared" si="4"/>
        <v>5000000</v>
      </c>
    </row>
    <row r="153" spans="1:15" x14ac:dyDescent="0.2">
      <c r="A153" s="27" t="s">
        <v>175</v>
      </c>
      <c r="B153" s="325" t="s">
        <v>3362</v>
      </c>
      <c r="C153" s="71">
        <v>40000</v>
      </c>
      <c r="E153" s="27" t="s">
        <v>176</v>
      </c>
      <c r="F153" s="27" t="s">
        <v>177</v>
      </c>
      <c r="G153" s="38">
        <v>41518</v>
      </c>
      <c r="H153" s="38"/>
      <c r="I153" s="27">
        <v>12</v>
      </c>
      <c r="J153" s="27">
        <v>101605</v>
      </c>
      <c r="K153" s="27">
        <v>5000</v>
      </c>
      <c r="L153" s="373" t="s">
        <v>3221</v>
      </c>
      <c r="M153" s="27" t="str">
        <f t="shared" si="5"/>
        <v>12101605500005</v>
      </c>
      <c r="O153" s="27">
        <f t="shared" si="4"/>
        <v>4000000</v>
      </c>
    </row>
    <row r="154" spans="1:15" x14ac:dyDescent="0.2">
      <c r="A154" s="27" t="s">
        <v>175</v>
      </c>
      <c r="B154" s="325" t="s">
        <v>3363</v>
      </c>
      <c r="C154" s="71">
        <v>320000</v>
      </c>
      <c r="E154" s="27" t="s">
        <v>176</v>
      </c>
      <c r="F154" s="27" t="s">
        <v>177</v>
      </c>
      <c r="G154" s="38">
        <v>41518</v>
      </c>
      <c r="H154" s="38"/>
      <c r="I154" s="27">
        <v>12</v>
      </c>
      <c r="J154" s="27">
        <v>101606</v>
      </c>
      <c r="K154" s="27">
        <v>5000</v>
      </c>
      <c r="L154" s="373" t="s">
        <v>2063</v>
      </c>
      <c r="M154" s="27" t="str">
        <f t="shared" si="5"/>
        <v>12101606500001</v>
      </c>
      <c r="O154" s="27">
        <f t="shared" si="4"/>
        <v>32000000</v>
      </c>
    </row>
    <row r="155" spans="1:15" x14ac:dyDescent="0.2">
      <c r="A155" s="27" t="s">
        <v>175</v>
      </c>
      <c r="B155" s="325" t="s">
        <v>3364</v>
      </c>
      <c r="C155" s="71">
        <v>96400</v>
      </c>
      <c r="E155" s="27" t="s">
        <v>176</v>
      </c>
      <c r="F155" s="27" t="s">
        <v>177</v>
      </c>
      <c r="G155" s="38">
        <v>41518</v>
      </c>
      <c r="H155" s="38"/>
      <c r="I155" s="27">
        <v>12</v>
      </c>
      <c r="J155" s="27">
        <v>101606</v>
      </c>
      <c r="K155" s="27">
        <v>5000</v>
      </c>
      <c r="L155" s="373" t="s">
        <v>3218</v>
      </c>
      <c r="M155" s="27" t="str">
        <f t="shared" si="5"/>
        <v>12101606500002</v>
      </c>
      <c r="O155" s="27">
        <f t="shared" si="4"/>
        <v>9640000</v>
      </c>
    </row>
    <row r="156" spans="1:15" x14ac:dyDescent="0.2">
      <c r="A156" s="27" t="s">
        <v>175</v>
      </c>
      <c r="B156" s="325" t="s">
        <v>3365</v>
      </c>
      <c r="C156" s="71">
        <v>7605000</v>
      </c>
      <c r="E156" s="27" t="s">
        <v>176</v>
      </c>
      <c r="F156" s="27" t="s">
        <v>177</v>
      </c>
      <c r="G156" s="38">
        <v>41518</v>
      </c>
      <c r="H156" s="38"/>
      <c r="I156" s="27">
        <v>12</v>
      </c>
      <c r="J156" s="27">
        <v>109000</v>
      </c>
      <c r="K156" s="27">
        <v>5000</v>
      </c>
      <c r="L156" s="373" t="s">
        <v>2063</v>
      </c>
      <c r="M156" s="27" t="str">
        <f t="shared" si="5"/>
        <v>12109000500001</v>
      </c>
      <c r="O156" s="27">
        <f t="shared" si="4"/>
        <v>760500000</v>
      </c>
    </row>
    <row r="157" spans="1:15" x14ac:dyDescent="0.2">
      <c r="A157" s="27" t="s">
        <v>175</v>
      </c>
      <c r="B157" s="325" t="s">
        <v>3366</v>
      </c>
      <c r="C157" s="71">
        <v>20800417</v>
      </c>
      <c r="E157" s="27" t="s">
        <v>176</v>
      </c>
      <c r="F157" s="27" t="s">
        <v>177</v>
      </c>
      <c r="G157" s="38">
        <v>41518</v>
      </c>
      <c r="H157" s="38"/>
      <c r="I157" s="27">
        <v>12</v>
      </c>
      <c r="J157" s="27">
        <v>109000</v>
      </c>
      <c r="K157" s="27">
        <v>7000</v>
      </c>
      <c r="L157" s="373" t="s">
        <v>2063</v>
      </c>
      <c r="M157" s="27" t="str">
        <f t="shared" si="5"/>
        <v>12109000700001</v>
      </c>
      <c r="O157" s="27">
        <f t="shared" si="4"/>
        <v>2080041700</v>
      </c>
    </row>
    <row r="158" spans="1:15" x14ac:dyDescent="0.2">
      <c r="A158" s="27" t="s">
        <v>175</v>
      </c>
      <c r="B158" s="325" t="s">
        <v>3367</v>
      </c>
      <c r="C158" s="71">
        <v>3600000</v>
      </c>
      <c r="E158" s="27" t="s">
        <v>176</v>
      </c>
      <c r="F158" s="27" t="s">
        <v>177</v>
      </c>
      <c r="G158" s="38">
        <v>41518</v>
      </c>
      <c r="H158" s="38"/>
      <c r="I158" s="27">
        <v>12</v>
      </c>
      <c r="J158" s="27">
        <v>109000</v>
      </c>
      <c r="K158" s="27">
        <v>5000</v>
      </c>
      <c r="L158" s="373" t="s">
        <v>3218</v>
      </c>
      <c r="M158" s="27" t="str">
        <f t="shared" si="5"/>
        <v>12109000500002</v>
      </c>
      <c r="O158" s="27">
        <f t="shared" si="4"/>
        <v>360000000</v>
      </c>
    </row>
    <row r="159" spans="1:15" x14ac:dyDescent="0.2">
      <c r="A159" s="27" t="s">
        <v>175</v>
      </c>
      <c r="B159" s="325" t="s">
        <v>3368</v>
      </c>
      <c r="C159" s="71">
        <v>3630000</v>
      </c>
      <c r="E159" s="27" t="s">
        <v>176</v>
      </c>
      <c r="F159" s="27" t="s">
        <v>177</v>
      </c>
      <c r="G159" s="38">
        <v>41518</v>
      </c>
      <c r="H159" s="38"/>
      <c r="I159" s="27">
        <v>12</v>
      </c>
      <c r="J159" s="27">
        <v>109000</v>
      </c>
      <c r="K159" s="27">
        <v>5000</v>
      </c>
      <c r="L159" s="373" t="s">
        <v>3219</v>
      </c>
      <c r="M159" s="27" t="str">
        <f t="shared" si="5"/>
        <v>12109000500003</v>
      </c>
      <c r="O159" s="27">
        <f t="shared" si="4"/>
        <v>363000000</v>
      </c>
    </row>
    <row r="160" spans="1:15" x14ac:dyDescent="0.2">
      <c r="A160" s="27" t="s">
        <v>175</v>
      </c>
      <c r="B160" s="325" t="s">
        <v>3369</v>
      </c>
      <c r="C160" s="71">
        <v>3430000</v>
      </c>
      <c r="E160" s="27" t="s">
        <v>176</v>
      </c>
      <c r="F160" s="27" t="s">
        <v>177</v>
      </c>
      <c r="G160" s="38">
        <v>41518</v>
      </c>
      <c r="H160" s="38"/>
      <c r="I160" s="27">
        <v>12</v>
      </c>
      <c r="J160" s="27">
        <v>109000</v>
      </c>
      <c r="K160" s="27">
        <v>5000</v>
      </c>
      <c r="L160" s="373" t="s">
        <v>3220</v>
      </c>
      <c r="M160" s="27" t="str">
        <f t="shared" si="5"/>
        <v>12109000500004</v>
      </c>
      <c r="O160" s="27">
        <f t="shared" si="4"/>
        <v>343000000</v>
      </c>
    </row>
    <row r="161" spans="1:15" x14ac:dyDescent="0.2">
      <c r="A161" s="27" t="s">
        <v>175</v>
      </c>
      <c r="B161" s="325" t="s">
        <v>3370</v>
      </c>
      <c r="C161" s="71">
        <v>250000</v>
      </c>
      <c r="E161" s="27" t="s">
        <v>176</v>
      </c>
      <c r="F161" s="27" t="s">
        <v>177</v>
      </c>
      <c r="G161" s="38">
        <v>41518</v>
      </c>
      <c r="H161" s="38"/>
      <c r="I161" s="27">
        <v>12</v>
      </c>
      <c r="J161" s="27">
        <v>109000</v>
      </c>
      <c r="K161" s="27">
        <v>5000</v>
      </c>
      <c r="L161" s="373" t="s">
        <v>3222</v>
      </c>
      <c r="M161" s="27" t="str">
        <f t="shared" si="5"/>
        <v>12109000500007</v>
      </c>
      <c r="O161" s="27">
        <f t="shared" si="4"/>
        <v>25000000</v>
      </c>
    </row>
    <row r="162" spans="1:15" x14ac:dyDescent="0.2">
      <c r="A162" s="27" t="s">
        <v>175</v>
      </c>
      <c r="B162" s="325" t="s">
        <v>3371</v>
      </c>
      <c r="C162" s="71">
        <v>250000</v>
      </c>
      <c r="E162" s="27" t="s">
        <v>176</v>
      </c>
      <c r="F162" s="27" t="s">
        <v>177</v>
      </c>
      <c r="G162" s="38">
        <v>41518</v>
      </c>
      <c r="H162" s="38"/>
      <c r="I162" s="27">
        <v>12</v>
      </c>
      <c r="J162" s="27">
        <v>109000</v>
      </c>
      <c r="K162" s="27">
        <v>5000</v>
      </c>
      <c r="L162" s="373" t="s">
        <v>3228</v>
      </c>
      <c r="M162" s="27" t="str">
        <f t="shared" si="5"/>
        <v>12109000500038</v>
      </c>
      <c r="O162" s="27">
        <f t="shared" si="4"/>
        <v>25000000</v>
      </c>
    </row>
    <row r="163" spans="1:15" x14ac:dyDescent="0.2">
      <c r="A163" s="27" t="s">
        <v>175</v>
      </c>
      <c r="B163" s="325" t="s">
        <v>3372</v>
      </c>
      <c r="C163" s="71">
        <v>1190000</v>
      </c>
      <c r="E163" s="27" t="s">
        <v>176</v>
      </c>
      <c r="F163" s="27" t="s">
        <v>177</v>
      </c>
      <c r="G163" s="38">
        <v>41518</v>
      </c>
      <c r="H163" s="38"/>
      <c r="I163" s="27">
        <v>12</v>
      </c>
      <c r="J163" s="27">
        <v>110005</v>
      </c>
      <c r="K163" s="27">
        <v>5000</v>
      </c>
      <c r="L163" s="373" t="s">
        <v>2063</v>
      </c>
      <c r="M163" s="27" t="str">
        <f t="shared" si="5"/>
        <v>12110005500001</v>
      </c>
      <c r="O163" s="27">
        <f t="shared" si="4"/>
        <v>119000000</v>
      </c>
    </row>
    <row r="164" spans="1:15" x14ac:dyDescent="0.2">
      <c r="A164" s="27" t="s">
        <v>175</v>
      </c>
      <c r="B164" s="325" t="s">
        <v>3373</v>
      </c>
      <c r="C164" s="71">
        <v>460000</v>
      </c>
      <c r="E164" s="27" t="s">
        <v>176</v>
      </c>
      <c r="F164" s="27" t="s">
        <v>177</v>
      </c>
      <c r="G164" s="38">
        <v>41518</v>
      </c>
      <c r="H164" s="38"/>
      <c r="I164" s="27">
        <v>12</v>
      </c>
      <c r="J164" s="27">
        <v>110101</v>
      </c>
      <c r="K164" s="27">
        <v>5000</v>
      </c>
      <c r="L164" s="373" t="s">
        <v>2063</v>
      </c>
      <c r="M164" s="27" t="str">
        <f t="shared" si="5"/>
        <v>12110101500001</v>
      </c>
      <c r="O164" s="27">
        <f t="shared" si="4"/>
        <v>46000000</v>
      </c>
    </row>
    <row r="165" spans="1:15" x14ac:dyDescent="0.2">
      <c r="A165" s="27" t="s">
        <v>175</v>
      </c>
      <c r="B165" s="325" t="s">
        <v>3374</v>
      </c>
      <c r="C165" s="71">
        <v>83600</v>
      </c>
      <c r="E165" s="27" t="s">
        <v>176</v>
      </c>
      <c r="F165" s="27" t="s">
        <v>177</v>
      </c>
      <c r="G165" s="38">
        <v>41518</v>
      </c>
      <c r="H165" s="38"/>
      <c r="I165" s="27">
        <v>12</v>
      </c>
      <c r="J165" s="27">
        <v>110101</v>
      </c>
      <c r="K165" s="27">
        <v>5000</v>
      </c>
      <c r="L165" s="373" t="s">
        <v>3218</v>
      </c>
      <c r="M165" s="27" t="str">
        <f t="shared" si="5"/>
        <v>12110101500002</v>
      </c>
      <c r="O165" s="27">
        <f t="shared" si="4"/>
        <v>8360000</v>
      </c>
    </row>
    <row r="166" spans="1:15" x14ac:dyDescent="0.2">
      <c r="A166" s="27" t="s">
        <v>175</v>
      </c>
      <c r="B166" s="325" t="s">
        <v>3375</v>
      </c>
      <c r="C166" s="71">
        <v>68000</v>
      </c>
      <c r="E166" s="27" t="s">
        <v>176</v>
      </c>
      <c r="F166" s="27" t="s">
        <v>177</v>
      </c>
      <c r="G166" s="38">
        <v>41518</v>
      </c>
      <c r="H166" s="38"/>
      <c r="I166" s="27">
        <v>12</v>
      </c>
      <c r="J166" s="27">
        <v>110105</v>
      </c>
      <c r="K166" s="27">
        <v>5000</v>
      </c>
      <c r="L166" s="373" t="s">
        <v>2063</v>
      </c>
      <c r="M166" s="27" t="str">
        <f t="shared" si="5"/>
        <v>12110105500001</v>
      </c>
      <c r="O166" s="27">
        <f t="shared" si="4"/>
        <v>6800000</v>
      </c>
    </row>
    <row r="167" spans="1:15" x14ac:dyDescent="0.2">
      <c r="A167" s="27" t="s">
        <v>175</v>
      </c>
      <c r="B167" s="325" t="s">
        <v>3376</v>
      </c>
      <c r="C167" s="71">
        <v>991500</v>
      </c>
      <c r="E167" s="27" t="s">
        <v>176</v>
      </c>
      <c r="F167" s="27" t="s">
        <v>177</v>
      </c>
      <c r="G167" s="38">
        <v>41518</v>
      </c>
      <c r="H167" s="38"/>
      <c r="I167" s="27">
        <v>12</v>
      </c>
      <c r="J167" s="27">
        <v>110201</v>
      </c>
      <c r="K167" s="27">
        <v>5000</v>
      </c>
      <c r="L167" s="373" t="s">
        <v>2063</v>
      </c>
      <c r="M167" s="27" t="str">
        <f t="shared" si="5"/>
        <v>12110201500001</v>
      </c>
      <c r="O167" s="27">
        <f t="shared" si="4"/>
        <v>99150000</v>
      </c>
    </row>
    <row r="168" spans="1:15" x14ac:dyDescent="0.2">
      <c r="A168" s="27" t="s">
        <v>175</v>
      </c>
      <c r="B168" s="325" t="s">
        <v>3377</v>
      </c>
      <c r="C168" s="71">
        <v>379100</v>
      </c>
      <c r="E168" s="27" t="s">
        <v>176</v>
      </c>
      <c r="F168" s="27" t="s">
        <v>177</v>
      </c>
      <c r="G168" s="38">
        <v>41518</v>
      </c>
      <c r="H168" s="38"/>
      <c r="I168" s="27">
        <v>12</v>
      </c>
      <c r="J168" s="27">
        <v>110201</v>
      </c>
      <c r="K168" s="27">
        <v>5000</v>
      </c>
      <c r="L168" s="373" t="s">
        <v>3218</v>
      </c>
      <c r="M168" s="27" t="str">
        <f t="shared" si="5"/>
        <v>12110201500002</v>
      </c>
      <c r="O168" s="27">
        <f t="shared" si="4"/>
        <v>37910000</v>
      </c>
    </row>
    <row r="169" spans="1:15" x14ac:dyDescent="0.2">
      <c r="A169" s="27" t="s">
        <v>175</v>
      </c>
      <c r="B169" s="325" t="s">
        <v>3378</v>
      </c>
      <c r="C169" s="71">
        <v>40000</v>
      </c>
      <c r="E169" s="27" t="s">
        <v>176</v>
      </c>
      <c r="F169" s="27" t="s">
        <v>177</v>
      </c>
      <c r="G169" s="38">
        <v>41518</v>
      </c>
      <c r="H169" s="38"/>
      <c r="I169" s="27">
        <v>12</v>
      </c>
      <c r="J169" s="27">
        <v>110201</v>
      </c>
      <c r="K169" s="27">
        <v>5000</v>
      </c>
      <c r="L169" s="373" t="s">
        <v>3219</v>
      </c>
      <c r="M169" s="27" t="str">
        <f t="shared" si="5"/>
        <v>12110201500003</v>
      </c>
      <c r="O169" s="27">
        <f t="shared" si="4"/>
        <v>4000000</v>
      </c>
    </row>
    <row r="170" spans="1:15" x14ac:dyDescent="0.2">
      <c r="A170" s="27" t="s">
        <v>175</v>
      </c>
      <c r="B170" s="325" t="s">
        <v>3379</v>
      </c>
      <c r="C170" s="71">
        <v>511200</v>
      </c>
      <c r="E170" s="27" t="s">
        <v>176</v>
      </c>
      <c r="F170" s="27" t="s">
        <v>177</v>
      </c>
      <c r="G170" s="38">
        <v>41518</v>
      </c>
      <c r="H170" s="38"/>
      <c r="I170" s="27">
        <v>12</v>
      </c>
      <c r="J170" s="27">
        <v>110302</v>
      </c>
      <c r="K170" s="27">
        <v>5000</v>
      </c>
      <c r="L170" s="373" t="s">
        <v>3218</v>
      </c>
      <c r="M170" s="27" t="str">
        <f t="shared" si="5"/>
        <v>12110302500002</v>
      </c>
      <c r="O170" s="27">
        <f t="shared" si="4"/>
        <v>51120000</v>
      </c>
    </row>
    <row r="171" spans="1:15" x14ac:dyDescent="0.2">
      <c r="A171" s="27" t="s">
        <v>175</v>
      </c>
      <c r="B171" s="325" t="s">
        <v>3380</v>
      </c>
      <c r="C171" s="71">
        <v>690000</v>
      </c>
      <c r="E171" s="27" t="s">
        <v>176</v>
      </c>
      <c r="F171" s="27" t="s">
        <v>177</v>
      </c>
      <c r="G171" s="38">
        <v>41518</v>
      </c>
      <c r="H171" s="38"/>
      <c r="I171" s="27">
        <v>12</v>
      </c>
      <c r="J171" s="27">
        <v>110302</v>
      </c>
      <c r="K171" s="27">
        <v>5000</v>
      </c>
      <c r="L171" s="373" t="s">
        <v>3219</v>
      </c>
      <c r="M171" s="27" t="str">
        <f t="shared" si="5"/>
        <v>12110302500003</v>
      </c>
      <c r="O171" s="27">
        <f t="shared" si="4"/>
        <v>69000000</v>
      </c>
    </row>
    <row r="172" spans="1:15" x14ac:dyDescent="0.2">
      <c r="A172" s="27" t="s">
        <v>175</v>
      </c>
      <c r="B172" s="325" t="s">
        <v>3381</v>
      </c>
      <c r="C172" s="71">
        <v>540000</v>
      </c>
      <c r="E172" s="27" t="s">
        <v>176</v>
      </c>
      <c r="F172" s="27" t="s">
        <v>177</v>
      </c>
      <c r="G172" s="38">
        <v>41518</v>
      </c>
      <c r="H172" s="38"/>
      <c r="I172" s="27">
        <v>12</v>
      </c>
      <c r="J172" s="27">
        <v>110303</v>
      </c>
      <c r="K172" s="27">
        <v>5000</v>
      </c>
      <c r="L172" s="373" t="s">
        <v>2063</v>
      </c>
      <c r="M172" s="27" t="str">
        <f t="shared" si="5"/>
        <v>12110303500001</v>
      </c>
      <c r="O172" s="27">
        <f t="shared" si="4"/>
        <v>54000000</v>
      </c>
    </row>
    <row r="173" spans="1:15" x14ac:dyDescent="0.2">
      <c r="A173" s="27" t="s">
        <v>175</v>
      </c>
      <c r="B173" s="325" t="s">
        <v>3382</v>
      </c>
      <c r="C173" s="71">
        <v>96200</v>
      </c>
      <c r="E173" s="27" t="s">
        <v>176</v>
      </c>
      <c r="F173" s="27" t="s">
        <v>177</v>
      </c>
      <c r="G173" s="38">
        <v>41518</v>
      </c>
      <c r="H173" s="38"/>
      <c r="I173" s="27">
        <v>12</v>
      </c>
      <c r="J173" s="27">
        <v>110303</v>
      </c>
      <c r="K173" s="27">
        <v>5000</v>
      </c>
      <c r="L173" s="373" t="s">
        <v>3218</v>
      </c>
      <c r="M173" s="27" t="str">
        <f t="shared" si="5"/>
        <v>12110303500002</v>
      </c>
      <c r="O173" s="27">
        <f t="shared" si="4"/>
        <v>9620000</v>
      </c>
    </row>
    <row r="174" spans="1:15" x14ac:dyDescent="0.2">
      <c r="A174" s="27" t="s">
        <v>175</v>
      </c>
      <c r="B174" s="325" t="s">
        <v>3383</v>
      </c>
      <c r="C174" s="71">
        <v>103000</v>
      </c>
      <c r="E174" s="27" t="s">
        <v>176</v>
      </c>
      <c r="F174" s="27" t="s">
        <v>177</v>
      </c>
      <c r="G174" s="38">
        <v>41518</v>
      </c>
      <c r="H174" s="38"/>
      <c r="I174" s="27">
        <v>12</v>
      </c>
      <c r="J174" s="27">
        <v>110303</v>
      </c>
      <c r="K174" s="27">
        <v>5000</v>
      </c>
      <c r="L174" s="373" t="s">
        <v>3219</v>
      </c>
      <c r="M174" s="27" t="str">
        <f t="shared" si="5"/>
        <v>12110303500003</v>
      </c>
      <c r="O174" s="27">
        <f t="shared" si="4"/>
        <v>10300000</v>
      </c>
    </row>
    <row r="175" spans="1:15" x14ac:dyDescent="0.2">
      <c r="A175" s="27" t="s">
        <v>175</v>
      </c>
      <c r="B175" s="325" t="s">
        <v>3384</v>
      </c>
      <c r="C175" s="71">
        <v>810000</v>
      </c>
      <c r="E175" s="27" t="s">
        <v>176</v>
      </c>
      <c r="F175" s="27" t="s">
        <v>177</v>
      </c>
      <c r="G175" s="38">
        <v>41518</v>
      </c>
      <c r="H175" s="38"/>
      <c r="I175" s="27">
        <v>12</v>
      </c>
      <c r="J175" s="27">
        <v>110392</v>
      </c>
      <c r="K175" s="27">
        <v>5000</v>
      </c>
      <c r="L175" s="373" t="s">
        <v>2063</v>
      </c>
      <c r="M175" s="27" t="str">
        <f t="shared" si="5"/>
        <v>12110392500001</v>
      </c>
      <c r="O175" s="27">
        <f t="shared" si="4"/>
        <v>81000000</v>
      </c>
    </row>
    <row r="176" spans="1:15" x14ac:dyDescent="0.2">
      <c r="A176" s="27" t="s">
        <v>175</v>
      </c>
      <c r="B176" s="325" t="s">
        <v>3385</v>
      </c>
      <c r="C176" s="71">
        <v>3588300</v>
      </c>
      <c r="E176" s="27" t="s">
        <v>176</v>
      </c>
      <c r="F176" s="27" t="s">
        <v>177</v>
      </c>
      <c r="G176" s="38">
        <v>41518</v>
      </c>
      <c r="H176" s="38"/>
      <c r="I176" s="27">
        <v>12</v>
      </c>
      <c r="J176" s="27">
        <v>110401</v>
      </c>
      <c r="K176" s="27">
        <v>5000</v>
      </c>
      <c r="L176" s="373" t="s">
        <v>2063</v>
      </c>
      <c r="M176" s="27" t="str">
        <f t="shared" si="5"/>
        <v>12110401500001</v>
      </c>
      <c r="O176" s="27">
        <f t="shared" si="4"/>
        <v>358830000</v>
      </c>
    </row>
    <row r="177" spans="1:15" x14ac:dyDescent="0.2">
      <c r="A177" s="27" t="s">
        <v>175</v>
      </c>
      <c r="B177" s="325" t="s">
        <v>3386</v>
      </c>
      <c r="C177" s="71">
        <v>2997000</v>
      </c>
      <c r="E177" s="27" t="s">
        <v>176</v>
      </c>
      <c r="F177" s="27" t="s">
        <v>177</v>
      </c>
      <c r="G177" s="38">
        <v>41518</v>
      </c>
      <c r="H177" s="38"/>
      <c r="I177" s="27">
        <v>12</v>
      </c>
      <c r="J177" s="27">
        <v>110402</v>
      </c>
      <c r="K177" s="27">
        <v>5000</v>
      </c>
      <c r="L177" s="373" t="s">
        <v>2063</v>
      </c>
      <c r="M177" s="27" t="str">
        <f t="shared" si="5"/>
        <v>12110402500001</v>
      </c>
      <c r="O177" s="27">
        <f t="shared" si="4"/>
        <v>299700000</v>
      </c>
    </row>
    <row r="178" spans="1:15" x14ac:dyDescent="0.2">
      <c r="A178" s="27" t="s">
        <v>175</v>
      </c>
      <c r="B178" s="325" t="s">
        <v>3387</v>
      </c>
      <c r="C178" s="71">
        <v>500000</v>
      </c>
      <c r="E178" s="27" t="s">
        <v>176</v>
      </c>
      <c r="F178" s="27" t="s">
        <v>177</v>
      </c>
      <c r="G178" s="38">
        <v>41518</v>
      </c>
      <c r="H178" s="38"/>
      <c r="I178" s="27">
        <v>12</v>
      </c>
      <c r="J178" s="27">
        <v>110403</v>
      </c>
      <c r="K178" s="27">
        <v>5000</v>
      </c>
      <c r="L178" s="373" t="s">
        <v>2063</v>
      </c>
      <c r="M178" s="27" t="str">
        <f t="shared" si="5"/>
        <v>12110403500001</v>
      </c>
      <c r="O178" s="27">
        <f t="shared" si="4"/>
        <v>50000000</v>
      </c>
    </row>
    <row r="179" spans="1:15" x14ac:dyDescent="0.2">
      <c r="A179" s="27" t="s">
        <v>175</v>
      </c>
      <c r="B179" s="325" t="s">
        <v>3388</v>
      </c>
      <c r="C179" s="71">
        <v>52300</v>
      </c>
      <c r="E179" s="27" t="s">
        <v>176</v>
      </c>
      <c r="F179" s="27" t="s">
        <v>177</v>
      </c>
      <c r="G179" s="38">
        <v>41518</v>
      </c>
      <c r="H179" s="38"/>
      <c r="I179" s="27">
        <v>12</v>
      </c>
      <c r="J179" s="27">
        <v>110403</v>
      </c>
      <c r="K179" s="27">
        <v>5000</v>
      </c>
      <c r="L179" s="373" t="s">
        <v>3218</v>
      </c>
      <c r="M179" s="27" t="str">
        <f t="shared" si="5"/>
        <v>12110403500002</v>
      </c>
      <c r="O179" s="27">
        <f t="shared" si="4"/>
        <v>5230000</v>
      </c>
    </row>
    <row r="180" spans="1:15" x14ac:dyDescent="0.2">
      <c r="A180" s="27" t="s">
        <v>175</v>
      </c>
      <c r="B180" s="325" t="s">
        <v>3389</v>
      </c>
      <c r="C180" s="71">
        <v>2245000</v>
      </c>
      <c r="E180" s="27" t="s">
        <v>176</v>
      </c>
      <c r="F180" s="27" t="s">
        <v>177</v>
      </c>
      <c r="G180" s="38">
        <v>41518</v>
      </c>
      <c r="H180" s="38"/>
      <c r="I180" s="27">
        <v>12</v>
      </c>
      <c r="J180" s="27">
        <v>110404</v>
      </c>
      <c r="K180" s="27">
        <v>5000</v>
      </c>
      <c r="L180" s="373" t="s">
        <v>2063</v>
      </c>
      <c r="M180" s="27" t="str">
        <f t="shared" si="5"/>
        <v>12110404500001</v>
      </c>
      <c r="O180" s="27">
        <f t="shared" si="4"/>
        <v>224500000</v>
      </c>
    </row>
    <row r="181" spans="1:15" x14ac:dyDescent="0.2">
      <c r="A181" s="27" t="s">
        <v>175</v>
      </c>
      <c r="B181" s="325" t="s">
        <v>3390</v>
      </c>
      <c r="C181" s="71">
        <v>3152500</v>
      </c>
      <c r="E181" s="27" t="s">
        <v>176</v>
      </c>
      <c r="F181" s="27" t="s">
        <v>177</v>
      </c>
      <c r="G181" s="38">
        <v>41518</v>
      </c>
      <c r="H181" s="38"/>
      <c r="I181" s="27">
        <v>12</v>
      </c>
      <c r="J181" s="27">
        <v>110407</v>
      </c>
      <c r="K181" s="27">
        <v>5000</v>
      </c>
      <c r="L181" s="373" t="s">
        <v>2063</v>
      </c>
      <c r="M181" s="27" t="str">
        <f t="shared" si="5"/>
        <v>12110407500001</v>
      </c>
      <c r="O181" s="27">
        <f t="shared" si="4"/>
        <v>315250000</v>
      </c>
    </row>
    <row r="182" spans="1:15" x14ac:dyDescent="0.2">
      <c r="A182" s="27" t="s">
        <v>175</v>
      </c>
      <c r="B182" s="325" t="s">
        <v>3391</v>
      </c>
      <c r="C182" s="71">
        <v>1860000</v>
      </c>
      <c r="E182" s="27" t="s">
        <v>176</v>
      </c>
      <c r="F182" s="27" t="s">
        <v>177</v>
      </c>
      <c r="G182" s="38">
        <v>41518</v>
      </c>
      <c r="H182" s="38"/>
      <c r="I182" s="27">
        <v>12</v>
      </c>
      <c r="J182" s="27">
        <v>110408</v>
      </c>
      <c r="K182" s="27">
        <v>5000</v>
      </c>
      <c r="L182" s="373" t="s">
        <v>2063</v>
      </c>
      <c r="M182" s="27" t="str">
        <f t="shared" si="5"/>
        <v>12110408500001</v>
      </c>
      <c r="O182" s="27">
        <f t="shared" si="4"/>
        <v>186000000</v>
      </c>
    </row>
    <row r="183" spans="1:15" x14ac:dyDescent="0.2">
      <c r="A183" s="27" t="s">
        <v>175</v>
      </c>
      <c r="B183" s="325" t="s">
        <v>3392</v>
      </c>
      <c r="C183" s="71">
        <v>5055000</v>
      </c>
      <c r="E183" s="27" t="s">
        <v>176</v>
      </c>
      <c r="F183" s="27" t="s">
        <v>177</v>
      </c>
      <c r="G183" s="38">
        <v>41518</v>
      </c>
      <c r="H183" s="38"/>
      <c r="I183" s="27">
        <v>12</v>
      </c>
      <c r="J183" s="27">
        <v>110409</v>
      </c>
      <c r="K183" s="27">
        <v>5000</v>
      </c>
      <c r="L183" s="373" t="s">
        <v>2063</v>
      </c>
      <c r="M183" s="27" t="str">
        <f t="shared" si="5"/>
        <v>12110409500001</v>
      </c>
      <c r="O183" s="27">
        <f t="shared" si="4"/>
        <v>505500000</v>
      </c>
    </row>
    <row r="184" spans="1:15" x14ac:dyDescent="0.2">
      <c r="A184" s="27" t="s">
        <v>175</v>
      </c>
      <c r="B184" s="325" t="s">
        <v>3393</v>
      </c>
      <c r="C184" s="71">
        <v>594000</v>
      </c>
      <c r="E184" s="27" t="s">
        <v>176</v>
      </c>
      <c r="F184" s="27" t="s">
        <v>177</v>
      </c>
      <c r="G184" s="38">
        <v>41518</v>
      </c>
      <c r="H184" s="38"/>
      <c r="I184" s="27">
        <v>12</v>
      </c>
      <c r="J184" s="27">
        <v>110412</v>
      </c>
      <c r="K184" s="27">
        <v>5000</v>
      </c>
      <c r="L184" s="373" t="s">
        <v>2063</v>
      </c>
      <c r="M184" s="27" t="str">
        <f t="shared" si="5"/>
        <v>12110412500001</v>
      </c>
      <c r="O184" s="27">
        <f t="shared" si="4"/>
        <v>59400000</v>
      </c>
    </row>
    <row r="185" spans="1:15" x14ac:dyDescent="0.2">
      <c r="A185" s="27" t="s">
        <v>175</v>
      </c>
      <c r="B185" s="325" t="s">
        <v>3394</v>
      </c>
      <c r="C185" s="71">
        <v>6670000</v>
      </c>
      <c r="E185" s="27" t="s">
        <v>176</v>
      </c>
      <c r="F185" s="27" t="s">
        <v>177</v>
      </c>
      <c r="G185" s="38">
        <v>41518</v>
      </c>
      <c r="H185" s="38"/>
      <c r="I185" s="27">
        <v>12</v>
      </c>
      <c r="J185" s="27">
        <v>110494</v>
      </c>
      <c r="K185" s="27">
        <v>5000</v>
      </c>
      <c r="L185" s="373" t="s">
        <v>2063</v>
      </c>
      <c r="M185" s="27" t="str">
        <f t="shared" si="5"/>
        <v>12110494500001</v>
      </c>
      <c r="O185" s="27">
        <f t="shared" si="4"/>
        <v>667000000</v>
      </c>
    </row>
    <row r="186" spans="1:15" x14ac:dyDescent="0.2">
      <c r="A186" s="27" t="s">
        <v>175</v>
      </c>
      <c r="B186" s="325" t="s">
        <v>3395</v>
      </c>
      <c r="C186" s="71">
        <v>12039633</v>
      </c>
      <c r="E186" s="27" t="s">
        <v>176</v>
      </c>
      <c r="F186" s="27" t="s">
        <v>177</v>
      </c>
      <c r="G186" s="38">
        <v>41518</v>
      </c>
      <c r="H186" s="38"/>
      <c r="I186" s="27">
        <v>12</v>
      </c>
      <c r="J186" s="27">
        <v>110494</v>
      </c>
      <c r="K186" s="27">
        <v>7000</v>
      </c>
      <c r="L186" s="373" t="s">
        <v>2063</v>
      </c>
      <c r="M186" s="27" t="str">
        <f t="shared" si="5"/>
        <v>12110494700001</v>
      </c>
      <c r="O186" s="27">
        <f t="shared" si="4"/>
        <v>1203963300</v>
      </c>
    </row>
    <row r="187" spans="1:15" x14ac:dyDescent="0.2">
      <c r="A187" s="27" t="s">
        <v>175</v>
      </c>
      <c r="B187" s="325" t="s">
        <v>3396</v>
      </c>
      <c r="C187" s="71">
        <v>2740000</v>
      </c>
      <c r="E187" s="27" t="s">
        <v>176</v>
      </c>
      <c r="F187" s="27" t="s">
        <v>177</v>
      </c>
      <c r="G187" s="38">
        <v>41518</v>
      </c>
      <c r="H187" s="38"/>
      <c r="I187" s="27">
        <v>12</v>
      </c>
      <c r="J187" s="27">
        <v>110496</v>
      </c>
      <c r="K187" s="27">
        <v>5000</v>
      </c>
      <c r="L187" s="373" t="s">
        <v>2063</v>
      </c>
      <c r="M187" s="27" t="str">
        <f t="shared" si="5"/>
        <v>12110496500001</v>
      </c>
      <c r="O187" s="27">
        <f t="shared" si="4"/>
        <v>274000000</v>
      </c>
    </row>
    <row r="188" spans="1:15" x14ac:dyDescent="0.2">
      <c r="A188" s="27" t="s">
        <v>175</v>
      </c>
      <c r="B188" s="325" t="s">
        <v>3397</v>
      </c>
      <c r="C188" s="71">
        <v>12565940</v>
      </c>
      <c r="E188" s="27" t="s">
        <v>176</v>
      </c>
      <c r="F188" s="27" t="s">
        <v>177</v>
      </c>
      <c r="G188" s="38">
        <v>41518</v>
      </c>
      <c r="H188" s="38"/>
      <c r="I188" s="27">
        <v>12</v>
      </c>
      <c r="J188" s="27">
        <v>110497</v>
      </c>
      <c r="K188" s="27">
        <v>7000</v>
      </c>
      <c r="L188" s="373" t="s">
        <v>2063</v>
      </c>
      <c r="M188" s="27" t="str">
        <f t="shared" si="5"/>
        <v>12110497700001</v>
      </c>
      <c r="O188" s="27">
        <f t="shared" si="4"/>
        <v>1256594000</v>
      </c>
    </row>
    <row r="189" spans="1:15" x14ac:dyDescent="0.2">
      <c r="A189" s="27" t="s">
        <v>175</v>
      </c>
      <c r="B189" s="325" t="s">
        <v>3398</v>
      </c>
      <c r="C189" s="71">
        <v>23060000</v>
      </c>
      <c r="E189" s="27" t="s">
        <v>176</v>
      </c>
      <c r="F189" s="27" t="s">
        <v>177</v>
      </c>
      <c r="G189" s="38">
        <v>41518</v>
      </c>
      <c r="H189" s="38"/>
      <c r="I189" s="27">
        <v>12</v>
      </c>
      <c r="J189" s="27">
        <v>110497</v>
      </c>
      <c r="K189" s="27">
        <v>5000</v>
      </c>
      <c r="L189" s="373" t="s">
        <v>2063</v>
      </c>
      <c r="M189" s="27" t="str">
        <f t="shared" si="5"/>
        <v>12110497500001</v>
      </c>
      <c r="O189" s="27">
        <f t="shared" si="4"/>
        <v>2306000000</v>
      </c>
    </row>
    <row r="190" spans="1:15" x14ac:dyDescent="0.2">
      <c r="A190" s="27" t="s">
        <v>175</v>
      </c>
      <c r="B190" s="325" t="s">
        <v>3399</v>
      </c>
      <c r="C190" s="71">
        <v>2827406</v>
      </c>
      <c r="E190" s="27" t="s">
        <v>176</v>
      </c>
      <c r="F190" s="27" t="s">
        <v>177</v>
      </c>
      <c r="G190" s="38">
        <v>41518</v>
      </c>
      <c r="H190" s="38"/>
      <c r="I190" s="27">
        <v>12</v>
      </c>
      <c r="J190" s="27">
        <v>110501</v>
      </c>
      <c r="K190" s="27">
        <v>7000</v>
      </c>
      <c r="L190" s="373" t="s">
        <v>2063</v>
      </c>
      <c r="M190" s="27" t="str">
        <f t="shared" si="5"/>
        <v>12110501700001</v>
      </c>
      <c r="O190" s="27">
        <f t="shared" ref="O190:O253" si="6">+C190*100</f>
        <v>282740600</v>
      </c>
    </row>
    <row r="191" spans="1:15" x14ac:dyDescent="0.2">
      <c r="A191" s="27" t="s">
        <v>175</v>
      </c>
      <c r="B191" s="325" t="s">
        <v>3400</v>
      </c>
      <c r="C191" s="71">
        <v>3651094</v>
      </c>
      <c r="E191" s="27" t="s">
        <v>176</v>
      </c>
      <c r="F191" s="27" t="s">
        <v>177</v>
      </c>
      <c r="G191" s="38">
        <v>41518</v>
      </c>
      <c r="H191" s="38"/>
      <c r="I191" s="27">
        <v>12</v>
      </c>
      <c r="J191" s="27">
        <v>110501</v>
      </c>
      <c r="K191" s="27">
        <v>5000</v>
      </c>
      <c r="L191" s="373" t="s">
        <v>2063</v>
      </c>
      <c r="M191" s="27" t="str">
        <f t="shared" si="5"/>
        <v>12110501500001</v>
      </c>
      <c r="O191" s="27">
        <f t="shared" si="6"/>
        <v>365109400</v>
      </c>
    </row>
    <row r="192" spans="1:15" x14ac:dyDescent="0.2">
      <c r="A192" s="27" t="s">
        <v>175</v>
      </c>
      <c r="B192" s="325" t="s">
        <v>3401</v>
      </c>
      <c r="C192" s="71">
        <v>2623516</v>
      </c>
      <c r="E192" s="27" t="s">
        <v>176</v>
      </c>
      <c r="F192" s="27" t="s">
        <v>177</v>
      </c>
      <c r="G192" s="38">
        <v>41518</v>
      </c>
      <c r="H192" s="38"/>
      <c r="I192" s="27">
        <v>12</v>
      </c>
      <c r="J192" s="27">
        <v>110501</v>
      </c>
      <c r="K192" s="27">
        <v>7000</v>
      </c>
      <c r="L192" s="373" t="s">
        <v>3218</v>
      </c>
      <c r="M192" s="27" t="str">
        <f t="shared" si="5"/>
        <v>12110501700002</v>
      </c>
      <c r="O192" s="27">
        <f t="shared" si="6"/>
        <v>262351600</v>
      </c>
    </row>
    <row r="193" spans="1:15" x14ac:dyDescent="0.2">
      <c r="A193" s="27" t="s">
        <v>175</v>
      </c>
      <c r="B193" s="325" t="s">
        <v>3402</v>
      </c>
      <c r="C193" s="71">
        <v>4106500</v>
      </c>
      <c r="E193" s="27" t="s">
        <v>176</v>
      </c>
      <c r="F193" s="27" t="s">
        <v>177</v>
      </c>
      <c r="G193" s="38">
        <v>41518</v>
      </c>
      <c r="H193" s="38"/>
      <c r="I193" s="27">
        <v>12</v>
      </c>
      <c r="J193" s="27">
        <v>110501</v>
      </c>
      <c r="K193" s="27">
        <v>5000</v>
      </c>
      <c r="L193" s="373" t="s">
        <v>3218</v>
      </c>
      <c r="M193" s="27" t="str">
        <f t="shared" ref="M193:M256" si="7">RIGHT(I193,2)&amp;RIGHT(J193,6)&amp;RIGHT(K193,4)&amp;RIGHT(L193,2)</f>
        <v>12110501500002</v>
      </c>
      <c r="O193" s="27">
        <f t="shared" si="6"/>
        <v>410650000</v>
      </c>
    </row>
    <row r="194" spans="1:15" x14ac:dyDescent="0.2">
      <c r="A194" s="27" t="s">
        <v>175</v>
      </c>
      <c r="B194" s="325" t="s">
        <v>3403</v>
      </c>
      <c r="C194" s="71">
        <v>2666361</v>
      </c>
      <c r="E194" s="27" t="s">
        <v>176</v>
      </c>
      <c r="F194" s="27" t="s">
        <v>177</v>
      </c>
      <c r="G194" s="38">
        <v>41518</v>
      </c>
      <c r="H194" s="38"/>
      <c r="I194" s="27">
        <v>12</v>
      </c>
      <c r="J194" s="27">
        <v>110501</v>
      </c>
      <c r="K194" s="27">
        <v>7000</v>
      </c>
      <c r="L194" s="373" t="s">
        <v>3219</v>
      </c>
      <c r="M194" s="27" t="str">
        <f t="shared" si="7"/>
        <v>12110501700003</v>
      </c>
      <c r="O194" s="27">
        <f t="shared" si="6"/>
        <v>266636100</v>
      </c>
    </row>
    <row r="195" spans="1:15" x14ac:dyDescent="0.2">
      <c r="A195" s="27" t="s">
        <v>175</v>
      </c>
      <c r="B195" s="325" t="s">
        <v>3404</v>
      </c>
      <c r="C195" s="71">
        <v>3999500</v>
      </c>
      <c r="E195" s="27" t="s">
        <v>176</v>
      </c>
      <c r="F195" s="27" t="s">
        <v>177</v>
      </c>
      <c r="G195" s="38">
        <v>41518</v>
      </c>
      <c r="H195" s="38"/>
      <c r="I195" s="27">
        <v>12</v>
      </c>
      <c r="J195" s="27">
        <v>110501</v>
      </c>
      <c r="K195" s="27">
        <v>5000</v>
      </c>
      <c r="L195" s="373" t="s">
        <v>3219</v>
      </c>
      <c r="M195" s="27" t="str">
        <f t="shared" si="7"/>
        <v>12110501500003</v>
      </c>
      <c r="O195" s="27">
        <f t="shared" si="6"/>
        <v>399950000</v>
      </c>
    </row>
    <row r="196" spans="1:15" x14ac:dyDescent="0.2">
      <c r="A196" s="27" t="s">
        <v>175</v>
      </c>
      <c r="B196" s="325" t="s">
        <v>3405</v>
      </c>
      <c r="C196" s="71">
        <v>1410000</v>
      </c>
      <c r="E196" s="27" t="s">
        <v>176</v>
      </c>
      <c r="F196" s="27" t="s">
        <v>177</v>
      </c>
      <c r="G196" s="38">
        <v>41518</v>
      </c>
      <c r="H196" s="38"/>
      <c r="I196" s="27">
        <v>12</v>
      </c>
      <c r="J196" s="27">
        <v>110506</v>
      </c>
      <c r="K196" s="27">
        <v>5000</v>
      </c>
      <c r="L196" s="373" t="s">
        <v>2063</v>
      </c>
      <c r="M196" s="27" t="str">
        <f t="shared" si="7"/>
        <v>12110506500001</v>
      </c>
      <c r="O196" s="27">
        <f t="shared" si="6"/>
        <v>141000000</v>
      </c>
    </row>
    <row r="197" spans="1:15" x14ac:dyDescent="0.2">
      <c r="A197" s="27" t="s">
        <v>175</v>
      </c>
      <c r="B197" s="325" t="s">
        <v>3406</v>
      </c>
      <c r="C197" s="71">
        <v>2580466</v>
      </c>
      <c r="E197" s="27" t="s">
        <v>176</v>
      </c>
      <c r="F197" s="27" t="s">
        <v>177</v>
      </c>
      <c r="G197" s="38">
        <v>41518</v>
      </c>
      <c r="H197" s="38"/>
      <c r="I197" s="27">
        <v>12</v>
      </c>
      <c r="J197" s="27">
        <v>110506</v>
      </c>
      <c r="K197" s="27">
        <v>7000</v>
      </c>
      <c r="L197" s="373" t="s">
        <v>2063</v>
      </c>
      <c r="M197" s="27" t="str">
        <f t="shared" si="7"/>
        <v>12110506700001</v>
      </c>
      <c r="O197" s="27">
        <f t="shared" si="6"/>
        <v>258046600</v>
      </c>
    </row>
    <row r="198" spans="1:15" x14ac:dyDescent="0.2">
      <c r="A198" s="27" t="s">
        <v>175</v>
      </c>
      <c r="B198" s="325" t="s">
        <v>3407</v>
      </c>
      <c r="C198" s="71">
        <v>3338260</v>
      </c>
      <c r="E198" s="27" t="s">
        <v>176</v>
      </c>
      <c r="F198" s="27" t="s">
        <v>177</v>
      </c>
      <c r="G198" s="38">
        <v>41518</v>
      </c>
      <c r="H198" s="38"/>
      <c r="I198" s="27">
        <v>12</v>
      </c>
      <c r="J198" s="27">
        <v>110510</v>
      </c>
      <c r="K198" s="27">
        <v>7000</v>
      </c>
      <c r="L198" s="373" t="s">
        <v>2063</v>
      </c>
      <c r="M198" s="27" t="str">
        <f t="shared" si="7"/>
        <v>12110510700001</v>
      </c>
      <c r="O198" s="27">
        <f t="shared" si="6"/>
        <v>333826000</v>
      </c>
    </row>
    <row r="199" spans="1:15" x14ac:dyDescent="0.2">
      <c r="A199" s="27" t="s">
        <v>175</v>
      </c>
      <c r="B199" s="325" t="s">
        <v>3408</v>
      </c>
      <c r="C199" s="71">
        <v>11002800</v>
      </c>
      <c r="E199" s="27" t="s">
        <v>176</v>
      </c>
      <c r="F199" s="27" t="s">
        <v>177</v>
      </c>
      <c r="G199" s="38">
        <v>41518</v>
      </c>
      <c r="H199" s="38"/>
      <c r="I199" s="27">
        <v>12</v>
      </c>
      <c r="J199" s="27">
        <v>110510</v>
      </c>
      <c r="K199" s="27">
        <v>5000</v>
      </c>
      <c r="L199" s="373" t="s">
        <v>2063</v>
      </c>
      <c r="M199" s="27" t="str">
        <f t="shared" si="7"/>
        <v>12110510500001</v>
      </c>
      <c r="O199" s="27">
        <f t="shared" si="6"/>
        <v>1100280000</v>
      </c>
    </row>
    <row r="200" spans="1:15" x14ac:dyDescent="0.2">
      <c r="A200" s="27" t="s">
        <v>175</v>
      </c>
      <c r="B200" s="325" t="s">
        <v>3409</v>
      </c>
      <c r="C200" s="71">
        <v>4771329</v>
      </c>
      <c r="E200" s="27" t="s">
        <v>176</v>
      </c>
      <c r="F200" s="27" t="s">
        <v>177</v>
      </c>
      <c r="G200" s="38">
        <v>41518</v>
      </c>
      <c r="H200" s="38"/>
      <c r="I200" s="27">
        <v>12</v>
      </c>
      <c r="J200" s="27">
        <v>110592</v>
      </c>
      <c r="K200" s="27">
        <v>7000</v>
      </c>
      <c r="L200" s="373" t="s">
        <v>2063</v>
      </c>
      <c r="M200" s="27" t="str">
        <f t="shared" si="7"/>
        <v>12110592700001</v>
      </c>
      <c r="O200" s="27">
        <f t="shared" si="6"/>
        <v>477132900</v>
      </c>
    </row>
    <row r="201" spans="1:15" x14ac:dyDescent="0.2">
      <c r="A201" s="27" t="s">
        <v>175</v>
      </c>
      <c r="B201" s="325" t="s">
        <v>3410</v>
      </c>
      <c r="C201" s="71">
        <v>31075000</v>
      </c>
      <c r="E201" s="27" t="s">
        <v>176</v>
      </c>
      <c r="F201" s="27" t="s">
        <v>177</v>
      </c>
      <c r="G201" s="38">
        <v>41518</v>
      </c>
      <c r="H201" s="38"/>
      <c r="I201" s="27">
        <v>12</v>
      </c>
      <c r="J201" s="27">
        <v>110592</v>
      </c>
      <c r="K201" s="27">
        <v>5000</v>
      </c>
      <c r="L201" s="373" t="s">
        <v>2063</v>
      </c>
      <c r="M201" s="27" t="str">
        <f t="shared" si="7"/>
        <v>12110592500001</v>
      </c>
      <c r="O201" s="27">
        <f t="shared" si="6"/>
        <v>3107500000</v>
      </c>
    </row>
    <row r="202" spans="1:15" x14ac:dyDescent="0.2">
      <c r="A202" s="141" t="s">
        <v>175</v>
      </c>
      <c r="B202" s="327" t="s">
        <v>3411</v>
      </c>
      <c r="C202" s="142">
        <v>5600000</v>
      </c>
      <c r="D202" s="142"/>
      <c r="E202" s="141" t="s">
        <v>176</v>
      </c>
      <c r="F202" s="27" t="s">
        <v>177</v>
      </c>
      <c r="G202" s="38">
        <v>41518</v>
      </c>
      <c r="H202" s="38"/>
      <c r="I202" s="27">
        <v>12</v>
      </c>
      <c r="J202" s="27">
        <v>110594</v>
      </c>
      <c r="K202" s="27">
        <v>5000</v>
      </c>
      <c r="L202" s="373" t="s">
        <v>2063</v>
      </c>
      <c r="M202" s="27" t="str">
        <f t="shared" si="7"/>
        <v>12110594500001</v>
      </c>
      <c r="O202" s="27">
        <f t="shared" si="6"/>
        <v>560000000</v>
      </c>
    </row>
    <row r="203" spans="1:15" x14ac:dyDescent="0.2">
      <c r="A203" s="27" t="s">
        <v>175</v>
      </c>
      <c r="B203" s="325" t="s">
        <v>3412</v>
      </c>
      <c r="C203" s="71">
        <v>6365000</v>
      </c>
      <c r="E203" s="27" t="s">
        <v>176</v>
      </c>
      <c r="F203" s="27" t="s">
        <v>177</v>
      </c>
      <c r="G203" s="38">
        <v>41518</v>
      </c>
      <c r="H203" s="38"/>
      <c r="I203" s="27">
        <v>12</v>
      </c>
      <c r="J203" s="27">
        <v>110599</v>
      </c>
      <c r="K203" s="27">
        <v>5000</v>
      </c>
      <c r="L203" s="373" t="s">
        <v>2063</v>
      </c>
      <c r="M203" s="27" t="str">
        <f t="shared" si="7"/>
        <v>12110599500001</v>
      </c>
      <c r="O203" s="27">
        <f t="shared" si="6"/>
        <v>636500000</v>
      </c>
    </row>
    <row r="204" spans="1:15" x14ac:dyDescent="0.2">
      <c r="A204" s="27" t="s">
        <v>175</v>
      </c>
      <c r="B204" s="325" t="s">
        <v>3413</v>
      </c>
      <c r="C204" s="71">
        <v>1165000</v>
      </c>
      <c r="E204" s="27" t="s">
        <v>176</v>
      </c>
      <c r="F204" s="27" t="s">
        <v>177</v>
      </c>
      <c r="G204" s="38">
        <v>41518</v>
      </c>
      <c r="H204" s="38"/>
      <c r="I204" s="27">
        <v>12</v>
      </c>
      <c r="J204" s="27">
        <v>110955</v>
      </c>
      <c r="K204" s="27">
        <v>5000</v>
      </c>
      <c r="L204" s="373" t="s">
        <v>2063</v>
      </c>
      <c r="M204" s="27" t="str">
        <f t="shared" si="7"/>
        <v>12110955500001</v>
      </c>
      <c r="O204" s="27">
        <f t="shared" si="6"/>
        <v>116500000</v>
      </c>
    </row>
    <row r="205" spans="1:15" x14ac:dyDescent="0.2">
      <c r="A205" s="27" t="s">
        <v>175</v>
      </c>
      <c r="B205" s="325" t="s">
        <v>3414</v>
      </c>
      <c r="C205" s="71">
        <v>2760000</v>
      </c>
      <c r="E205" s="27" t="s">
        <v>176</v>
      </c>
      <c r="F205" s="27" t="s">
        <v>177</v>
      </c>
      <c r="G205" s="38">
        <v>41518</v>
      </c>
      <c r="H205" s="38"/>
      <c r="I205" s="27">
        <v>12</v>
      </c>
      <c r="J205" s="27">
        <v>110960</v>
      </c>
      <c r="K205" s="27">
        <v>5000</v>
      </c>
      <c r="L205" s="373" t="s">
        <v>2063</v>
      </c>
      <c r="M205" s="27" t="str">
        <f t="shared" si="7"/>
        <v>12110960500001</v>
      </c>
      <c r="O205" s="27">
        <f t="shared" si="6"/>
        <v>276000000</v>
      </c>
    </row>
    <row r="206" spans="1:15" x14ac:dyDescent="0.2">
      <c r="A206" s="27" t="s">
        <v>175</v>
      </c>
      <c r="B206" s="325" t="s">
        <v>3415</v>
      </c>
      <c r="C206" s="71">
        <v>12260200</v>
      </c>
      <c r="E206" s="27" t="s">
        <v>176</v>
      </c>
      <c r="F206" s="27" t="s">
        <v>177</v>
      </c>
      <c r="G206" s="38">
        <v>41518</v>
      </c>
      <c r="H206" s="38"/>
      <c r="I206" s="27">
        <v>76</v>
      </c>
      <c r="J206" s="27">
        <v>120000</v>
      </c>
      <c r="K206" s="27">
        <v>5000</v>
      </c>
      <c r="L206" s="373" t="s">
        <v>2063</v>
      </c>
      <c r="M206" s="27" t="str">
        <f t="shared" si="7"/>
        <v>76120000500001</v>
      </c>
      <c r="O206" s="27">
        <f t="shared" si="6"/>
        <v>1226020000</v>
      </c>
    </row>
    <row r="207" spans="1:15" x14ac:dyDescent="0.2">
      <c r="A207" s="27" t="s">
        <v>175</v>
      </c>
      <c r="B207" s="325" t="s">
        <v>3416</v>
      </c>
      <c r="C207" s="71">
        <v>3220500</v>
      </c>
      <c r="E207" s="27" t="s">
        <v>176</v>
      </c>
      <c r="F207" s="27" t="s">
        <v>177</v>
      </c>
      <c r="G207" s="38">
        <v>41518</v>
      </c>
      <c r="H207" s="38"/>
      <c r="I207" s="27">
        <v>76</v>
      </c>
      <c r="J207" s="27">
        <v>120010</v>
      </c>
      <c r="K207" s="27">
        <v>5000</v>
      </c>
      <c r="L207" s="373" t="s">
        <v>2063</v>
      </c>
      <c r="M207" s="27" t="str">
        <f t="shared" si="7"/>
        <v>76120010500001</v>
      </c>
      <c r="O207" s="27">
        <f t="shared" si="6"/>
        <v>322050000</v>
      </c>
    </row>
    <row r="208" spans="1:15" x14ac:dyDescent="0.2">
      <c r="A208" s="27" t="s">
        <v>175</v>
      </c>
      <c r="B208" s="325" t="s">
        <v>3417</v>
      </c>
      <c r="C208" s="71">
        <v>23419048</v>
      </c>
      <c r="E208" s="27" t="s">
        <v>176</v>
      </c>
      <c r="F208" s="27" t="s">
        <v>177</v>
      </c>
      <c r="G208" s="38">
        <v>41518</v>
      </c>
      <c r="H208" s="38"/>
      <c r="I208" s="27">
        <v>76</v>
      </c>
      <c r="J208" s="27">
        <v>124000</v>
      </c>
      <c r="K208" s="27">
        <v>5000</v>
      </c>
      <c r="L208" s="373" t="s">
        <v>2063</v>
      </c>
      <c r="M208" s="27" t="str">
        <f t="shared" si="7"/>
        <v>76124000500001</v>
      </c>
      <c r="O208" s="27">
        <f t="shared" si="6"/>
        <v>2341904800</v>
      </c>
    </row>
    <row r="209" spans="1:15" x14ac:dyDescent="0.2">
      <c r="A209" s="27" t="s">
        <v>175</v>
      </c>
      <c r="B209" s="325" t="s">
        <v>3418</v>
      </c>
      <c r="C209" s="71">
        <v>41182652</v>
      </c>
      <c r="E209" s="27" t="s">
        <v>176</v>
      </c>
      <c r="F209" s="27" t="s">
        <v>177</v>
      </c>
      <c r="G209" s="38">
        <v>41518</v>
      </c>
      <c r="H209" s="38"/>
      <c r="I209" s="27">
        <v>76</v>
      </c>
      <c r="J209" s="27">
        <v>124000</v>
      </c>
      <c r="K209" s="27">
        <v>7000</v>
      </c>
      <c r="L209" s="373" t="s">
        <v>2063</v>
      </c>
      <c r="M209" s="27" t="str">
        <f t="shared" si="7"/>
        <v>76124000700001</v>
      </c>
      <c r="O209" s="27">
        <f t="shared" si="6"/>
        <v>4118265200</v>
      </c>
    </row>
    <row r="210" spans="1:15" x14ac:dyDescent="0.2">
      <c r="A210" s="27" t="s">
        <v>175</v>
      </c>
      <c r="B210" s="325" t="s">
        <v>3419</v>
      </c>
      <c r="C210" s="71">
        <v>6213000</v>
      </c>
      <c r="E210" s="27" t="s">
        <v>176</v>
      </c>
      <c r="F210" s="27" t="s">
        <v>177</v>
      </c>
      <c r="G210" s="38">
        <v>41518</v>
      </c>
      <c r="H210" s="38"/>
      <c r="I210" s="27">
        <v>76</v>
      </c>
      <c r="J210" s="27">
        <v>124010</v>
      </c>
      <c r="K210" s="27">
        <v>5000</v>
      </c>
      <c r="L210" s="373" t="s">
        <v>2063</v>
      </c>
      <c r="M210" s="27" t="str">
        <f t="shared" si="7"/>
        <v>76124010500001</v>
      </c>
      <c r="O210" s="27">
        <f t="shared" si="6"/>
        <v>621300000</v>
      </c>
    </row>
    <row r="211" spans="1:15" x14ac:dyDescent="0.2">
      <c r="A211" s="27" t="s">
        <v>175</v>
      </c>
      <c r="B211" s="325" t="s">
        <v>3420</v>
      </c>
      <c r="C211" s="71">
        <v>10200000</v>
      </c>
      <c r="E211" s="27" t="s">
        <v>176</v>
      </c>
      <c r="F211" s="27" t="s">
        <v>177</v>
      </c>
      <c r="G211" s="38">
        <v>41518</v>
      </c>
      <c r="H211" s="38"/>
      <c r="I211" s="27">
        <v>76</v>
      </c>
      <c r="J211" s="27">
        <v>124050</v>
      </c>
      <c r="K211" s="27">
        <v>5000</v>
      </c>
      <c r="L211" s="373" t="s">
        <v>2063</v>
      </c>
      <c r="M211" s="27" t="str">
        <f t="shared" si="7"/>
        <v>76124050500001</v>
      </c>
      <c r="O211" s="27">
        <f t="shared" si="6"/>
        <v>1020000000</v>
      </c>
    </row>
    <row r="212" spans="1:15" x14ac:dyDescent="0.2">
      <c r="A212" s="27" t="s">
        <v>175</v>
      </c>
      <c r="B212" s="325" t="s">
        <v>3421</v>
      </c>
      <c r="C212" s="71">
        <v>7577664</v>
      </c>
      <c r="E212" s="27" t="s">
        <v>176</v>
      </c>
      <c r="F212" s="27" t="s">
        <v>177</v>
      </c>
      <c r="G212" s="38">
        <v>41518</v>
      </c>
      <c r="H212" s="38"/>
      <c r="I212" s="27">
        <v>76</v>
      </c>
      <c r="J212" s="27">
        <v>125140</v>
      </c>
      <c r="K212" s="27">
        <v>7000</v>
      </c>
      <c r="L212" s="373" t="s">
        <v>2063</v>
      </c>
      <c r="M212" s="27" t="str">
        <f t="shared" si="7"/>
        <v>76125140700001</v>
      </c>
      <c r="O212" s="27">
        <f t="shared" si="6"/>
        <v>757766400</v>
      </c>
    </row>
    <row r="213" spans="1:15" x14ac:dyDescent="0.2">
      <c r="A213" s="27" t="s">
        <v>175</v>
      </c>
      <c r="B213" s="325" t="s">
        <v>3422</v>
      </c>
      <c r="C213" s="71">
        <v>17117536</v>
      </c>
      <c r="E213" s="27" t="s">
        <v>176</v>
      </c>
      <c r="F213" s="27" t="s">
        <v>177</v>
      </c>
      <c r="G213" s="38">
        <v>41518</v>
      </c>
      <c r="H213" s="38"/>
      <c r="I213" s="27">
        <v>76</v>
      </c>
      <c r="J213" s="27">
        <v>125140</v>
      </c>
      <c r="K213" s="27">
        <v>5000</v>
      </c>
      <c r="L213" s="373" t="s">
        <v>2063</v>
      </c>
      <c r="M213" s="27" t="str">
        <f t="shared" si="7"/>
        <v>76125140500001</v>
      </c>
      <c r="O213" s="27">
        <f t="shared" si="6"/>
        <v>1711753600</v>
      </c>
    </row>
    <row r="214" spans="1:15" x14ac:dyDescent="0.2">
      <c r="A214" s="27" t="s">
        <v>175</v>
      </c>
      <c r="B214" s="325" t="s">
        <v>3423</v>
      </c>
      <c r="C214" s="71">
        <v>12852808</v>
      </c>
      <c r="E214" s="27" t="s">
        <v>176</v>
      </c>
      <c r="F214" s="27" t="s">
        <v>177</v>
      </c>
      <c r="G214" s="38">
        <v>41518</v>
      </c>
      <c r="H214" s="38"/>
      <c r="I214" s="27">
        <v>76</v>
      </c>
      <c r="J214" s="27">
        <v>127000</v>
      </c>
      <c r="K214" s="27">
        <v>5000</v>
      </c>
      <c r="L214" s="373" t="s">
        <v>2063</v>
      </c>
      <c r="M214" s="27" t="str">
        <f t="shared" si="7"/>
        <v>76127000500001</v>
      </c>
      <c r="O214" s="27">
        <f t="shared" si="6"/>
        <v>1285280800</v>
      </c>
    </row>
    <row r="215" spans="1:15" x14ac:dyDescent="0.2">
      <c r="A215" s="27" t="s">
        <v>175</v>
      </c>
      <c r="B215" s="325" t="s">
        <v>3424</v>
      </c>
      <c r="C215" s="71">
        <v>17239492</v>
      </c>
      <c r="E215" s="27" t="s">
        <v>176</v>
      </c>
      <c r="F215" s="27" t="s">
        <v>177</v>
      </c>
      <c r="G215" s="38">
        <v>41518</v>
      </c>
      <c r="H215" s="38"/>
      <c r="I215" s="27">
        <v>76</v>
      </c>
      <c r="J215" s="27">
        <v>127000</v>
      </c>
      <c r="K215" s="27">
        <v>7000</v>
      </c>
      <c r="L215" s="373" t="s">
        <v>2063</v>
      </c>
      <c r="M215" s="27" t="str">
        <f t="shared" si="7"/>
        <v>76127000700001</v>
      </c>
      <c r="O215" s="27">
        <f t="shared" si="6"/>
        <v>1723949200</v>
      </c>
    </row>
    <row r="216" spans="1:15" x14ac:dyDescent="0.2">
      <c r="A216" s="27" t="s">
        <v>175</v>
      </c>
      <c r="B216" s="325" t="s">
        <v>3425</v>
      </c>
      <c r="C216" s="71">
        <v>4023247</v>
      </c>
      <c r="E216" s="27" t="s">
        <v>176</v>
      </c>
      <c r="F216" s="27" t="s">
        <v>177</v>
      </c>
      <c r="G216" s="38">
        <v>41518</v>
      </c>
      <c r="H216" s="38"/>
      <c r="I216" s="27">
        <v>76</v>
      </c>
      <c r="J216" s="27">
        <v>127005</v>
      </c>
      <c r="K216" s="27">
        <v>5000</v>
      </c>
      <c r="L216" s="373" t="s">
        <v>2063</v>
      </c>
      <c r="M216" s="27" t="str">
        <f t="shared" si="7"/>
        <v>76127005500001</v>
      </c>
      <c r="O216" s="27">
        <f t="shared" si="6"/>
        <v>402324700</v>
      </c>
    </row>
    <row r="217" spans="1:15" x14ac:dyDescent="0.2">
      <c r="A217" s="27" t="s">
        <v>175</v>
      </c>
      <c r="B217" s="325" t="s">
        <v>3426</v>
      </c>
      <c r="C217" s="71">
        <v>18596453</v>
      </c>
      <c r="E217" s="27" t="s">
        <v>176</v>
      </c>
      <c r="F217" s="27" t="s">
        <v>177</v>
      </c>
      <c r="G217" s="38">
        <v>41518</v>
      </c>
      <c r="H217" s="38"/>
      <c r="I217" s="27">
        <v>76</v>
      </c>
      <c r="J217" s="27">
        <v>127005</v>
      </c>
      <c r="K217" s="27">
        <v>7000</v>
      </c>
      <c r="L217" s="373" t="s">
        <v>2063</v>
      </c>
      <c r="M217" s="27" t="str">
        <f t="shared" si="7"/>
        <v>76127005700001</v>
      </c>
      <c r="O217" s="27">
        <f t="shared" si="6"/>
        <v>1859645300</v>
      </c>
    </row>
    <row r="218" spans="1:15" x14ac:dyDescent="0.2">
      <c r="A218" s="27" t="s">
        <v>175</v>
      </c>
      <c r="B218" s="325" t="s">
        <v>3427</v>
      </c>
      <c r="C218" s="71">
        <v>3590580</v>
      </c>
      <c r="E218" s="27" t="s">
        <v>176</v>
      </c>
      <c r="F218" s="27" t="s">
        <v>177</v>
      </c>
      <c r="G218" s="38">
        <v>41518</v>
      </c>
      <c r="H218" s="38"/>
      <c r="I218" s="27">
        <v>76</v>
      </c>
      <c r="J218" s="27">
        <v>127021</v>
      </c>
      <c r="K218" s="27">
        <v>7000</v>
      </c>
      <c r="L218" s="373" t="s">
        <v>2063</v>
      </c>
      <c r="M218" s="27" t="str">
        <f t="shared" si="7"/>
        <v>76127021700001</v>
      </c>
      <c r="O218" s="27">
        <f t="shared" si="6"/>
        <v>359058000</v>
      </c>
    </row>
    <row r="219" spans="1:15" x14ac:dyDescent="0.2">
      <c r="A219" s="27" t="s">
        <v>175</v>
      </c>
      <c r="B219" s="325" t="s">
        <v>3428</v>
      </c>
      <c r="C219" s="71">
        <v>26409420</v>
      </c>
      <c r="E219" s="27" t="s">
        <v>176</v>
      </c>
      <c r="F219" s="27" t="s">
        <v>177</v>
      </c>
      <c r="G219" s="38">
        <v>41518</v>
      </c>
      <c r="H219" s="38"/>
      <c r="I219" s="27">
        <v>76</v>
      </c>
      <c r="J219" s="27">
        <v>127021</v>
      </c>
      <c r="K219" s="27">
        <v>5000</v>
      </c>
      <c r="L219" s="373" t="s">
        <v>2063</v>
      </c>
      <c r="M219" s="27" t="str">
        <f t="shared" si="7"/>
        <v>76127021500001</v>
      </c>
      <c r="O219" s="27">
        <f t="shared" si="6"/>
        <v>2640942000</v>
      </c>
    </row>
    <row r="220" spans="1:15" x14ac:dyDescent="0.2">
      <c r="A220" s="27" t="s">
        <v>175</v>
      </c>
      <c r="B220" s="325" t="s">
        <v>3429</v>
      </c>
      <c r="C220" s="71">
        <v>5860000</v>
      </c>
      <c r="E220" s="27" t="s">
        <v>176</v>
      </c>
      <c r="F220" s="27" t="s">
        <v>177</v>
      </c>
      <c r="G220" s="38">
        <v>41518</v>
      </c>
      <c r="H220" s="38"/>
      <c r="I220" s="27">
        <v>12</v>
      </c>
      <c r="J220" s="27">
        <v>250010</v>
      </c>
      <c r="K220" s="27">
        <v>5000</v>
      </c>
      <c r="L220" s="373" t="s">
        <v>2063</v>
      </c>
      <c r="M220" s="27" t="str">
        <f t="shared" si="7"/>
        <v>12250010500001</v>
      </c>
      <c r="O220" s="27">
        <f t="shared" si="6"/>
        <v>586000000</v>
      </c>
    </row>
    <row r="221" spans="1:15" x14ac:dyDescent="0.2">
      <c r="A221" s="27" t="s">
        <v>175</v>
      </c>
      <c r="B221" s="325" t="s">
        <v>3430</v>
      </c>
      <c r="C221" s="71">
        <v>12421500</v>
      </c>
      <c r="E221" s="27" t="s">
        <v>176</v>
      </c>
      <c r="F221" s="27" t="s">
        <v>177</v>
      </c>
      <c r="G221" s="38">
        <v>41518</v>
      </c>
      <c r="H221" s="38"/>
      <c r="I221" s="27">
        <v>12</v>
      </c>
      <c r="J221" s="27">
        <v>300010</v>
      </c>
      <c r="K221" s="27">
        <v>5000</v>
      </c>
      <c r="L221" s="373" t="s">
        <v>2063</v>
      </c>
      <c r="M221" s="27" t="str">
        <f t="shared" si="7"/>
        <v>12300010500001</v>
      </c>
      <c r="O221" s="27">
        <f t="shared" si="6"/>
        <v>1242150000</v>
      </c>
    </row>
    <row r="222" spans="1:15" x14ac:dyDescent="0.2">
      <c r="A222" s="27" t="s">
        <v>175</v>
      </c>
      <c r="B222" s="325" t="s">
        <v>3431</v>
      </c>
      <c r="C222" s="71">
        <v>24428350</v>
      </c>
      <c r="E222" s="27" t="s">
        <v>176</v>
      </c>
      <c r="F222" s="27" t="s">
        <v>177</v>
      </c>
      <c r="G222" s="38">
        <v>41518</v>
      </c>
      <c r="H222" s="38"/>
      <c r="I222" s="27">
        <v>12</v>
      </c>
      <c r="J222" s="27">
        <v>300010</v>
      </c>
      <c r="K222" s="27">
        <v>7000</v>
      </c>
      <c r="L222" s="373" t="s">
        <v>2063</v>
      </c>
      <c r="M222" s="27" t="str">
        <f t="shared" si="7"/>
        <v>12300010700001</v>
      </c>
      <c r="O222" s="27">
        <f t="shared" si="6"/>
        <v>2442835000</v>
      </c>
    </row>
    <row r="223" spans="1:15" x14ac:dyDescent="0.2">
      <c r="A223" s="27" t="s">
        <v>175</v>
      </c>
      <c r="B223" s="325" t="s">
        <v>3432</v>
      </c>
      <c r="C223" s="71">
        <v>1421500</v>
      </c>
      <c r="E223" s="27" t="s">
        <v>176</v>
      </c>
      <c r="F223" s="27" t="s">
        <v>177</v>
      </c>
      <c r="G223" s="38">
        <v>41518</v>
      </c>
      <c r="H223" s="38"/>
      <c r="I223" s="27">
        <v>12</v>
      </c>
      <c r="J223" s="27">
        <v>300010</v>
      </c>
      <c r="K223" s="27">
        <v>5000</v>
      </c>
      <c r="L223" s="373" t="s">
        <v>3218</v>
      </c>
      <c r="M223" s="27" t="str">
        <f t="shared" si="7"/>
        <v>12300010500002</v>
      </c>
      <c r="O223" s="27">
        <f t="shared" si="6"/>
        <v>142150000</v>
      </c>
    </row>
    <row r="224" spans="1:15" x14ac:dyDescent="0.2">
      <c r="A224" s="27" t="s">
        <v>175</v>
      </c>
      <c r="B224" s="325" t="s">
        <v>3433</v>
      </c>
      <c r="C224" s="71">
        <v>5515331</v>
      </c>
      <c r="E224" s="27" t="s">
        <v>176</v>
      </c>
      <c r="F224" s="27" t="s">
        <v>177</v>
      </c>
      <c r="G224" s="38">
        <v>41518</v>
      </c>
      <c r="H224" s="38"/>
      <c r="I224" s="27">
        <v>12</v>
      </c>
      <c r="J224" s="27">
        <v>300010</v>
      </c>
      <c r="K224" s="27">
        <v>7000</v>
      </c>
      <c r="L224" s="373" t="s">
        <v>3218</v>
      </c>
      <c r="M224" s="27" t="str">
        <f t="shared" si="7"/>
        <v>12300010700002</v>
      </c>
      <c r="O224" s="27">
        <f t="shared" si="6"/>
        <v>551533100</v>
      </c>
    </row>
    <row r="225" spans="1:15" x14ac:dyDescent="0.2">
      <c r="A225" s="27" t="s">
        <v>175</v>
      </c>
      <c r="B225" s="325" t="s">
        <v>3434</v>
      </c>
      <c r="C225" s="71">
        <v>1421500</v>
      </c>
      <c r="E225" s="27" t="s">
        <v>176</v>
      </c>
      <c r="F225" s="27" t="s">
        <v>177</v>
      </c>
      <c r="G225" s="38">
        <v>41518</v>
      </c>
      <c r="H225" s="38"/>
      <c r="I225" s="27">
        <v>12</v>
      </c>
      <c r="J225" s="27">
        <v>300010</v>
      </c>
      <c r="K225" s="27">
        <v>5000</v>
      </c>
      <c r="L225" s="373" t="s">
        <v>3219</v>
      </c>
      <c r="M225" s="27" t="str">
        <f t="shared" si="7"/>
        <v>12300010500003</v>
      </c>
      <c r="O225" s="27">
        <f t="shared" si="6"/>
        <v>142150000</v>
      </c>
    </row>
    <row r="226" spans="1:15" x14ac:dyDescent="0.2">
      <c r="A226" s="27" t="s">
        <v>175</v>
      </c>
      <c r="B226" s="325" t="s">
        <v>3435</v>
      </c>
      <c r="C226" s="71">
        <v>2601831</v>
      </c>
      <c r="E226" s="27" t="s">
        <v>176</v>
      </c>
      <c r="F226" s="27" t="s">
        <v>177</v>
      </c>
      <c r="G226" s="38">
        <v>41518</v>
      </c>
      <c r="H226" s="38"/>
      <c r="I226" s="27">
        <v>12</v>
      </c>
      <c r="J226" s="27">
        <v>300010</v>
      </c>
      <c r="K226" s="27">
        <v>7000</v>
      </c>
      <c r="L226" s="373" t="s">
        <v>3219</v>
      </c>
      <c r="M226" s="27" t="str">
        <f t="shared" si="7"/>
        <v>12300010700003</v>
      </c>
      <c r="O226" s="27">
        <f t="shared" si="6"/>
        <v>260183100</v>
      </c>
    </row>
    <row r="227" spans="1:15" x14ac:dyDescent="0.2">
      <c r="A227" s="27" t="s">
        <v>175</v>
      </c>
      <c r="B227" s="325" t="s">
        <v>3436</v>
      </c>
      <c r="C227" s="71">
        <v>1700000</v>
      </c>
      <c r="E227" s="27" t="s">
        <v>176</v>
      </c>
      <c r="F227" s="27" t="s">
        <v>177</v>
      </c>
      <c r="G227" s="38">
        <v>41518</v>
      </c>
      <c r="H227" s="38"/>
      <c r="I227" s="27">
        <v>12</v>
      </c>
      <c r="J227" s="27">
        <v>300020</v>
      </c>
      <c r="K227" s="27">
        <v>5000</v>
      </c>
      <c r="L227" s="373" t="s">
        <v>2063</v>
      </c>
      <c r="M227" s="27" t="str">
        <f t="shared" si="7"/>
        <v>12300020500001</v>
      </c>
      <c r="O227" s="27">
        <f t="shared" si="6"/>
        <v>170000000</v>
      </c>
    </row>
    <row r="228" spans="1:15" x14ac:dyDescent="0.2">
      <c r="A228" s="27" t="s">
        <v>175</v>
      </c>
      <c r="B228" s="325" t="s">
        <v>3437</v>
      </c>
      <c r="C228" s="71">
        <v>3529338</v>
      </c>
      <c r="E228" s="27" t="s">
        <v>176</v>
      </c>
      <c r="F228" s="27" t="s">
        <v>177</v>
      </c>
      <c r="G228" s="38">
        <v>41518</v>
      </c>
      <c r="H228" s="38"/>
      <c r="I228" s="27">
        <v>12</v>
      </c>
      <c r="J228" s="27">
        <v>300020</v>
      </c>
      <c r="K228" s="27">
        <v>7000</v>
      </c>
      <c r="L228" s="373" t="s">
        <v>2063</v>
      </c>
      <c r="M228" s="27" t="str">
        <f t="shared" si="7"/>
        <v>12300020700001</v>
      </c>
      <c r="O228" s="27">
        <f t="shared" si="6"/>
        <v>352933800</v>
      </c>
    </row>
    <row r="229" spans="1:15" x14ac:dyDescent="0.2">
      <c r="A229" s="27" t="s">
        <v>175</v>
      </c>
      <c r="B229" s="325" t="s">
        <v>3438</v>
      </c>
      <c r="C229" s="71">
        <v>685000</v>
      </c>
      <c r="E229" s="27" t="s">
        <v>176</v>
      </c>
      <c r="F229" s="27" t="s">
        <v>177</v>
      </c>
      <c r="G229" s="38">
        <v>41518</v>
      </c>
      <c r="H229" s="38"/>
      <c r="I229" s="27">
        <v>12</v>
      </c>
      <c r="J229" s="27">
        <v>310010</v>
      </c>
      <c r="K229" s="27">
        <v>5000</v>
      </c>
      <c r="L229" s="373" t="s">
        <v>2063</v>
      </c>
      <c r="M229" s="27" t="str">
        <f t="shared" si="7"/>
        <v>12310010500001</v>
      </c>
      <c r="O229" s="27">
        <f t="shared" si="6"/>
        <v>68500000</v>
      </c>
    </row>
    <row r="230" spans="1:15" x14ac:dyDescent="0.2">
      <c r="A230" s="27" t="s">
        <v>175</v>
      </c>
      <c r="B230" s="325" t="s">
        <v>3439</v>
      </c>
      <c r="C230" s="71">
        <v>13957751</v>
      </c>
      <c r="E230" s="27" t="s">
        <v>176</v>
      </c>
      <c r="F230" s="27" t="s">
        <v>177</v>
      </c>
      <c r="G230" s="38">
        <v>41518</v>
      </c>
      <c r="H230" s="38"/>
      <c r="I230" s="27">
        <v>12</v>
      </c>
      <c r="J230" s="27">
        <v>310010</v>
      </c>
      <c r="K230" s="27">
        <v>7000</v>
      </c>
      <c r="L230" s="373" t="s">
        <v>2063</v>
      </c>
      <c r="M230" s="27" t="str">
        <f t="shared" si="7"/>
        <v>12310010700001</v>
      </c>
      <c r="O230" s="27">
        <f t="shared" si="6"/>
        <v>1395775100</v>
      </c>
    </row>
    <row r="231" spans="1:15" x14ac:dyDescent="0.2">
      <c r="A231" s="27" t="s">
        <v>175</v>
      </c>
      <c r="B231" s="325" t="s">
        <v>3440</v>
      </c>
      <c r="C231" s="71">
        <v>4310000</v>
      </c>
      <c r="E231" s="27" t="s">
        <v>176</v>
      </c>
      <c r="F231" s="27" t="s">
        <v>177</v>
      </c>
      <c r="G231" s="38">
        <v>41518</v>
      </c>
      <c r="H231" s="38"/>
      <c r="I231" s="27">
        <v>12</v>
      </c>
      <c r="J231" s="27">
        <v>310011</v>
      </c>
      <c r="K231" s="27">
        <v>5000</v>
      </c>
      <c r="L231" s="373" t="s">
        <v>2063</v>
      </c>
      <c r="M231" s="27" t="str">
        <f t="shared" si="7"/>
        <v>12310011500001</v>
      </c>
      <c r="O231" s="27">
        <f t="shared" si="6"/>
        <v>431000000</v>
      </c>
    </row>
    <row r="232" spans="1:15" x14ac:dyDescent="0.2">
      <c r="A232" s="27" t="s">
        <v>175</v>
      </c>
      <c r="B232" s="325" t="s">
        <v>3441</v>
      </c>
      <c r="C232" s="71">
        <v>19188240</v>
      </c>
      <c r="E232" s="27" t="s">
        <v>176</v>
      </c>
      <c r="F232" s="27" t="s">
        <v>177</v>
      </c>
      <c r="G232" s="38">
        <v>41518</v>
      </c>
      <c r="H232" s="38"/>
      <c r="I232" s="27">
        <v>12</v>
      </c>
      <c r="J232" s="27">
        <v>310011</v>
      </c>
      <c r="K232" s="27">
        <v>7000</v>
      </c>
      <c r="L232" s="373" t="s">
        <v>2063</v>
      </c>
      <c r="M232" s="27" t="str">
        <f t="shared" si="7"/>
        <v>12310011700001</v>
      </c>
      <c r="O232" s="27">
        <f t="shared" si="6"/>
        <v>1918824000</v>
      </c>
    </row>
    <row r="233" spans="1:15" x14ac:dyDescent="0.2">
      <c r="A233" s="27" t="s">
        <v>175</v>
      </c>
      <c r="B233" s="325" t="s">
        <v>3442</v>
      </c>
      <c r="C233" s="71">
        <v>1813200</v>
      </c>
      <c r="E233" s="27" t="s">
        <v>176</v>
      </c>
      <c r="F233" s="27" t="s">
        <v>177</v>
      </c>
      <c r="G233" s="38">
        <v>41518</v>
      </c>
      <c r="H233" s="38"/>
      <c r="I233" s="27">
        <v>12</v>
      </c>
      <c r="J233" s="27">
        <v>310011</v>
      </c>
      <c r="K233" s="27">
        <v>5000</v>
      </c>
      <c r="L233" s="373" t="s">
        <v>3218</v>
      </c>
      <c r="M233" s="27" t="str">
        <f t="shared" si="7"/>
        <v>12310011500002</v>
      </c>
      <c r="O233" s="27">
        <f t="shared" si="6"/>
        <v>181320000</v>
      </c>
    </row>
    <row r="234" spans="1:15" x14ac:dyDescent="0.2">
      <c r="A234" s="27" t="s">
        <v>175</v>
      </c>
      <c r="B234" s="325" t="s">
        <v>3443</v>
      </c>
      <c r="C234" s="71">
        <v>14282413</v>
      </c>
      <c r="E234" s="27" t="s">
        <v>176</v>
      </c>
      <c r="F234" s="27" t="s">
        <v>177</v>
      </c>
      <c r="G234" s="38">
        <v>41518</v>
      </c>
      <c r="H234" s="38"/>
      <c r="I234" s="27">
        <v>12</v>
      </c>
      <c r="J234" s="27">
        <v>310011</v>
      </c>
      <c r="K234" s="27">
        <v>7000</v>
      </c>
      <c r="L234" s="373" t="s">
        <v>3218</v>
      </c>
      <c r="M234" s="27" t="str">
        <f t="shared" si="7"/>
        <v>12310011700002</v>
      </c>
      <c r="O234" s="27">
        <f t="shared" si="6"/>
        <v>1428241300</v>
      </c>
    </row>
    <row r="235" spans="1:15" x14ac:dyDescent="0.2">
      <c r="A235" s="27" t="s">
        <v>175</v>
      </c>
      <c r="B235" s="325" t="s">
        <v>3444</v>
      </c>
      <c r="C235" s="71">
        <v>2187000</v>
      </c>
      <c r="E235" s="27" t="s">
        <v>176</v>
      </c>
      <c r="F235" s="27" t="s">
        <v>177</v>
      </c>
      <c r="G235" s="38">
        <v>41518</v>
      </c>
      <c r="H235" s="38"/>
      <c r="I235" s="27">
        <v>12</v>
      </c>
      <c r="J235" s="27">
        <v>310011</v>
      </c>
      <c r="K235" s="27">
        <v>5000</v>
      </c>
      <c r="L235" s="373" t="s">
        <v>3219</v>
      </c>
      <c r="M235" s="27" t="str">
        <f t="shared" si="7"/>
        <v>12310011500003</v>
      </c>
      <c r="O235" s="27">
        <f t="shared" si="6"/>
        <v>218700000</v>
      </c>
    </row>
    <row r="236" spans="1:15" x14ac:dyDescent="0.2">
      <c r="A236" s="27" t="s">
        <v>175</v>
      </c>
      <c r="B236" s="325" t="s">
        <v>3445</v>
      </c>
      <c r="C236" s="71">
        <v>15935694</v>
      </c>
      <c r="E236" s="27" t="s">
        <v>176</v>
      </c>
      <c r="F236" s="27" t="s">
        <v>177</v>
      </c>
      <c r="G236" s="38">
        <v>41518</v>
      </c>
      <c r="H236" s="38"/>
      <c r="I236" s="27">
        <v>12</v>
      </c>
      <c r="J236" s="27">
        <v>310011</v>
      </c>
      <c r="K236" s="27">
        <v>7000</v>
      </c>
      <c r="L236" s="373" t="s">
        <v>3219</v>
      </c>
      <c r="M236" s="27" t="str">
        <f t="shared" si="7"/>
        <v>12310011700003</v>
      </c>
      <c r="O236" s="27">
        <f t="shared" si="6"/>
        <v>1593569400</v>
      </c>
    </row>
    <row r="237" spans="1:15" x14ac:dyDescent="0.2">
      <c r="A237" s="27" t="s">
        <v>175</v>
      </c>
      <c r="B237" s="325" t="s">
        <v>3446</v>
      </c>
      <c r="C237" s="71">
        <v>4385000</v>
      </c>
      <c r="E237" s="27" t="s">
        <v>176</v>
      </c>
      <c r="F237" s="27" t="s">
        <v>177</v>
      </c>
      <c r="G237" s="38">
        <v>41518</v>
      </c>
      <c r="H237" s="38"/>
      <c r="I237" s="27">
        <v>12</v>
      </c>
      <c r="J237" s="27">
        <v>310011</v>
      </c>
      <c r="K237" s="27">
        <v>5000</v>
      </c>
      <c r="L237" s="373" t="s">
        <v>3220</v>
      </c>
      <c r="M237" s="27" t="str">
        <f t="shared" si="7"/>
        <v>12310011500004</v>
      </c>
      <c r="O237" s="27">
        <f t="shared" si="6"/>
        <v>438500000</v>
      </c>
    </row>
    <row r="238" spans="1:15" x14ac:dyDescent="0.2">
      <c r="A238" s="27" t="s">
        <v>175</v>
      </c>
      <c r="B238" s="325" t="s">
        <v>3447</v>
      </c>
      <c r="C238" s="71">
        <v>8146650</v>
      </c>
      <c r="E238" s="27" t="s">
        <v>176</v>
      </c>
      <c r="F238" s="27" t="s">
        <v>177</v>
      </c>
      <c r="G238" s="38">
        <v>41518</v>
      </c>
      <c r="H238" s="38"/>
      <c r="I238" s="27">
        <v>12</v>
      </c>
      <c r="J238" s="27">
        <v>310011</v>
      </c>
      <c r="K238" s="27">
        <v>7000</v>
      </c>
      <c r="L238" s="373" t="s">
        <v>3220</v>
      </c>
      <c r="M238" s="27" t="str">
        <f t="shared" si="7"/>
        <v>12310011700004</v>
      </c>
      <c r="O238" s="27">
        <f t="shared" si="6"/>
        <v>814665000</v>
      </c>
    </row>
    <row r="239" spans="1:15" x14ac:dyDescent="0.2">
      <c r="A239" s="27" t="s">
        <v>175</v>
      </c>
      <c r="B239" s="325" t="s">
        <v>3448</v>
      </c>
      <c r="C239" s="71">
        <v>1140000</v>
      </c>
      <c r="E239" s="27" t="s">
        <v>176</v>
      </c>
      <c r="F239" s="27" t="s">
        <v>177</v>
      </c>
      <c r="G239" s="38">
        <v>41518</v>
      </c>
      <c r="H239" s="38"/>
      <c r="I239" s="27">
        <v>12</v>
      </c>
      <c r="J239" s="27">
        <v>310011</v>
      </c>
      <c r="K239" s="27">
        <v>5000</v>
      </c>
      <c r="L239" s="373" t="s">
        <v>3222</v>
      </c>
      <c r="M239" s="27" t="str">
        <f t="shared" si="7"/>
        <v>12310011500007</v>
      </c>
      <c r="O239" s="27">
        <f t="shared" si="6"/>
        <v>114000000</v>
      </c>
    </row>
    <row r="240" spans="1:15" x14ac:dyDescent="0.2">
      <c r="A240" s="27" t="s">
        <v>175</v>
      </c>
      <c r="B240" s="325" t="s">
        <v>3449</v>
      </c>
      <c r="C240" s="71">
        <v>270000</v>
      </c>
      <c r="E240" s="27" t="s">
        <v>176</v>
      </c>
      <c r="F240" s="27" t="s">
        <v>177</v>
      </c>
      <c r="G240" s="38">
        <v>41518</v>
      </c>
      <c r="H240" s="38"/>
      <c r="I240" s="27">
        <v>12</v>
      </c>
      <c r="J240" s="27">
        <v>310011</v>
      </c>
      <c r="K240" s="27">
        <v>5000</v>
      </c>
      <c r="L240" s="373" t="s">
        <v>3224</v>
      </c>
      <c r="M240" s="27" t="str">
        <f t="shared" si="7"/>
        <v>12310011500023</v>
      </c>
      <c r="O240" s="27">
        <f t="shared" si="6"/>
        <v>27000000</v>
      </c>
    </row>
    <row r="241" spans="1:15" x14ac:dyDescent="0.2">
      <c r="A241" s="27" t="s">
        <v>175</v>
      </c>
      <c r="B241" s="325" t="s">
        <v>3450</v>
      </c>
      <c r="C241" s="71">
        <v>150000</v>
      </c>
      <c r="E241" s="27" t="s">
        <v>176</v>
      </c>
      <c r="F241" s="27" t="s">
        <v>177</v>
      </c>
      <c r="G241" s="38">
        <v>41518</v>
      </c>
      <c r="H241" s="38"/>
      <c r="I241" s="27">
        <v>12</v>
      </c>
      <c r="J241" s="27">
        <v>310011</v>
      </c>
      <c r="K241" s="27">
        <v>5000</v>
      </c>
      <c r="L241" s="373" t="s">
        <v>3227</v>
      </c>
      <c r="M241" s="27" t="str">
        <f t="shared" si="7"/>
        <v>12310011500027</v>
      </c>
      <c r="O241" s="27">
        <f t="shared" si="6"/>
        <v>15000000</v>
      </c>
    </row>
    <row r="242" spans="1:15" x14ac:dyDescent="0.2">
      <c r="A242" s="27" t="s">
        <v>175</v>
      </c>
      <c r="B242" s="325" t="s">
        <v>3451</v>
      </c>
      <c r="C242" s="71">
        <v>6140000</v>
      </c>
      <c r="E242" s="27" t="s">
        <v>176</v>
      </c>
      <c r="F242" s="27" t="s">
        <v>177</v>
      </c>
      <c r="G242" s="38">
        <v>41518</v>
      </c>
      <c r="H242" s="38"/>
      <c r="I242" s="27">
        <v>12</v>
      </c>
      <c r="J242" s="27">
        <v>310011</v>
      </c>
      <c r="K242" s="27">
        <v>5000</v>
      </c>
      <c r="L242" s="373" t="s">
        <v>3228</v>
      </c>
      <c r="M242" s="27" t="str">
        <f t="shared" si="7"/>
        <v>12310011500038</v>
      </c>
      <c r="O242" s="27">
        <f t="shared" si="6"/>
        <v>614000000</v>
      </c>
    </row>
    <row r="243" spans="1:15" x14ac:dyDescent="0.2">
      <c r="A243" s="27" t="s">
        <v>175</v>
      </c>
      <c r="B243" s="325" t="s">
        <v>3452</v>
      </c>
      <c r="C243" s="71">
        <v>2135000</v>
      </c>
      <c r="E243" s="27" t="s">
        <v>176</v>
      </c>
      <c r="F243" s="27" t="s">
        <v>177</v>
      </c>
      <c r="G243" s="38">
        <v>41518</v>
      </c>
      <c r="H243" s="38"/>
      <c r="I243" s="27">
        <v>12</v>
      </c>
      <c r="J243" s="27">
        <v>310015</v>
      </c>
      <c r="K243" s="27">
        <v>5000</v>
      </c>
      <c r="L243" s="373" t="s">
        <v>2063</v>
      </c>
      <c r="M243" s="27" t="str">
        <f t="shared" si="7"/>
        <v>12310015500001</v>
      </c>
      <c r="O243" s="27">
        <f t="shared" si="6"/>
        <v>213500000</v>
      </c>
    </row>
    <row r="244" spans="1:15" x14ac:dyDescent="0.2">
      <c r="A244" s="27" t="s">
        <v>175</v>
      </c>
      <c r="B244" s="325" t="s">
        <v>3453</v>
      </c>
      <c r="C244" s="71">
        <v>6084540</v>
      </c>
      <c r="E244" s="27" t="s">
        <v>176</v>
      </c>
      <c r="F244" s="27" t="s">
        <v>177</v>
      </c>
      <c r="G244" s="38">
        <v>41518</v>
      </c>
      <c r="H244" s="38"/>
      <c r="I244" s="27">
        <v>12</v>
      </c>
      <c r="J244" s="27">
        <v>310015</v>
      </c>
      <c r="K244" s="27">
        <v>7000</v>
      </c>
      <c r="L244" s="373" t="s">
        <v>2063</v>
      </c>
      <c r="M244" s="27" t="str">
        <f t="shared" si="7"/>
        <v>12310015700001</v>
      </c>
      <c r="O244" s="27">
        <f t="shared" si="6"/>
        <v>608454000</v>
      </c>
    </row>
    <row r="245" spans="1:15" x14ac:dyDescent="0.2">
      <c r="A245" s="141" t="s">
        <v>175</v>
      </c>
      <c r="B245" s="327" t="s">
        <v>3454</v>
      </c>
      <c r="C245" s="142">
        <v>525000</v>
      </c>
      <c r="D245" s="142"/>
      <c r="E245" s="141" t="s">
        <v>176</v>
      </c>
      <c r="F245" s="27" t="s">
        <v>177</v>
      </c>
      <c r="G245" s="38">
        <v>41518</v>
      </c>
      <c r="H245" s="38"/>
      <c r="I245" s="27">
        <v>12</v>
      </c>
      <c r="J245" s="27">
        <v>310016</v>
      </c>
      <c r="K245" s="27">
        <v>5000</v>
      </c>
      <c r="L245" s="373" t="s">
        <v>2063</v>
      </c>
      <c r="M245" s="27" t="str">
        <f t="shared" si="7"/>
        <v>12310016500001</v>
      </c>
      <c r="O245" s="27">
        <f t="shared" si="6"/>
        <v>52500000</v>
      </c>
    </row>
    <row r="246" spans="1:15" x14ac:dyDescent="0.2">
      <c r="A246" s="141" t="s">
        <v>175</v>
      </c>
      <c r="B246" s="327" t="s">
        <v>3455</v>
      </c>
      <c r="C246" s="142">
        <v>9825212</v>
      </c>
      <c r="D246" s="142"/>
      <c r="E246" s="141" t="s">
        <v>176</v>
      </c>
      <c r="F246" s="27" t="s">
        <v>177</v>
      </c>
      <c r="G246" s="38">
        <v>41518</v>
      </c>
      <c r="H246" s="38"/>
      <c r="I246" s="27">
        <v>12</v>
      </c>
      <c r="J246" s="27">
        <v>310016</v>
      </c>
      <c r="K246" s="27">
        <v>7000</v>
      </c>
      <c r="L246" s="373" t="s">
        <v>2063</v>
      </c>
      <c r="M246" s="27" t="str">
        <f t="shared" si="7"/>
        <v>12310016700001</v>
      </c>
      <c r="O246" s="27">
        <f t="shared" si="6"/>
        <v>982521200</v>
      </c>
    </row>
    <row r="247" spans="1:15" x14ac:dyDescent="0.2">
      <c r="A247" s="27" t="s">
        <v>175</v>
      </c>
      <c r="B247" s="325" t="s">
        <v>3456</v>
      </c>
      <c r="C247" s="71">
        <v>3685000</v>
      </c>
      <c r="E247" s="27" t="s">
        <v>176</v>
      </c>
      <c r="F247" s="27" t="s">
        <v>177</v>
      </c>
      <c r="G247" s="38">
        <v>41518</v>
      </c>
      <c r="H247" s="38"/>
      <c r="I247" s="27">
        <v>12</v>
      </c>
      <c r="J247" s="27">
        <v>310017</v>
      </c>
      <c r="K247" s="27">
        <v>5000</v>
      </c>
      <c r="L247" s="373" t="s">
        <v>2063</v>
      </c>
      <c r="M247" s="27" t="str">
        <f t="shared" si="7"/>
        <v>12310017500001</v>
      </c>
      <c r="O247" s="27">
        <f t="shared" si="6"/>
        <v>368500000</v>
      </c>
    </row>
    <row r="248" spans="1:15" x14ac:dyDescent="0.2">
      <c r="A248" s="27" t="s">
        <v>175</v>
      </c>
      <c r="B248" s="325" t="s">
        <v>3457</v>
      </c>
      <c r="C248" s="71">
        <v>4048000</v>
      </c>
      <c r="E248" s="27" t="s">
        <v>176</v>
      </c>
      <c r="F248" s="27" t="s">
        <v>177</v>
      </c>
      <c r="G248" s="38">
        <v>41518</v>
      </c>
      <c r="H248" s="38"/>
      <c r="I248" s="27">
        <v>12</v>
      </c>
      <c r="J248" s="27">
        <v>310017</v>
      </c>
      <c r="K248" s="27">
        <v>7000</v>
      </c>
      <c r="L248" s="373" t="s">
        <v>2063</v>
      </c>
      <c r="M248" s="27" t="str">
        <f t="shared" si="7"/>
        <v>12310017700001</v>
      </c>
      <c r="O248" s="27">
        <f t="shared" si="6"/>
        <v>404800000</v>
      </c>
    </row>
    <row r="249" spans="1:15" x14ac:dyDescent="0.2">
      <c r="A249" s="27" t="s">
        <v>175</v>
      </c>
      <c r="B249" s="325" t="s">
        <v>3458</v>
      </c>
      <c r="C249" s="71">
        <v>347500</v>
      </c>
      <c r="E249" s="27" t="s">
        <v>176</v>
      </c>
      <c r="F249" s="27" t="s">
        <v>177</v>
      </c>
      <c r="G249" s="38">
        <v>41518</v>
      </c>
      <c r="H249" s="38"/>
      <c r="I249" s="27">
        <v>12</v>
      </c>
      <c r="J249" s="27">
        <v>310020</v>
      </c>
      <c r="K249" s="27">
        <v>5000</v>
      </c>
      <c r="L249" s="373" t="s">
        <v>2063</v>
      </c>
      <c r="M249" s="27" t="str">
        <f t="shared" si="7"/>
        <v>12310020500001</v>
      </c>
      <c r="O249" s="27">
        <f t="shared" si="6"/>
        <v>34750000</v>
      </c>
    </row>
    <row r="250" spans="1:15" x14ac:dyDescent="0.2">
      <c r="A250" s="27" t="s">
        <v>175</v>
      </c>
      <c r="B250" s="325" t="s">
        <v>3459</v>
      </c>
      <c r="C250" s="71">
        <v>2924151</v>
      </c>
      <c r="E250" s="27" t="s">
        <v>176</v>
      </c>
      <c r="F250" s="27" t="s">
        <v>177</v>
      </c>
      <c r="G250" s="38">
        <v>41518</v>
      </c>
      <c r="H250" s="38"/>
      <c r="I250" s="27">
        <v>12</v>
      </c>
      <c r="J250" s="27">
        <v>310020</v>
      </c>
      <c r="K250" s="27">
        <v>7000</v>
      </c>
      <c r="L250" s="373" t="s">
        <v>3218</v>
      </c>
      <c r="M250" s="27" t="str">
        <f t="shared" si="7"/>
        <v>12310020700002</v>
      </c>
      <c r="O250" s="27">
        <f t="shared" si="6"/>
        <v>292415100</v>
      </c>
    </row>
    <row r="251" spans="1:15" x14ac:dyDescent="0.2">
      <c r="A251" s="27" t="s">
        <v>175</v>
      </c>
      <c r="B251" s="325" t="s">
        <v>3460</v>
      </c>
      <c r="C251" s="71">
        <v>446000</v>
      </c>
      <c r="E251" s="27" t="s">
        <v>176</v>
      </c>
      <c r="F251" s="27" t="s">
        <v>177</v>
      </c>
      <c r="G251" s="38">
        <v>41518</v>
      </c>
      <c r="H251" s="38"/>
      <c r="I251" s="27">
        <v>12</v>
      </c>
      <c r="J251" s="27">
        <v>310020</v>
      </c>
      <c r="K251" s="27">
        <v>5000</v>
      </c>
      <c r="L251" s="373" t="s">
        <v>3219</v>
      </c>
      <c r="M251" s="27" t="str">
        <f t="shared" si="7"/>
        <v>12310020500003</v>
      </c>
      <c r="O251" s="27">
        <f t="shared" si="6"/>
        <v>44600000</v>
      </c>
    </row>
    <row r="252" spans="1:15" x14ac:dyDescent="0.2">
      <c r="A252" s="27" t="s">
        <v>175</v>
      </c>
      <c r="B252" s="325" t="s">
        <v>3461</v>
      </c>
      <c r="C252" s="71">
        <v>3042379</v>
      </c>
      <c r="E252" s="27" t="s">
        <v>176</v>
      </c>
      <c r="F252" s="27" t="s">
        <v>177</v>
      </c>
      <c r="G252" s="38">
        <v>41518</v>
      </c>
      <c r="H252" s="38"/>
      <c r="I252" s="27">
        <v>12</v>
      </c>
      <c r="J252" s="27">
        <v>310020</v>
      </c>
      <c r="K252" s="27">
        <v>7000</v>
      </c>
      <c r="L252" s="373" t="s">
        <v>3219</v>
      </c>
      <c r="M252" s="27" t="str">
        <f t="shared" si="7"/>
        <v>12310020700003</v>
      </c>
      <c r="O252" s="27">
        <f t="shared" si="6"/>
        <v>304237900</v>
      </c>
    </row>
    <row r="253" spans="1:15" x14ac:dyDescent="0.2">
      <c r="A253" s="27" t="s">
        <v>175</v>
      </c>
      <c r="B253" s="325" t="s">
        <v>3462</v>
      </c>
      <c r="C253" s="71">
        <v>610000</v>
      </c>
      <c r="E253" s="27" t="s">
        <v>176</v>
      </c>
      <c r="F253" s="27" t="s">
        <v>177</v>
      </c>
      <c r="G253" s="38">
        <v>41518</v>
      </c>
      <c r="H253" s="38"/>
      <c r="I253" s="27">
        <v>12</v>
      </c>
      <c r="J253" s="27">
        <v>310021</v>
      </c>
      <c r="K253" s="27">
        <v>5000</v>
      </c>
      <c r="L253" s="373" t="s">
        <v>2063</v>
      </c>
      <c r="M253" s="27" t="str">
        <f t="shared" si="7"/>
        <v>12310021500001</v>
      </c>
      <c r="O253" s="27">
        <f t="shared" si="6"/>
        <v>61000000</v>
      </c>
    </row>
    <row r="254" spans="1:15" x14ac:dyDescent="0.2">
      <c r="A254" s="27" t="s">
        <v>175</v>
      </c>
      <c r="B254" s="325" t="s">
        <v>3463</v>
      </c>
      <c r="C254" s="71">
        <v>8530868</v>
      </c>
      <c r="E254" s="27" t="s">
        <v>176</v>
      </c>
      <c r="F254" s="27" t="s">
        <v>177</v>
      </c>
      <c r="G254" s="38">
        <v>41518</v>
      </c>
      <c r="H254" s="38"/>
      <c r="I254" s="27">
        <v>12</v>
      </c>
      <c r="J254" s="27">
        <v>310021</v>
      </c>
      <c r="K254" s="27">
        <v>7000</v>
      </c>
      <c r="L254" s="373" t="s">
        <v>2063</v>
      </c>
      <c r="M254" s="27" t="str">
        <f t="shared" si="7"/>
        <v>12310021700001</v>
      </c>
      <c r="O254" s="27">
        <f t="shared" ref="O254:O317" si="8">+C254*100</f>
        <v>853086800</v>
      </c>
    </row>
    <row r="255" spans="1:15" x14ac:dyDescent="0.2">
      <c r="A255" s="27" t="s">
        <v>175</v>
      </c>
      <c r="B255" s="325" t="s">
        <v>3464</v>
      </c>
      <c r="C255" s="71">
        <v>5040000</v>
      </c>
      <c r="E255" s="27" t="s">
        <v>176</v>
      </c>
      <c r="F255" s="27" t="s">
        <v>177</v>
      </c>
      <c r="G255" s="38">
        <v>41518</v>
      </c>
      <c r="H255" s="38"/>
      <c r="I255" s="27">
        <v>12</v>
      </c>
      <c r="J255" s="27">
        <v>310022</v>
      </c>
      <c r="K255" s="27">
        <v>5000</v>
      </c>
      <c r="L255" s="373" t="s">
        <v>2063</v>
      </c>
      <c r="M255" s="27" t="str">
        <f t="shared" si="7"/>
        <v>12310022500001</v>
      </c>
      <c r="O255" s="27">
        <f t="shared" si="8"/>
        <v>504000000</v>
      </c>
    </row>
    <row r="256" spans="1:15" x14ac:dyDescent="0.2">
      <c r="A256" s="27" t="s">
        <v>175</v>
      </c>
      <c r="B256" s="325" t="s">
        <v>3465</v>
      </c>
      <c r="C256" s="71">
        <v>18364926</v>
      </c>
      <c r="E256" s="27" t="s">
        <v>176</v>
      </c>
      <c r="F256" s="27" t="s">
        <v>177</v>
      </c>
      <c r="G256" s="38">
        <v>41518</v>
      </c>
      <c r="H256" s="38"/>
      <c r="I256" s="27">
        <v>12</v>
      </c>
      <c r="J256" s="27">
        <v>310022</v>
      </c>
      <c r="K256" s="27">
        <v>7000</v>
      </c>
      <c r="L256" s="373" t="s">
        <v>2063</v>
      </c>
      <c r="M256" s="27" t="str">
        <f t="shared" si="7"/>
        <v>12310022700001</v>
      </c>
      <c r="O256" s="27">
        <f t="shared" si="8"/>
        <v>1836492600</v>
      </c>
    </row>
    <row r="257" spans="1:15" x14ac:dyDescent="0.2">
      <c r="A257" s="27" t="s">
        <v>175</v>
      </c>
      <c r="B257" s="325" t="s">
        <v>3466</v>
      </c>
      <c r="C257" s="71">
        <v>407000</v>
      </c>
      <c r="E257" s="27" t="s">
        <v>176</v>
      </c>
      <c r="F257" s="27" t="s">
        <v>177</v>
      </c>
      <c r="G257" s="38">
        <v>41518</v>
      </c>
      <c r="H257" s="38"/>
      <c r="I257" s="27">
        <v>12</v>
      </c>
      <c r="J257" s="27">
        <v>310030</v>
      </c>
      <c r="K257" s="27">
        <v>5000</v>
      </c>
      <c r="L257" s="373" t="s">
        <v>2063</v>
      </c>
      <c r="M257" s="27" t="str">
        <f t="shared" ref="M257:M320" si="9">RIGHT(I257,2)&amp;RIGHT(J257,6)&amp;RIGHT(K257,4)&amp;RIGHT(L257,2)</f>
        <v>12310030500001</v>
      </c>
      <c r="O257" s="27">
        <f t="shared" si="8"/>
        <v>40700000</v>
      </c>
    </row>
    <row r="258" spans="1:15" x14ac:dyDescent="0.2">
      <c r="A258" s="27" t="s">
        <v>175</v>
      </c>
      <c r="B258" s="325" t="s">
        <v>3467</v>
      </c>
      <c r="C258" s="71">
        <v>4501856</v>
      </c>
      <c r="E258" s="27" t="s">
        <v>176</v>
      </c>
      <c r="F258" s="27" t="s">
        <v>177</v>
      </c>
      <c r="G258" s="38">
        <v>41518</v>
      </c>
      <c r="H258" s="38"/>
      <c r="I258" s="27">
        <v>12</v>
      </c>
      <c r="J258" s="27">
        <v>310030</v>
      </c>
      <c r="K258" s="27">
        <v>7000</v>
      </c>
      <c r="L258" s="373" t="s">
        <v>2063</v>
      </c>
      <c r="M258" s="27" t="str">
        <f t="shared" si="9"/>
        <v>12310030700001</v>
      </c>
      <c r="O258" s="27">
        <f t="shared" si="8"/>
        <v>450185600</v>
      </c>
    </row>
    <row r="259" spans="1:15" x14ac:dyDescent="0.2">
      <c r="A259" s="27" t="s">
        <v>175</v>
      </c>
      <c r="B259" s="325" t="s">
        <v>3468</v>
      </c>
      <c r="C259" s="71">
        <v>3880000</v>
      </c>
      <c r="E259" s="27" t="s">
        <v>176</v>
      </c>
      <c r="F259" s="27" t="s">
        <v>177</v>
      </c>
      <c r="G259" s="38">
        <v>41518</v>
      </c>
      <c r="H259" s="38"/>
      <c r="I259" s="27">
        <v>12</v>
      </c>
      <c r="J259" s="27">
        <v>310035</v>
      </c>
      <c r="K259" s="27">
        <v>5000</v>
      </c>
      <c r="L259" s="373" t="s">
        <v>2063</v>
      </c>
      <c r="M259" s="27" t="str">
        <f t="shared" si="9"/>
        <v>12310035500001</v>
      </c>
      <c r="O259" s="27">
        <f t="shared" si="8"/>
        <v>388000000</v>
      </c>
    </row>
    <row r="260" spans="1:15" x14ac:dyDescent="0.2">
      <c r="A260" s="27" t="s">
        <v>175</v>
      </c>
      <c r="B260" s="325" t="s">
        <v>3469</v>
      </c>
      <c r="C260" s="71">
        <v>6072000</v>
      </c>
      <c r="E260" s="27" t="s">
        <v>176</v>
      </c>
      <c r="F260" s="27" t="s">
        <v>177</v>
      </c>
      <c r="G260" s="38">
        <v>41518</v>
      </c>
      <c r="H260" s="38"/>
      <c r="I260" s="27">
        <v>12</v>
      </c>
      <c r="J260" s="27">
        <v>310035</v>
      </c>
      <c r="K260" s="27">
        <v>7000</v>
      </c>
      <c r="L260" s="373" t="s">
        <v>2063</v>
      </c>
      <c r="M260" s="27" t="str">
        <f t="shared" si="9"/>
        <v>12310035700001</v>
      </c>
      <c r="O260" s="27">
        <f t="shared" si="8"/>
        <v>607200000</v>
      </c>
    </row>
    <row r="261" spans="1:15" x14ac:dyDescent="0.2">
      <c r="A261" s="27" t="s">
        <v>175</v>
      </c>
      <c r="B261" s="325" t="s">
        <v>3470</v>
      </c>
      <c r="C261" s="71">
        <v>374629176</v>
      </c>
      <c r="E261" s="27" t="s">
        <v>176</v>
      </c>
      <c r="F261" s="27" t="s">
        <v>177</v>
      </c>
      <c r="G261" s="38">
        <v>41518</v>
      </c>
      <c r="H261" s="38"/>
      <c r="I261" s="27">
        <v>12</v>
      </c>
      <c r="J261" s="27">
        <v>390010</v>
      </c>
      <c r="K261" s="27">
        <v>7000</v>
      </c>
      <c r="L261" s="373" t="s">
        <v>2063</v>
      </c>
      <c r="M261" s="27" t="str">
        <f t="shared" si="9"/>
        <v>12390010700001</v>
      </c>
      <c r="O261" s="27">
        <f t="shared" si="8"/>
        <v>37462917600</v>
      </c>
    </row>
    <row r="262" spans="1:15" x14ac:dyDescent="0.2">
      <c r="A262" s="27" t="s">
        <v>175</v>
      </c>
      <c r="B262" s="325" t="s">
        <v>3471</v>
      </c>
      <c r="C262" s="71">
        <v>172500000</v>
      </c>
      <c r="E262" s="27" t="s">
        <v>176</v>
      </c>
      <c r="F262" s="27" t="s">
        <v>177</v>
      </c>
      <c r="G262" s="38">
        <v>41518</v>
      </c>
      <c r="H262" s="38"/>
      <c r="I262" s="27">
        <v>12</v>
      </c>
      <c r="J262" s="27">
        <v>390014</v>
      </c>
      <c r="K262" s="27">
        <v>7000</v>
      </c>
      <c r="L262" s="373" t="s">
        <v>2063</v>
      </c>
      <c r="M262" s="27" t="str">
        <f t="shared" si="9"/>
        <v>12390014700001</v>
      </c>
      <c r="O262" s="27">
        <f t="shared" si="8"/>
        <v>17250000000</v>
      </c>
    </row>
    <row r="263" spans="1:15" x14ac:dyDescent="0.2">
      <c r="A263" s="27" t="s">
        <v>175</v>
      </c>
      <c r="B263" s="325" t="s">
        <v>3472</v>
      </c>
      <c r="C263" s="71">
        <v>170746722</v>
      </c>
      <c r="E263" s="27" t="s">
        <v>176</v>
      </c>
      <c r="F263" s="27" t="s">
        <v>177</v>
      </c>
      <c r="G263" s="38">
        <v>41518</v>
      </c>
      <c r="H263" s="38"/>
      <c r="I263" s="27">
        <v>12</v>
      </c>
      <c r="J263" s="27">
        <v>390020</v>
      </c>
      <c r="K263" s="27">
        <v>7000</v>
      </c>
      <c r="L263" s="373" t="s">
        <v>2063</v>
      </c>
      <c r="M263" s="27" t="str">
        <f t="shared" si="9"/>
        <v>12390020700001</v>
      </c>
      <c r="O263" s="27">
        <f t="shared" si="8"/>
        <v>17074672200</v>
      </c>
    </row>
    <row r="264" spans="1:15" x14ac:dyDescent="0.2">
      <c r="A264" s="27" t="s">
        <v>175</v>
      </c>
      <c r="B264" s="325" t="s">
        <v>3473</v>
      </c>
      <c r="C264" s="71">
        <v>27500000</v>
      </c>
      <c r="E264" s="27" t="s">
        <v>176</v>
      </c>
      <c r="F264" s="27" t="s">
        <v>177</v>
      </c>
      <c r="G264" s="38">
        <v>41518</v>
      </c>
      <c r="H264" s="38"/>
      <c r="I264" s="27">
        <v>12</v>
      </c>
      <c r="J264" s="27">
        <v>390024</v>
      </c>
      <c r="K264" s="27">
        <v>7000</v>
      </c>
      <c r="L264" s="373" t="s">
        <v>2063</v>
      </c>
      <c r="M264" s="27" t="str">
        <f t="shared" si="9"/>
        <v>12390024700001</v>
      </c>
      <c r="O264" s="27">
        <f t="shared" si="8"/>
        <v>2750000000</v>
      </c>
    </row>
    <row r="265" spans="1:15" x14ac:dyDescent="0.2">
      <c r="A265" s="27" t="s">
        <v>175</v>
      </c>
      <c r="B265" s="325" t="s">
        <v>3474</v>
      </c>
      <c r="C265" s="71">
        <v>5780000</v>
      </c>
      <c r="E265" s="27" t="s">
        <v>176</v>
      </c>
      <c r="F265" s="27" t="s">
        <v>177</v>
      </c>
      <c r="G265" s="38">
        <v>41518</v>
      </c>
      <c r="H265" s="38"/>
      <c r="I265" s="27">
        <v>12</v>
      </c>
      <c r="J265" s="27">
        <v>400010</v>
      </c>
      <c r="K265" s="27">
        <v>5000</v>
      </c>
      <c r="L265" s="373" t="s">
        <v>2063</v>
      </c>
      <c r="M265" s="27" t="str">
        <f t="shared" si="9"/>
        <v>12400010500001</v>
      </c>
      <c r="O265" s="27">
        <f t="shared" si="8"/>
        <v>578000000</v>
      </c>
    </row>
    <row r="266" spans="1:15" x14ac:dyDescent="0.2">
      <c r="A266" s="27" t="s">
        <v>175</v>
      </c>
      <c r="B266" s="325" t="s">
        <v>3475</v>
      </c>
      <c r="C266" s="71">
        <v>21832353</v>
      </c>
      <c r="E266" s="27" t="s">
        <v>176</v>
      </c>
      <c r="F266" s="27" t="s">
        <v>177</v>
      </c>
      <c r="G266" s="38">
        <v>41518</v>
      </c>
      <c r="H266" s="38"/>
      <c r="I266" s="27">
        <v>12</v>
      </c>
      <c r="J266" s="27">
        <v>400010</v>
      </c>
      <c r="K266" s="27">
        <v>7000</v>
      </c>
      <c r="L266" s="373" t="s">
        <v>2063</v>
      </c>
      <c r="M266" s="27" t="str">
        <f t="shared" si="9"/>
        <v>12400010700001</v>
      </c>
      <c r="O266" s="27">
        <f t="shared" si="8"/>
        <v>2183235300</v>
      </c>
    </row>
    <row r="267" spans="1:15" x14ac:dyDescent="0.2">
      <c r="A267" s="27" t="s">
        <v>175</v>
      </c>
      <c r="B267" s="325" t="s">
        <v>3476</v>
      </c>
      <c r="C267" s="71">
        <v>500000</v>
      </c>
      <c r="E267" s="27" t="s">
        <v>176</v>
      </c>
      <c r="F267" s="27" t="s">
        <v>177</v>
      </c>
      <c r="G267" s="38">
        <v>41518</v>
      </c>
      <c r="H267" s="38"/>
      <c r="I267" s="27">
        <v>12</v>
      </c>
      <c r="J267" s="27">
        <v>400015</v>
      </c>
      <c r="K267" s="27">
        <v>5000</v>
      </c>
      <c r="L267" s="373" t="s">
        <v>2063</v>
      </c>
      <c r="M267" s="27" t="str">
        <f t="shared" si="9"/>
        <v>12400015500001</v>
      </c>
      <c r="O267" s="27">
        <f t="shared" si="8"/>
        <v>50000000</v>
      </c>
    </row>
    <row r="268" spans="1:15" x14ac:dyDescent="0.2">
      <c r="A268" s="27" t="s">
        <v>175</v>
      </c>
      <c r="B268" s="325" t="s">
        <v>3477</v>
      </c>
      <c r="C268" s="71">
        <v>18731428</v>
      </c>
      <c r="E268" s="27" t="s">
        <v>176</v>
      </c>
      <c r="F268" s="27" t="s">
        <v>177</v>
      </c>
      <c r="G268" s="38">
        <v>41518</v>
      </c>
      <c r="H268" s="38"/>
      <c r="I268" s="27">
        <v>12</v>
      </c>
      <c r="J268" s="27">
        <v>400015</v>
      </c>
      <c r="K268" s="27">
        <v>7000</v>
      </c>
      <c r="L268" s="373" t="s">
        <v>2063</v>
      </c>
      <c r="M268" s="27" t="str">
        <f t="shared" si="9"/>
        <v>12400015700001</v>
      </c>
      <c r="O268" s="27">
        <f t="shared" si="8"/>
        <v>1873142800</v>
      </c>
    </row>
    <row r="269" spans="1:15" x14ac:dyDescent="0.2">
      <c r="A269" s="27" t="s">
        <v>175</v>
      </c>
      <c r="B269" s="325" t="s">
        <v>3478</v>
      </c>
      <c r="C269" s="71">
        <v>298700</v>
      </c>
      <c r="E269" s="27" t="s">
        <v>176</v>
      </c>
      <c r="F269" s="27" t="s">
        <v>177</v>
      </c>
      <c r="G269" s="38">
        <v>41518</v>
      </c>
      <c r="H269" s="38"/>
      <c r="I269" s="27">
        <v>12</v>
      </c>
      <c r="J269" s="27">
        <v>400015</v>
      </c>
      <c r="K269" s="27">
        <v>5000</v>
      </c>
      <c r="L269" s="373" t="s">
        <v>3218</v>
      </c>
      <c r="M269" s="27" t="str">
        <f t="shared" si="9"/>
        <v>12400015500002</v>
      </c>
      <c r="O269" s="27">
        <f t="shared" si="8"/>
        <v>29870000</v>
      </c>
    </row>
    <row r="270" spans="1:15" x14ac:dyDescent="0.2">
      <c r="A270" s="27" t="s">
        <v>175</v>
      </c>
      <c r="B270" s="325" t="s">
        <v>3479</v>
      </c>
      <c r="C270" s="71">
        <v>7658930</v>
      </c>
      <c r="E270" s="27" t="s">
        <v>176</v>
      </c>
      <c r="F270" s="27" t="s">
        <v>177</v>
      </c>
      <c r="G270" s="38">
        <v>41518</v>
      </c>
      <c r="H270" s="38"/>
      <c r="I270" s="27">
        <v>12</v>
      </c>
      <c r="J270" s="27">
        <v>400015</v>
      </c>
      <c r="K270" s="27">
        <v>7000</v>
      </c>
      <c r="L270" s="373" t="s">
        <v>3218</v>
      </c>
      <c r="M270" s="27" t="str">
        <f t="shared" si="9"/>
        <v>12400015700002</v>
      </c>
      <c r="O270" s="27">
        <f t="shared" si="8"/>
        <v>765893000</v>
      </c>
    </row>
    <row r="271" spans="1:15" x14ac:dyDescent="0.2">
      <c r="A271" s="27" t="s">
        <v>175</v>
      </c>
      <c r="B271" s="325" t="s">
        <v>3480</v>
      </c>
      <c r="C271" s="71">
        <v>301000</v>
      </c>
      <c r="E271" s="27" t="s">
        <v>176</v>
      </c>
      <c r="F271" s="27" t="s">
        <v>177</v>
      </c>
      <c r="G271" s="38">
        <v>41518</v>
      </c>
      <c r="H271" s="38"/>
      <c r="I271" s="27">
        <v>12</v>
      </c>
      <c r="J271" s="27">
        <v>400015</v>
      </c>
      <c r="K271" s="27">
        <v>5000</v>
      </c>
      <c r="L271" s="373" t="s">
        <v>3219</v>
      </c>
      <c r="M271" s="27" t="str">
        <f t="shared" si="9"/>
        <v>12400015500003</v>
      </c>
      <c r="O271" s="27">
        <f t="shared" si="8"/>
        <v>30100000</v>
      </c>
    </row>
    <row r="272" spans="1:15" x14ac:dyDescent="0.2">
      <c r="A272" s="27" t="s">
        <v>175</v>
      </c>
      <c r="B272" s="325" t="s">
        <v>3481</v>
      </c>
      <c r="C272" s="71">
        <v>9674734</v>
      </c>
      <c r="E272" s="27" t="s">
        <v>176</v>
      </c>
      <c r="F272" s="27" t="s">
        <v>177</v>
      </c>
      <c r="G272" s="38">
        <v>41518</v>
      </c>
      <c r="H272" s="38"/>
      <c r="I272" s="27">
        <v>12</v>
      </c>
      <c r="J272" s="27">
        <v>400015</v>
      </c>
      <c r="K272" s="27">
        <v>7000</v>
      </c>
      <c r="L272" s="373" t="s">
        <v>3219</v>
      </c>
      <c r="M272" s="27" t="str">
        <f t="shared" si="9"/>
        <v>12400015700003</v>
      </c>
      <c r="O272" s="27">
        <f t="shared" si="8"/>
        <v>967473400</v>
      </c>
    </row>
    <row r="273" spans="1:15" x14ac:dyDescent="0.2">
      <c r="A273" s="27" t="s">
        <v>175</v>
      </c>
      <c r="B273" s="325" t="s">
        <v>3482</v>
      </c>
      <c r="C273" s="71">
        <v>4000000</v>
      </c>
      <c r="E273" s="27" t="s">
        <v>176</v>
      </c>
      <c r="F273" s="27" t="s">
        <v>177</v>
      </c>
      <c r="G273" s="38">
        <v>41518</v>
      </c>
      <c r="H273" s="38"/>
      <c r="I273" s="27">
        <v>12</v>
      </c>
      <c r="J273" s="27">
        <v>400020</v>
      </c>
      <c r="K273" s="27">
        <v>5000</v>
      </c>
      <c r="L273" s="373" t="s">
        <v>2063</v>
      </c>
      <c r="M273" s="27" t="str">
        <f t="shared" si="9"/>
        <v>12400020500001</v>
      </c>
      <c r="O273" s="27">
        <f t="shared" si="8"/>
        <v>400000000</v>
      </c>
    </row>
    <row r="274" spans="1:15" x14ac:dyDescent="0.2">
      <c r="A274" s="27" t="s">
        <v>175</v>
      </c>
      <c r="B274" s="325" t="s">
        <v>3483</v>
      </c>
      <c r="C274" s="71">
        <v>25957767</v>
      </c>
      <c r="E274" s="27" t="s">
        <v>176</v>
      </c>
      <c r="F274" s="27" t="s">
        <v>177</v>
      </c>
      <c r="G274" s="38">
        <v>41518</v>
      </c>
      <c r="H274" s="38"/>
      <c r="I274" s="27">
        <v>12</v>
      </c>
      <c r="J274" s="27">
        <v>400020</v>
      </c>
      <c r="K274" s="27">
        <v>7000</v>
      </c>
      <c r="L274" s="373" t="s">
        <v>2063</v>
      </c>
      <c r="M274" s="27" t="str">
        <f t="shared" si="9"/>
        <v>12400020700001</v>
      </c>
      <c r="O274" s="27">
        <f t="shared" si="8"/>
        <v>2595776700</v>
      </c>
    </row>
    <row r="275" spans="1:15" x14ac:dyDescent="0.2">
      <c r="A275" s="27" t="s">
        <v>175</v>
      </c>
      <c r="B275" s="325" t="s">
        <v>3484</v>
      </c>
      <c r="C275" s="71">
        <v>4180366</v>
      </c>
      <c r="E275" s="27" t="s">
        <v>176</v>
      </c>
      <c r="F275" s="27" t="s">
        <v>177</v>
      </c>
      <c r="G275" s="38">
        <v>41518</v>
      </c>
      <c r="H275" s="38"/>
      <c r="I275" s="27">
        <v>12</v>
      </c>
      <c r="J275" s="27">
        <v>400020</v>
      </c>
      <c r="K275" s="27">
        <v>7000</v>
      </c>
      <c r="L275" s="373" t="s">
        <v>3218</v>
      </c>
      <c r="M275" s="27" t="str">
        <f t="shared" si="9"/>
        <v>12400020700002</v>
      </c>
      <c r="O275" s="27">
        <f t="shared" si="8"/>
        <v>418036600</v>
      </c>
    </row>
    <row r="276" spans="1:15" x14ac:dyDescent="0.2">
      <c r="A276" s="27" t="s">
        <v>175</v>
      </c>
      <c r="B276" s="325" t="s">
        <v>3485</v>
      </c>
      <c r="C276" s="71">
        <v>6910519</v>
      </c>
      <c r="E276" s="27" t="s">
        <v>176</v>
      </c>
      <c r="F276" s="27" t="s">
        <v>177</v>
      </c>
      <c r="G276" s="38">
        <v>41518</v>
      </c>
      <c r="H276" s="38"/>
      <c r="I276" s="27">
        <v>12</v>
      </c>
      <c r="J276" s="27">
        <v>400020</v>
      </c>
      <c r="K276" s="27">
        <v>7000</v>
      </c>
      <c r="L276" s="373" t="s">
        <v>3219</v>
      </c>
      <c r="M276" s="27" t="str">
        <f t="shared" si="9"/>
        <v>12400020700003</v>
      </c>
      <c r="O276" s="27">
        <f t="shared" si="8"/>
        <v>691051900</v>
      </c>
    </row>
    <row r="277" spans="1:15" x14ac:dyDescent="0.2">
      <c r="A277" s="27" t="s">
        <v>175</v>
      </c>
      <c r="B277" s="325" t="s">
        <v>3486</v>
      </c>
      <c r="C277" s="71">
        <v>450000</v>
      </c>
      <c r="E277" s="27" t="s">
        <v>176</v>
      </c>
      <c r="F277" s="27" t="s">
        <v>177</v>
      </c>
      <c r="G277" s="38">
        <v>41518</v>
      </c>
      <c r="H277" s="38"/>
      <c r="I277" s="27">
        <v>12</v>
      </c>
      <c r="J277" s="27">
        <v>400021</v>
      </c>
      <c r="K277" s="27">
        <v>5000</v>
      </c>
      <c r="L277" s="373" t="s">
        <v>2063</v>
      </c>
      <c r="M277" s="27" t="str">
        <f t="shared" si="9"/>
        <v>12400021500001</v>
      </c>
      <c r="O277" s="27">
        <f t="shared" si="8"/>
        <v>45000000</v>
      </c>
    </row>
    <row r="278" spans="1:15" x14ac:dyDescent="0.2">
      <c r="A278" s="27" t="s">
        <v>175</v>
      </c>
      <c r="B278" s="325" t="s">
        <v>3487</v>
      </c>
      <c r="C278" s="71">
        <v>390000</v>
      </c>
      <c r="E278" s="27" t="s">
        <v>176</v>
      </c>
      <c r="F278" s="27" t="s">
        <v>177</v>
      </c>
      <c r="G278" s="38">
        <v>41518</v>
      </c>
      <c r="H278" s="38"/>
      <c r="I278" s="27">
        <v>12</v>
      </c>
      <c r="J278" s="27">
        <v>400025</v>
      </c>
      <c r="K278" s="27">
        <v>5000</v>
      </c>
      <c r="L278" s="373" t="s">
        <v>2063</v>
      </c>
      <c r="M278" s="27" t="str">
        <f t="shared" si="9"/>
        <v>12400025500001</v>
      </c>
      <c r="O278" s="27">
        <f t="shared" si="8"/>
        <v>39000000</v>
      </c>
    </row>
    <row r="279" spans="1:15" x14ac:dyDescent="0.2">
      <c r="A279" s="27" t="s">
        <v>175</v>
      </c>
      <c r="B279" s="325" t="s">
        <v>3488</v>
      </c>
      <c r="C279" s="71">
        <v>10492822</v>
      </c>
      <c r="E279" s="27" t="s">
        <v>176</v>
      </c>
      <c r="F279" s="27" t="s">
        <v>177</v>
      </c>
      <c r="G279" s="38">
        <v>41518</v>
      </c>
      <c r="H279" s="38"/>
      <c r="I279" s="27">
        <v>12</v>
      </c>
      <c r="J279" s="27">
        <v>400025</v>
      </c>
      <c r="K279" s="27">
        <v>7000</v>
      </c>
      <c r="L279" s="373" t="s">
        <v>2063</v>
      </c>
      <c r="M279" s="27" t="str">
        <f t="shared" si="9"/>
        <v>12400025700001</v>
      </c>
      <c r="O279" s="27">
        <f t="shared" si="8"/>
        <v>1049282200</v>
      </c>
    </row>
    <row r="280" spans="1:15" x14ac:dyDescent="0.2">
      <c r="A280" s="27" t="s">
        <v>175</v>
      </c>
      <c r="B280" s="325" t="s">
        <v>3489</v>
      </c>
      <c r="C280" s="71">
        <v>2080000</v>
      </c>
      <c r="E280" s="27" t="s">
        <v>176</v>
      </c>
      <c r="F280" s="27" t="s">
        <v>177</v>
      </c>
      <c r="G280" s="38">
        <v>41518</v>
      </c>
      <c r="H280" s="38"/>
      <c r="I280" s="27">
        <v>12</v>
      </c>
      <c r="J280" s="27">
        <v>400030</v>
      </c>
      <c r="K280" s="27">
        <v>5000</v>
      </c>
      <c r="L280" s="373" t="s">
        <v>2063</v>
      </c>
      <c r="M280" s="27" t="str">
        <f t="shared" si="9"/>
        <v>12400030500001</v>
      </c>
      <c r="O280" s="27">
        <f t="shared" si="8"/>
        <v>208000000</v>
      </c>
    </row>
    <row r="281" spans="1:15" x14ac:dyDescent="0.2">
      <c r="A281" s="27" t="s">
        <v>175</v>
      </c>
      <c r="B281" s="325" t="s">
        <v>3490</v>
      </c>
      <c r="C281" s="71">
        <v>4804094</v>
      </c>
      <c r="E281" s="27" t="s">
        <v>176</v>
      </c>
      <c r="F281" s="27" t="s">
        <v>177</v>
      </c>
      <c r="G281" s="38">
        <v>41518</v>
      </c>
      <c r="H281" s="38"/>
      <c r="I281" s="27">
        <v>12</v>
      </c>
      <c r="J281" s="27">
        <v>400030</v>
      </c>
      <c r="K281" s="27">
        <v>7000</v>
      </c>
      <c r="L281" s="373" t="s">
        <v>2063</v>
      </c>
      <c r="M281" s="27" t="str">
        <f t="shared" si="9"/>
        <v>12400030700001</v>
      </c>
      <c r="O281" s="27">
        <f t="shared" si="8"/>
        <v>480409400</v>
      </c>
    </row>
    <row r="282" spans="1:15" x14ac:dyDescent="0.2">
      <c r="A282" s="27" t="s">
        <v>175</v>
      </c>
      <c r="B282" s="325" t="s">
        <v>3491</v>
      </c>
      <c r="C282" s="71">
        <v>4143885</v>
      </c>
      <c r="E282" s="27" t="s">
        <v>176</v>
      </c>
      <c r="F282" s="27" t="s">
        <v>177</v>
      </c>
      <c r="G282" s="38">
        <v>41518</v>
      </c>
      <c r="H282" s="38"/>
      <c r="I282" s="27">
        <v>12</v>
      </c>
      <c r="J282" s="27">
        <v>400030</v>
      </c>
      <c r="K282" s="27">
        <v>7000</v>
      </c>
      <c r="L282" s="373" t="s">
        <v>3218</v>
      </c>
      <c r="M282" s="27" t="str">
        <f t="shared" si="9"/>
        <v>12400030700002</v>
      </c>
      <c r="O282" s="27">
        <f t="shared" si="8"/>
        <v>414388500</v>
      </c>
    </row>
    <row r="283" spans="1:15" x14ac:dyDescent="0.2">
      <c r="A283" s="27" t="s">
        <v>175</v>
      </c>
      <c r="B283" s="325" t="s">
        <v>3492</v>
      </c>
      <c r="C283" s="71">
        <v>4409996</v>
      </c>
      <c r="E283" s="27" t="s">
        <v>176</v>
      </c>
      <c r="F283" s="27" t="s">
        <v>177</v>
      </c>
      <c r="G283" s="38">
        <v>41518</v>
      </c>
      <c r="H283" s="38"/>
      <c r="I283" s="27">
        <v>12</v>
      </c>
      <c r="J283" s="27">
        <v>400030</v>
      </c>
      <c r="K283" s="27">
        <v>7000</v>
      </c>
      <c r="L283" s="373" t="s">
        <v>3219</v>
      </c>
      <c r="M283" s="27" t="str">
        <f t="shared" si="9"/>
        <v>12400030700003</v>
      </c>
      <c r="O283" s="27">
        <f t="shared" si="8"/>
        <v>440999600</v>
      </c>
    </row>
    <row r="284" spans="1:15" x14ac:dyDescent="0.2">
      <c r="A284" s="27" t="s">
        <v>175</v>
      </c>
      <c r="B284" s="325" t="s">
        <v>3493</v>
      </c>
      <c r="C284" s="71">
        <v>4143897</v>
      </c>
      <c r="E284" s="27" t="s">
        <v>176</v>
      </c>
      <c r="F284" s="27" t="s">
        <v>177</v>
      </c>
      <c r="G284" s="38">
        <v>41518</v>
      </c>
      <c r="H284" s="38"/>
      <c r="I284" s="27">
        <v>12</v>
      </c>
      <c r="J284" s="27">
        <v>400040</v>
      </c>
      <c r="K284" s="27">
        <v>7000</v>
      </c>
      <c r="L284" s="373" t="s">
        <v>2063</v>
      </c>
      <c r="M284" s="27" t="str">
        <f t="shared" si="9"/>
        <v>12400040700001</v>
      </c>
      <c r="O284" s="27">
        <f t="shared" si="8"/>
        <v>414389700</v>
      </c>
    </row>
    <row r="285" spans="1:15" x14ac:dyDescent="0.2">
      <c r="A285" s="27" t="s">
        <v>175</v>
      </c>
      <c r="B285" s="325" t="s">
        <v>3494</v>
      </c>
      <c r="C285" s="71">
        <v>5685000</v>
      </c>
      <c r="E285" s="27" t="s">
        <v>176</v>
      </c>
      <c r="F285" s="27" t="s">
        <v>177</v>
      </c>
      <c r="G285" s="38">
        <v>41518</v>
      </c>
      <c r="H285" s="38"/>
      <c r="I285" s="27">
        <v>12</v>
      </c>
      <c r="J285" s="27">
        <v>400040</v>
      </c>
      <c r="K285" s="27">
        <v>5000</v>
      </c>
      <c r="L285" s="373" t="s">
        <v>2063</v>
      </c>
      <c r="M285" s="27" t="str">
        <f t="shared" si="9"/>
        <v>12400040500001</v>
      </c>
      <c r="O285" s="27">
        <f t="shared" si="8"/>
        <v>568500000</v>
      </c>
    </row>
    <row r="286" spans="1:15" x14ac:dyDescent="0.2">
      <c r="A286" s="27" t="s">
        <v>175</v>
      </c>
      <c r="B286" s="325" t="s">
        <v>3495</v>
      </c>
      <c r="C286" s="71">
        <v>420000</v>
      </c>
      <c r="E286" s="27" t="s">
        <v>176</v>
      </c>
      <c r="F286" s="27" t="s">
        <v>177</v>
      </c>
      <c r="G286" s="38">
        <v>41518</v>
      </c>
      <c r="H286" s="38"/>
      <c r="I286" s="27">
        <v>12</v>
      </c>
      <c r="J286" s="27">
        <v>400045</v>
      </c>
      <c r="K286" s="27">
        <v>5000</v>
      </c>
      <c r="L286" s="373" t="s">
        <v>2063</v>
      </c>
      <c r="M286" s="27" t="str">
        <f t="shared" si="9"/>
        <v>12400045500001</v>
      </c>
      <c r="O286" s="27">
        <f t="shared" si="8"/>
        <v>42000000</v>
      </c>
    </row>
    <row r="287" spans="1:15" x14ac:dyDescent="0.2">
      <c r="A287" s="27" t="s">
        <v>175</v>
      </c>
      <c r="B287" s="325" t="s">
        <v>3496</v>
      </c>
      <c r="C287" s="71">
        <v>390000</v>
      </c>
      <c r="E287" s="27" t="s">
        <v>176</v>
      </c>
      <c r="F287" s="27" t="s">
        <v>177</v>
      </c>
      <c r="G287" s="38">
        <v>41518</v>
      </c>
      <c r="H287" s="38"/>
      <c r="I287" s="27">
        <v>12</v>
      </c>
      <c r="J287" s="27">
        <v>400050</v>
      </c>
      <c r="K287" s="27">
        <v>5000</v>
      </c>
      <c r="L287" s="373" t="s">
        <v>2063</v>
      </c>
      <c r="M287" s="27" t="str">
        <f t="shared" si="9"/>
        <v>12400050500001</v>
      </c>
      <c r="O287" s="27">
        <f t="shared" si="8"/>
        <v>39000000</v>
      </c>
    </row>
    <row r="288" spans="1:15" x14ac:dyDescent="0.2">
      <c r="A288" s="27" t="s">
        <v>175</v>
      </c>
      <c r="B288" s="326" t="s">
        <v>3497</v>
      </c>
      <c r="C288" s="71">
        <v>12500000</v>
      </c>
      <c r="E288" s="27" t="s">
        <v>176</v>
      </c>
      <c r="F288" s="27" t="s">
        <v>177</v>
      </c>
      <c r="G288" s="38">
        <v>41518</v>
      </c>
      <c r="H288" s="38"/>
      <c r="I288" s="27">
        <v>12</v>
      </c>
      <c r="J288" s="27">
        <v>500010</v>
      </c>
      <c r="K288" s="27">
        <v>5000</v>
      </c>
      <c r="L288" s="373" t="s">
        <v>2063</v>
      </c>
      <c r="M288" s="27" t="str">
        <f t="shared" si="9"/>
        <v>12500010500001</v>
      </c>
      <c r="O288" s="27">
        <f t="shared" si="8"/>
        <v>1250000000</v>
      </c>
    </row>
    <row r="289" spans="1:15" x14ac:dyDescent="0.2">
      <c r="A289" s="27" t="s">
        <v>175</v>
      </c>
      <c r="B289" s="326" t="s">
        <v>3498</v>
      </c>
      <c r="C289" s="71">
        <v>1670000</v>
      </c>
      <c r="E289" s="27" t="s">
        <v>176</v>
      </c>
      <c r="F289" s="27" t="s">
        <v>177</v>
      </c>
      <c r="G289" s="38">
        <v>41518</v>
      </c>
      <c r="H289" s="38"/>
      <c r="I289" s="27">
        <v>12</v>
      </c>
      <c r="J289" s="27">
        <v>500020</v>
      </c>
      <c r="K289" s="27">
        <v>5000</v>
      </c>
      <c r="L289" s="373" t="s">
        <v>2063</v>
      </c>
      <c r="M289" s="27" t="str">
        <f t="shared" si="9"/>
        <v>12500020500001</v>
      </c>
      <c r="O289" s="27">
        <f t="shared" si="8"/>
        <v>167000000</v>
      </c>
    </row>
    <row r="290" spans="1:15" x14ac:dyDescent="0.2">
      <c r="A290" s="27" t="s">
        <v>175</v>
      </c>
      <c r="B290" s="326" t="s">
        <v>3499</v>
      </c>
      <c r="C290" s="71">
        <v>15213299</v>
      </c>
      <c r="E290" s="27" t="s">
        <v>176</v>
      </c>
      <c r="F290" s="27" t="s">
        <v>177</v>
      </c>
      <c r="G290" s="38">
        <v>41518</v>
      </c>
      <c r="H290" s="38"/>
      <c r="I290" s="27">
        <v>12</v>
      </c>
      <c r="J290" s="27">
        <v>500020</v>
      </c>
      <c r="K290" s="27">
        <v>7000</v>
      </c>
      <c r="L290" s="373" t="s">
        <v>2063</v>
      </c>
      <c r="M290" s="27" t="str">
        <f t="shared" si="9"/>
        <v>12500020700001</v>
      </c>
      <c r="O290" s="27">
        <f t="shared" si="8"/>
        <v>1521329900</v>
      </c>
    </row>
    <row r="291" spans="1:15" x14ac:dyDescent="0.2">
      <c r="A291" s="27" t="s">
        <v>175</v>
      </c>
      <c r="B291" s="326" t="s">
        <v>3500</v>
      </c>
      <c r="C291" s="71">
        <v>342500</v>
      </c>
      <c r="E291" s="27" t="s">
        <v>176</v>
      </c>
      <c r="F291" s="27" t="s">
        <v>177</v>
      </c>
      <c r="G291" s="38">
        <v>41518</v>
      </c>
      <c r="H291" s="38"/>
      <c r="I291" s="27">
        <v>12</v>
      </c>
      <c r="J291" s="27">
        <v>500022</v>
      </c>
      <c r="K291" s="27">
        <v>5000</v>
      </c>
      <c r="L291" s="373" t="s">
        <v>2063</v>
      </c>
      <c r="M291" s="27" t="str">
        <f t="shared" si="9"/>
        <v>12500022500001</v>
      </c>
      <c r="O291" s="27">
        <f t="shared" si="8"/>
        <v>34250000</v>
      </c>
    </row>
    <row r="292" spans="1:15" x14ac:dyDescent="0.2">
      <c r="A292" s="27" t="s">
        <v>175</v>
      </c>
      <c r="B292" s="326" t="s">
        <v>3501</v>
      </c>
      <c r="C292" s="71">
        <v>10387625</v>
      </c>
      <c r="E292" s="27" t="s">
        <v>176</v>
      </c>
      <c r="F292" s="27" t="s">
        <v>177</v>
      </c>
      <c r="G292" s="38">
        <v>41518</v>
      </c>
      <c r="H292" s="38"/>
      <c r="I292" s="27">
        <v>12</v>
      </c>
      <c r="J292" s="27">
        <v>500022</v>
      </c>
      <c r="K292" s="27">
        <v>7000</v>
      </c>
      <c r="L292" s="373" t="s">
        <v>2063</v>
      </c>
      <c r="M292" s="27" t="str">
        <f t="shared" si="9"/>
        <v>12500022700001</v>
      </c>
      <c r="O292" s="27">
        <f t="shared" si="8"/>
        <v>1038762500</v>
      </c>
    </row>
    <row r="293" spans="1:15" x14ac:dyDescent="0.2">
      <c r="A293" s="27" t="s">
        <v>175</v>
      </c>
      <c r="B293" s="326" t="s">
        <v>3502</v>
      </c>
      <c r="C293" s="71">
        <v>910000</v>
      </c>
      <c r="E293" s="27" t="s">
        <v>176</v>
      </c>
      <c r="F293" s="27" t="s">
        <v>177</v>
      </c>
      <c r="G293" s="38">
        <v>41518</v>
      </c>
      <c r="H293" s="38"/>
      <c r="I293" s="27">
        <v>12</v>
      </c>
      <c r="J293" s="27">
        <v>500025</v>
      </c>
      <c r="K293" s="27">
        <v>5000</v>
      </c>
      <c r="L293" s="373" t="s">
        <v>2063</v>
      </c>
      <c r="M293" s="27" t="str">
        <f t="shared" si="9"/>
        <v>12500025500001</v>
      </c>
      <c r="O293" s="27">
        <f t="shared" si="8"/>
        <v>91000000</v>
      </c>
    </row>
    <row r="294" spans="1:15" x14ac:dyDescent="0.2">
      <c r="A294" s="27" t="s">
        <v>175</v>
      </c>
      <c r="B294" s="326" t="s">
        <v>3503</v>
      </c>
      <c r="C294" s="71">
        <v>9464629</v>
      </c>
      <c r="E294" s="27" t="s">
        <v>176</v>
      </c>
      <c r="F294" s="27" t="s">
        <v>177</v>
      </c>
      <c r="G294" s="38">
        <v>41518</v>
      </c>
      <c r="H294" s="38"/>
      <c r="I294" s="27">
        <v>12</v>
      </c>
      <c r="J294" s="27">
        <v>500025</v>
      </c>
      <c r="K294" s="27">
        <v>7000</v>
      </c>
      <c r="L294" s="373" t="s">
        <v>2063</v>
      </c>
      <c r="M294" s="27" t="str">
        <f t="shared" si="9"/>
        <v>12500025700001</v>
      </c>
      <c r="O294" s="27">
        <f t="shared" si="8"/>
        <v>946462900</v>
      </c>
    </row>
    <row r="295" spans="1:15" x14ac:dyDescent="0.2">
      <c r="A295" s="27" t="s">
        <v>175</v>
      </c>
      <c r="B295" s="325" t="s">
        <v>3504</v>
      </c>
      <c r="C295" s="71">
        <v>12164000</v>
      </c>
      <c r="E295" s="27" t="s">
        <v>176</v>
      </c>
      <c r="F295" s="27" t="s">
        <v>177</v>
      </c>
      <c r="G295" s="38">
        <v>41518</v>
      </c>
      <c r="H295" s="38"/>
      <c r="I295" s="27">
        <v>12</v>
      </c>
      <c r="J295" s="27">
        <v>500050</v>
      </c>
      <c r="K295" s="27">
        <v>5000</v>
      </c>
      <c r="L295" s="373" t="s">
        <v>2063</v>
      </c>
      <c r="M295" s="27" t="str">
        <f t="shared" si="9"/>
        <v>12500050500001</v>
      </c>
      <c r="O295" s="27">
        <f t="shared" si="8"/>
        <v>1216400000</v>
      </c>
    </row>
    <row r="296" spans="1:15" x14ac:dyDescent="0.2">
      <c r="A296" s="27" t="s">
        <v>175</v>
      </c>
      <c r="B296" s="325" t="s">
        <v>3505</v>
      </c>
      <c r="C296" s="71">
        <v>34724375</v>
      </c>
      <c r="E296" s="27" t="s">
        <v>176</v>
      </c>
      <c r="F296" s="27" t="s">
        <v>177</v>
      </c>
      <c r="G296" s="38">
        <v>41518</v>
      </c>
      <c r="H296" s="38"/>
      <c r="I296" s="27">
        <v>12</v>
      </c>
      <c r="J296" s="27">
        <v>500050</v>
      </c>
      <c r="K296" s="27">
        <v>7000</v>
      </c>
      <c r="L296" s="373" t="s">
        <v>2063</v>
      </c>
      <c r="M296" s="27" t="str">
        <f t="shared" si="9"/>
        <v>12500050700001</v>
      </c>
      <c r="O296" s="27">
        <f t="shared" si="8"/>
        <v>3472437500</v>
      </c>
    </row>
    <row r="297" spans="1:15" x14ac:dyDescent="0.2">
      <c r="A297" s="27" t="s">
        <v>175</v>
      </c>
      <c r="B297" s="325" t="s">
        <v>3506</v>
      </c>
      <c r="C297" s="71">
        <v>3123000</v>
      </c>
      <c r="E297" s="27" t="s">
        <v>176</v>
      </c>
      <c r="F297" s="27" t="s">
        <v>177</v>
      </c>
      <c r="G297" s="38">
        <v>41518</v>
      </c>
      <c r="H297" s="38"/>
      <c r="I297" s="27">
        <v>12</v>
      </c>
      <c r="J297" s="27">
        <v>500051</v>
      </c>
      <c r="K297" s="27">
        <v>5000</v>
      </c>
      <c r="L297" s="373" t="s">
        <v>2063</v>
      </c>
      <c r="M297" s="27" t="str">
        <f t="shared" si="9"/>
        <v>12500051500001</v>
      </c>
      <c r="O297" s="27">
        <f t="shared" si="8"/>
        <v>312300000</v>
      </c>
    </row>
    <row r="298" spans="1:15" x14ac:dyDescent="0.2">
      <c r="A298" s="27" t="s">
        <v>175</v>
      </c>
      <c r="B298" s="325" t="s">
        <v>3507</v>
      </c>
      <c r="C298" s="71">
        <v>12031613</v>
      </c>
      <c r="E298" s="27" t="s">
        <v>176</v>
      </c>
      <c r="F298" s="27" t="s">
        <v>177</v>
      </c>
      <c r="G298" s="38">
        <v>41518</v>
      </c>
      <c r="H298" s="38"/>
      <c r="I298" s="27">
        <v>12</v>
      </c>
      <c r="J298" s="27">
        <v>500051</v>
      </c>
      <c r="K298" s="27">
        <v>7000</v>
      </c>
      <c r="L298" s="373" t="s">
        <v>2063</v>
      </c>
      <c r="M298" s="27" t="str">
        <f t="shared" si="9"/>
        <v>12500051700001</v>
      </c>
      <c r="O298" s="27">
        <f t="shared" si="8"/>
        <v>1203161300</v>
      </c>
    </row>
    <row r="299" spans="1:15" x14ac:dyDescent="0.2">
      <c r="A299" s="27" t="s">
        <v>175</v>
      </c>
      <c r="B299" s="325" t="s">
        <v>3508</v>
      </c>
      <c r="C299" s="71">
        <v>1817500</v>
      </c>
      <c r="E299" s="27" t="s">
        <v>176</v>
      </c>
      <c r="F299" s="27" t="s">
        <v>177</v>
      </c>
      <c r="G299" s="38">
        <v>41518</v>
      </c>
      <c r="H299" s="38"/>
      <c r="I299" s="27">
        <v>12</v>
      </c>
      <c r="J299" s="27">
        <v>500052</v>
      </c>
      <c r="K299" s="27">
        <v>5000</v>
      </c>
      <c r="L299" s="373" t="s">
        <v>2063</v>
      </c>
      <c r="M299" s="27" t="str">
        <f t="shared" si="9"/>
        <v>12500052500001</v>
      </c>
      <c r="O299" s="27">
        <f t="shared" si="8"/>
        <v>181750000</v>
      </c>
    </row>
    <row r="300" spans="1:15" x14ac:dyDescent="0.2">
      <c r="A300" s="27" t="s">
        <v>175</v>
      </c>
      <c r="B300" s="325" t="s">
        <v>3509</v>
      </c>
      <c r="C300" s="71">
        <v>6387341</v>
      </c>
      <c r="E300" s="27" t="s">
        <v>176</v>
      </c>
      <c r="F300" s="27" t="s">
        <v>177</v>
      </c>
      <c r="G300" s="38">
        <v>41518</v>
      </c>
      <c r="H300" s="38"/>
      <c r="I300" s="27">
        <v>12</v>
      </c>
      <c r="J300" s="27">
        <v>500052</v>
      </c>
      <c r="K300" s="27">
        <v>7000</v>
      </c>
      <c r="L300" s="373" t="s">
        <v>2063</v>
      </c>
      <c r="M300" s="27" t="str">
        <f t="shared" si="9"/>
        <v>12500052700001</v>
      </c>
      <c r="O300" s="27">
        <f t="shared" si="8"/>
        <v>638734100</v>
      </c>
    </row>
    <row r="301" spans="1:15" x14ac:dyDescent="0.2">
      <c r="A301" s="27" t="s">
        <v>175</v>
      </c>
      <c r="B301" s="325" t="s">
        <v>3510</v>
      </c>
      <c r="C301" s="71">
        <v>20083954</v>
      </c>
      <c r="E301" s="27" t="s">
        <v>176</v>
      </c>
      <c r="F301" s="27" t="s">
        <v>177</v>
      </c>
      <c r="G301" s="38">
        <v>41518</v>
      </c>
      <c r="H301" s="38"/>
      <c r="I301" s="27">
        <v>12</v>
      </c>
      <c r="J301" s="27">
        <v>500080</v>
      </c>
      <c r="K301" s="27">
        <v>7000</v>
      </c>
      <c r="L301" s="373" t="s">
        <v>2063</v>
      </c>
      <c r="M301" s="27" t="str">
        <f t="shared" si="9"/>
        <v>12500080700001</v>
      </c>
      <c r="O301" s="27">
        <f t="shared" si="8"/>
        <v>2008395400</v>
      </c>
    </row>
    <row r="302" spans="1:15" x14ac:dyDescent="0.2">
      <c r="A302" s="27" t="s">
        <v>175</v>
      </c>
      <c r="B302" s="325" t="s">
        <v>3511</v>
      </c>
      <c r="C302" s="71">
        <v>45065300</v>
      </c>
      <c r="E302" s="27" t="s">
        <v>176</v>
      </c>
      <c r="F302" s="27" t="s">
        <v>177</v>
      </c>
      <c r="G302" s="38">
        <v>41518</v>
      </c>
      <c r="H302" s="38"/>
      <c r="I302" s="27">
        <v>12</v>
      </c>
      <c r="J302" s="27">
        <v>500080</v>
      </c>
      <c r="K302" s="27">
        <v>5000</v>
      </c>
      <c r="L302" s="373" t="s">
        <v>2063</v>
      </c>
      <c r="M302" s="27" t="str">
        <f t="shared" si="9"/>
        <v>12500080500001</v>
      </c>
      <c r="O302" s="27">
        <f t="shared" si="8"/>
        <v>4506530000</v>
      </c>
    </row>
    <row r="303" spans="1:15" x14ac:dyDescent="0.2">
      <c r="A303" s="27" t="s">
        <v>175</v>
      </c>
      <c r="B303" s="325" t="s">
        <v>3512</v>
      </c>
      <c r="C303" s="71">
        <v>15025692</v>
      </c>
      <c r="E303" s="27" t="s">
        <v>176</v>
      </c>
      <c r="F303" s="27" t="s">
        <v>177</v>
      </c>
      <c r="G303" s="38">
        <v>41518</v>
      </c>
      <c r="H303" s="38"/>
      <c r="I303" s="27">
        <v>12</v>
      </c>
      <c r="J303" s="27">
        <v>500082</v>
      </c>
      <c r="K303" s="27">
        <v>7000</v>
      </c>
      <c r="L303" s="373" t="s">
        <v>2063</v>
      </c>
      <c r="M303" s="27" t="str">
        <f t="shared" si="9"/>
        <v>12500082700001</v>
      </c>
      <c r="O303" s="27">
        <f t="shared" si="8"/>
        <v>1502569200</v>
      </c>
    </row>
    <row r="304" spans="1:15" x14ac:dyDescent="0.2">
      <c r="A304" s="27" t="s">
        <v>175</v>
      </c>
      <c r="B304" s="325" t="s">
        <v>3513</v>
      </c>
      <c r="C304" s="71">
        <v>36757093</v>
      </c>
      <c r="E304" s="27" t="s">
        <v>176</v>
      </c>
      <c r="F304" s="27" t="s">
        <v>177</v>
      </c>
      <c r="G304" s="38">
        <v>41518</v>
      </c>
      <c r="H304" s="38"/>
      <c r="I304" s="27">
        <v>12</v>
      </c>
      <c r="J304" s="27">
        <v>500082</v>
      </c>
      <c r="K304" s="27">
        <v>5000</v>
      </c>
      <c r="L304" s="373" t="s">
        <v>2063</v>
      </c>
      <c r="M304" s="27" t="str">
        <f t="shared" si="9"/>
        <v>12500082500001</v>
      </c>
      <c r="O304" s="27">
        <f t="shared" si="8"/>
        <v>3675709300</v>
      </c>
    </row>
    <row r="305" spans="1:15" x14ac:dyDescent="0.2">
      <c r="A305" s="27" t="s">
        <v>175</v>
      </c>
      <c r="B305" s="325" t="s">
        <v>3514</v>
      </c>
      <c r="C305" s="71">
        <v>2713059</v>
      </c>
      <c r="E305" s="27" t="s">
        <v>176</v>
      </c>
      <c r="F305" s="27" t="s">
        <v>177</v>
      </c>
      <c r="G305" s="38">
        <v>41518</v>
      </c>
      <c r="H305" s="38"/>
      <c r="I305" s="27">
        <v>12</v>
      </c>
      <c r="J305" s="27">
        <v>500083</v>
      </c>
      <c r="K305" s="27">
        <v>7000</v>
      </c>
      <c r="L305" s="373" t="s">
        <v>2063</v>
      </c>
      <c r="M305" s="27" t="str">
        <f t="shared" si="9"/>
        <v>12500083700001</v>
      </c>
      <c r="O305" s="27">
        <f t="shared" si="8"/>
        <v>271305900</v>
      </c>
    </row>
    <row r="306" spans="1:15" x14ac:dyDescent="0.2">
      <c r="A306" s="27" t="s">
        <v>175</v>
      </c>
      <c r="B306" s="325" t="s">
        <v>3515</v>
      </c>
      <c r="C306" s="71">
        <v>12470000</v>
      </c>
      <c r="E306" s="27" t="s">
        <v>176</v>
      </c>
      <c r="F306" s="27" t="s">
        <v>177</v>
      </c>
      <c r="G306" s="38">
        <v>41518</v>
      </c>
      <c r="H306" s="38"/>
      <c r="I306" s="27">
        <v>12</v>
      </c>
      <c r="J306" s="27">
        <v>500083</v>
      </c>
      <c r="K306" s="27">
        <v>5000</v>
      </c>
      <c r="L306" s="373" t="s">
        <v>2063</v>
      </c>
      <c r="M306" s="27" t="str">
        <f t="shared" si="9"/>
        <v>12500083500001</v>
      </c>
      <c r="O306" s="27">
        <f t="shared" si="8"/>
        <v>1247000000</v>
      </c>
    </row>
    <row r="307" spans="1:15" x14ac:dyDescent="0.2">
      <c r="A307" s="27" t="s">
        <v>175</v>
      </c>
      <c r="B307" s="325" t="s">
        <v>3516</v>
      </c>
      <c r="C307" s="71">
        <v>2543498</v>
      </c>
      <c r="E307" s="27" t="s">
        <v>176</v>
      </c>
      <c r="F307" s="27" t="s">
        <v>177</v>
      </c>
      <c r="G307" s="38">
        <v>41518</v>
      </c>
      <c r="H307" s="38"/>
      <c r="I307" s="27">
        <v>12</v>
      </c>
      <c r="J307" s="27">
        <v>500083</v>
      </c>
      <c r="K307" s="27">
        <v>7000</v>
      </c>
      <c r="L307" s="373" t="s">
        <v>3218</v>
      </c>
      <c r="M307" s="27" t="str">
        <f t="shared" si="9"/>
        <v>12500083700002</v>
      </c>
      <c r="O307" s="27">
        <f t="shared" si="8"/>
        <v>254349800</v>
      </c>
    </row>
    <row r="308" spans="1:15" x14ac:dyDescent="0.2">
      <c r="A308" s="27" t="s">
        <v>175</v>
      </c>
      <c r="B308" s="325" t="s">
        <v>3517</v>
      </c>
      <c r="C308" s="71">
        <v>2605896</v>
      </c>
      <c r="E308" s="27" t="s">
        <v>176</v>
      </c>
      <c r="F308" s="27" t="s">
        <v>177</v>
      </c>
      <c r="G308" s="38">
        <v>41518</v>
      </c>
      <c r="H308" s="38"/>
      <c r="I308" s="27">
        <v>12</v>
      </c>
      <c r="J308" s="27">
        <v>500083</v>
      </c>
      <c r="K308" s="27">
        <v>7000</v>
      </c>
      <c r="L308" s="373" t="s">
        <v>3219</v>
      </c>
      <c r="M308" s="27" t="str">
        <f t="shared" si="9"/>
        <v>12500083700003</v>
      </c>
      <c r="O308" s="27">
        <f t="shared" si="8"/>
        <v>260589600</v>
      </c>
    </row>
    <row r="309" spans="1:15" x14ac:dyDescent="0.2">
      <c r="A309" s="27" t="s">
        <v>175</v>
      </c>
      <c r="B309" s="325" t="s">
        <v>3518</v>
      </c>
      <c r="C309" s="71">
        <v>1000000</v>
      </c>
      <c r="E309" s="27" t="s">
        <v>176</v>
      </c>
      <c r="F309" s="27" t="s">
        <v>177</v>
      </c>
      <c r="G309" s="38">
        <v>41518</v>
      </c>
      <c r="H309" s="38"/>
      <c r="I309" s="27">
        <v>12</v>
      </c>
      <c r="J309" s="27">
        <v>500084</v>
      </c>
      <c r="K309" s="27">
        <v>5000</v>
      </c>
      <c r="L309" s="373" t="s">
        <v>2063</v>
      </c>
      <c r="M309" s="27" t="str">
        <f t="shared" si="9"/>
        <v>12500084500001</v>
      </c>
      <c r="O309" s="27">
        <f t="shared" si="8"/>
        <v>100000000</v>
      </c>
    </row>
    <row r="310" spans="1:15" x14ac:dyDescent="0.2">
      <c r="A310" s="27" t="s">
        <v>175</v>
      </c>
      <c r="B310" s="325" t="s">
        <v>3519</v>
      </c>
      <c r="C310" s="71">
        <v>3084579</v>
      </c>
      <c r="E310" s="27" t="s">
        <v>176</v>
      </c>
      <c r="F310" s="27" t="s">
        <v>177</v>
      </c>
      <c r="G310" s="38">
        <v>41518</v>
      </c>
      <c r="H310" s="38"/>
      <c r="I310" s="27">
        <v>12</v>
      </c>
      <c r="J310" s="27">
        <v>500084</v>
      </c>
      <c r="K310" s="27">
        <v>7000</v>
      </c>
      <c r="L310" s="373" t="s">
        <v>2063</v>
      </c>
      <c r="M310" s="27" t="str">
        <f t="shared" si="9"/>
        <v>12500084700001</v>
      </c>
      <c r="O310" s="27">
        <f t="shared" si="8"/>
        <v>308457900</v>
      </c>
    </row>
    <row r="311" spans="1:15" x14ac:dyDescent="0.2">
      <c r="A311" s="27" t="s">
        <v>175</v>
      </c>
      <c r="B311" s="325" t="s">
        <v>3520</v>
      </c>
      <c r="C311" s="71">
        <v>31800000</v>
      </c>
      <c r="E311" s="27" t="s">
        <v>176</v>
      </c>
      <c r="F311" s="27" t="s">
        <v>177</v>
      </c>
      <c r="G311" s="38">
        <v>41518</v>
      </c>
      <c r="H311" s="38"/>
      <c r="I311" s="27">
        <v>12</v>
      </c>
      <c r="J311" s="27">
        <v>500085</v>
      </c>
      <c r="K311" s="27">
        <v>5000</v>
      </c>
      <c r="L311" s="373" t="s">
        <v>2063</v>
      </c>
      <c r="M311" s="27" t="str">
        <f t="shared" si="9"/>
        <v>12500085500001</v>
      </c>
      <c r="O311" s="27">
        <f t="shared" si="8"/>
        <v>3180000000</v>
      </c>
    </row>
    <row r="312" spans="1:15" x14ac:dyDescent="0.2">
      <c r="A312" s="27" t="s">
        <v>175</v>
      </c>
      <c r="B312" s="325" t="s">
        <v>3521</v>
      </c>
      <c r="C312" s="71">
        <v>875000</v>
      </c>
      <c r="E312" s="27" t="s">
        <v>176</v>
      </c>
      <c r="F312" s="27" t="s">
        <v>177</v>
      </c>
      <c r="G312" s="38">
        <v>41518</v>
      </c>
      <c r="H312" s="38"/>
      <c r="I312" s="27">
        <v>12</v>
      </c>
      <c r="J312" s="27">
        <v>510010</v>
      </c>
      <c r="K312" s="27">
        <v>5000</v>
      </c>
      <c r="L312" s="373" t="s">
        <v>2063</v>
      </c>
      <c r="M312" s="27" t="str">
        <f t="shared" si="9"/>
        <v>12510010500001</v>
      </c>
      <c r="O312" s="27">
        <f t="shared" si="8"/>
        <v>87500000</v>
      </c>
    </row>
    <row r="313" spans="1:15" x14ac:dyDescent="0.2">
      <c r="A313" s="27" t="s">
        <v>175</v>
      </c>
      <c r="B313" s="325" t="s">
        <v>3522</v>
      </c>
      <c r="C313" s="71">
        <v>5969322</v>
      </c>
      <c r="E313" s="27" t="s">
        <v>176</v>
      </c>
      <c r="F313" s="27" t="s">
        <v>177</v>
      </c>
      <c r="G313" s="38">
        <v>41518</v>
      </c>
      <c r="H313" s="38"/>
      <c r="I313" s="27">
        <v>12</v>
      </c>
      <c r="J313" s="27">
        <v>510010</v>
      </c>
      <c r="K313" s="27">
        <v>7000</v>
      </c>
      <c r="L313" s="373" t="s">
        <v>2063</v>
      </c>
      <c r="M313" s="27" t="str">
        <f t="shared" si="9"/>
        <v>12510010700001</v>
      </c>
      <c r="O313" s="27">
        <f t="shared" si="8"/>
        <v>596932200</v>
      </c>
    </row>
    <row r="314" spans="1:15" x14ac:dyDescent="0.2">
      <c r="A314" s="27" t="s">
        <v>175</v>
      </c>
      <c r="B314" s="325" t="s">
        <v>3523</v>
      </c>
      <c r="C314" s="71">
        <v>714511</v>
      </c>
      <c r="E314" s="27" t="s">
        <v>176</v>
      </c>
      <c r="F314" s="27" t="s">
        <v>177</v>
      </c>
      <c r="G314" s="38">
        <v>41518</v>
      </c>
      <c r="H314" s="38"/>
      <c r="I314" s="27">
        <v>12</v>
      </c>
      <c r="J314" s="27">
        <v>510011</v>
      </c>
      <c r="K314" s="27">
        <v>7000</v>
      </c>
      <c r="L314" s="373" t="s">
        <v>2063</v>
      </c>
      <c r="M314" s="27" t="str">
        <f t="shared" si="9"/>
        <v>12510011700001</v>
      </c>
      <c r="O314" s="27">
        <f t="shared" si="8"/>
        <v>71451100</v>
      </c>
    </row>
    <row r="315" spans="1:15" x14ac:dyDescent="0.2">
      <c r="A315" s="27" t="s">
        <v>175</v>
      </c>
      <c r="B315" s="325" t="s">
        <v>3524</v>
      </c>
      <c r="C315" s="71">
        <v>900000</v>
      </c>
      <c r="E315" s="27" t="s">
        <v>176</v>
      </c>
      <c r="F315" s="27" t="s">
        <v>177</v>
      </c>
      <c r="G315" s="38">
        <v>41518</v>
      </c>
      <c r="H315" s="38"/>
      <c r="I315" s="27">
        <v>12</v>
      </c>
      <c r="J315" s="27">
        <v>510011</v>
      </c>
      <c r="K315" s="27">
        <v>5000</v>
      </c>
      <c r="L315" s="373" t="s">
        <v>2063</v>
      </c>
      <c r="M315" s="27" t="str">
        <f t="shared" si="9"/>
        <v>12510011500001</v>
      </c>
      <c r="O315" s="27">
        <f t="shared" si="8"/>
        <v>90000000</v>
      </c>
    </row>
    <row r="316" spans="1:15" x14ac:dyDescent="0.2">
      <c r="A316" s="27" t="s">
        <v>175</v>
      </c>
      <c r="B316" s="325" t="s">
        <v>3525</v>
      </c>
      <c r="C316" s="71">
        <v>5202500</v>
      </c>
      <c r="E316" s="27" t="s">
        <v>176</v>
      </c>
      <c r="F316" s="27" t="s">
        <v>177</v>
      </c>
      <c r="G316" s="38">
        <v>41518</v>
      </c>
      <c r="H316" s="38"/>
      <c r="I316" s="27">
        <v>12</v>
      </c>
      <c r="J316" s="27">
        <v>510012</v>
      </c>
      <c r="K316" s="27">
        <v>5000</v>
      </c>
      <c r="L316" s="373" t="s">
        <v>2063</v>
      </c>
      <c r="M316" s="27" t="str">
        <f t="shared" si="9"/>
        <v>12510012500001</v>
      </c>
      <c r="O316" s="27">
        <f t="shared" si="8"/>
        <v>520250000</v>
      </c>
    </row>
    <row r="317" spans="1:15" x14ac:dyDescent="0.2">
      <c r="A317" s="27" t="s">
        <v>175</v>
      </c>
      <c r="B317" s="325" t="s">
        <v>3526</v>
      </c>
      <c r="C317" s="71">
        <v>14831376</v>
      </c>
      <c r="E317" s="27" t="s">
        <v>176</v>
      </c>
      <c r="F317" s="27" t="s">
        <v>177</v>
      </c>
      <c r="G317" s="38">
        <v>41518</v>
      </c>
      <c r="H317" s="38"/>
      <c r="I317" s="27">
        <v>12</v>
      </c>
      <c r="J317" s="27">
        <v>510012</v>
      </c>
      <c r="K317" s="27">
        <v>7000</v>
      </c>
      <c r="L317" s="373" t="s">
        <v>2063</v>
      </c>
      <c r="M317" s="27" t="str">
        <f t="shared" si="9"/>
        <v>12510012700001</v>
      </c>
      <c r="O317" s="27">
        <f t="shared" si="8"/>
        <v>1483137600</v>
      </c>
    </row>
    <row r="318" spans="1:15" x14ac:dyDescent="0.2">
      <c r="A318" s="27" t="s">
        <v>175</v>
      </c>
      <c r="B318" s="325" t="s">
        <v>3527</v>
      </c>
      <c r="C318" s="71">
        <v>2265000</v>
      </c>
      <c r="E318" s="27" t="s">
        <v>176</v>
      </c>
      <c r="F318" s="27" t="s">
        <v>177</v>
      </c>
      <c r="G318" s="38">
        <v>41518</v>
      </c>
      <c r="H318" s="38"/>
      <c r="I318" s="27">
        <v>12</v>
      </c>
      <c r="J318" s="27">
        <v>510013</v>
      </c>
      <c r="K318" s="27">
        <v>5000</v>
      </c>
      <c r="L318" s="373" t="s">
        <v>2063</v>
      </c>
      <c r="M318" s="27" t="str">
        <f t="shared" si="9"/>
        <v>12510013500001</v>
      </c>
      <c r="O318" s="27">
        <f t="shared" ref="O318:O381" si="10">+C318*100</f>
        <v>226500000</v>
      </c>
    </row>
    <row r="319" spans="1:15" x14ac:dyDescent="0.2">
      <c r="A319" s="27" t="s">
        <v>175</v>
      </c>
      <c r="B319" s="325" t="s">
        <v>3528</v>
      </c>
      <c r="C319" s="374">
        <v>500000</v>
      </c>
      <c r="E319" s="27" t="s">
        <v>176</v>
      </c>
      <c r="F319" s="27" t="s">
        <v>177</v>
      </c>
      <c r="G319" s="38">
        <v>41518</v>
      </c>
      <c r="H319" s="38"/>
      <c r="I319" s="27">
        <v>12</v>
      </c>
      <c r="J319" s="27">
        <v>510014</v>
      </c>
      <c r="K319" s="27">
        <v>5000</v>
      </c>
      <c r="L319" s="373" t="s">
        <v>2063</v>
      </c>
      <c r="M319" s="27" t="str">
        <f t="shared" si="9"/>
        <v>12510014500001</v>
      </c>
      <c r="O319" s="27">
        <f t="shared" si="10"/>
        <v>50000000</v>
      </c>
    </row>
    <row r="320" spans="1:15" x14ac:dyDescent="0.2">
      <c r="A320" s="27" t="s">
        <v>175</v>
      </c>
      <c r="B320" s="325" t="s">
        <v>3529</v>
      </c>
      <c r="C320" s="374">
        <v>8878608</v>
      </c>
      <c r="E320" s="27" t="s">
        <v>176</v>
      </c>
      <c r="F320" s="27" t="s">
        <v>177</v>
      </c>
      <c r="G320" s="38">
        <v>41518</v>
      </c>
      <c r="H320" s="38"/>
      <c r="I320" s="27">
        <v>12</v>
      </c>
      <c r="J320" s="27">
        <v>510014</v>
      </c>
      <c r="K320" s="27">
        <v>7000</v>
      </c>
      <c r="L320" s="373" t="s">
        <v>2063</v>
      </c>
      <c r="M320" s="27" t="str">
        <f t="shared" si="9"/>
        <v>12510014700001</v>
      </c>
      <c r="O320" s="27">
        <f t="shared" si="10"/>
        <v>887860800</v>
      </c>
    </row>
    <row r="321" spans="1:15" x14ac:dyDescent="0.2">
      <c r="A321" s="27" t="s">
        <v>175</v>
      </c>
      <c r="B321" s="325" t="s">
        <v>3530</v>
      </c>
      <c r="C321" s="71">
        <v>2500000</v>
      </c>
      <c r="E321" s="27" t="s">
        <v>176</v>
      </c>
      <c r="F321" s="27" t="s">
        <v>177</v>
      </c>
      <c r="G321" s="38">
        <v>41518</v>
      </c>
      <c r="H321" s="38"/>
      <c r="I321" s="27">
        <v>12</v>
      </c>
      <c r="J321" s="27">
        <v>510015</v>
      </c>
      <c r="K321" s="27">
        <v>5000</v>
      </c>
      <c r="L321" s="373" t="s">
        <v>2063</v>
      </c>
      <c r="M321" s="27" t="str">
        <f t="shared" ref="M321:M384" si="11">RIGHT(I321,2)&amp;RIGHT(J321,6)&amp;RIGHT(K321,4)&amp;RIGHT(L321,2)</f>
        <v>12510015500001</v>
      </c>
      <c r="O321" s="27">
        <f t="shared" si="10"/>
        <v>250000000</v>
      </c>
    </row>
    <row r="322" spans="1:15" x14ac:dyDescent="0.2">
      <c r="A322" s="27" t="s">
        <v>175</v>
      </c>
      <c r="B322" s="325" t="s">
        <v>3531</v>
      </c>
      <c r="C322" s="71">
        <v>6359594</v>
      </c>
      <c r="E322" s="27" t="s">
        <v>176</v>
      </c>
      <c r="F322" s="27" t="s">
        <v>177</v>
      </c>
      <c r="G322" s="38">
        <v>41518</v>
      </c>
      <c r="H322" s="38"/>
      <c r="I322" s="27">
        <v>12</v>
      </c>
      <c r="J322" s="27">
        <v>510015</v>
      </c>
      <c r="K322" s="27">
        <v>7000</v>
      </c>
      <c r="L322" s="373" t="s">
        <v>2063</v>
      </c>
      <c r="M322" s="27" t="str">
        <f t="shared" si="11"/>
        <v>12510015700001</v>
      </c>
      <c r="O322" s="27">
        <f t="shared" si="10"/>
        <v>635959400</v>
      </c>
    </row>
    <row r="323" spans="1:15" x14ac:dyDescent="0.2">
      <c r="A323" s="27" t="s">
        <v>175</v>
      </c>
      <c r="B323" s="325" t="s">
        <v>3532</v>
      </c>
      <c r="C323" s="71">
        <v>820000</v>
      </c>
      <c r="E323" s="27" t="s">
        <v>176</v>
      </c>
      <c r="F323" s="27" t="s">
        <v>177</v>
      </c>
      <c r="G323" s="38">
        <v>41518</v>
      </c>
      <c r="H323" s="38"/>
      <c r="I323" s="27">
        <v>12</v>
      </c>
      <c r="J323" s="27">
        <v>510018</v>
      </c>
      <c r="K323" s="27">
        <v>5000</v>
      </c>
      <c r="L323" s="373" t="s">
        <v>2063</v>
      </c>
      <c r="M323" s="27" t="str">
        <f t="shared" si="11"/>
        <v>12510018500001</v>
      </c>
      <c r="O323" s="27">
        <f t="shared" si="10"/>
        <v>82000000</v>
      </c>
    </row>
    <row r="324" spans="1:15" x14ac:dyDescent="0.2">
      <c r="A324" s="27" t="s">
        <v>175</v>
      </c>
      <c r="B324" s="325" t="s">
        <v>3533</v>
      </c>
      <c r="C324" s="71">
        <v>5462966</v>
      </c>
      <c r="E324" s="27" t="s">
        <v>176</v>
      </c>
      <c r="F324" s="27" t="s">
        <v>177</v>
      </c>
      <c r="G324" s="38">
        <v>41518</v>
      </c>
      <c r="H324" s="38"/>
      <c r="I324" s="27">
        <v>12</v>
      </c>
      <c r="J324" s="27">
        <v>510018</v>
      </c>
      <c r="K324" s="27">
        <v>7000</v>
      </c>
      <c r="L324" s="373" t="s">
        <v>2063</v>
      </c>
      <c r="M324" s="27" t="str">
        <f t="shared" si="11"/>
        <v>12510018700001</v>
      </c>
      <c r="O324" s="27">
        <f t="shared" si="10"/>
        <v>546296600</v>
      </c>
    </row>
    <row r="325" spans="1:15" x14ac:dyDescent="0.2">
      <c r="A325" s="27" t="s">
        <v>175</v>
      </c>
      <c r="B325" s="325" t="s">
        <v>3534</v>
      </c>
      <c r="C325" s="71">
        <v>5720000</v>
      </c>
      <c r="E325" s="27" t="s">
        <v>176</v>
      </c>
      <c r="F325" s="27" t="s">
        <v>177</v>
      </c>
      <c r="G325" s="38">
        <v>41518</v>
      </c>
      <c r="H325" s="38"/>
      <c r="I325" s="27">
        <v>12</v>
      </c>
      <c r="J325" s="27">
        <v>510020</v>
      </c>
      <c r="K325" s="27">
        <v>5000</v>
      </c>
      <c r="L325" s="373" t="s">
        <v>2063</v>
      </c>
      <c r="M325" s="27" t="str">
        <f t="shared" si="11"/>
        <v>12510020500001</v>
      </c>
      <c r="O325" s="27">
        <f t="shared" si="10"/>
        <v>572000000</v>
      </c>
    </row>
    <row r="326" spans="1:15" x14ac:dyDescent="0.2">
      <c r="A326" s="27" t="s">
        <v>175</v>
      </c>
      <c r="B326" s="325" t="s">
        <v>3535</v>
      </c>
      <c r="C326" s="71">
        <v>11076605</v>
      </c>
      <c r="E326" s="27" t="s">
        <v>176</v>
      </c>
      <c r="F326" s="27" t="s">
        <v>177</v>
      </c>
      <c r="G326" s="38">
        <v>41518</v>
      </c>
      <c r="H326" s="38"/>
      <c r="I326" s="27">
        <v>12</v>
      </c>
      <c r="J326" s="27">
        <v>510020</v>
      </c>
      <c r="K326" s="27">
        <v>7000</v>
      </c>
      <c r="L326" s="373" t="s">
        <v>2063</v>
      </c>
      <c r="M326" s="27" t="str">
        <f t="shared" si="11"/>
        <v>12510020700001</v>
      </c>
      <c r="O326" s="27">
        <f t="shared" si="10"/>
        <v>1107660500</v>
      </c>
    </row>
    <row r="327" spans="1:15" x14ac:dyDescent="0.2">
      <c r="A327" s="27" t="s">
        <v>175</v>
      </c>
      <c r="B327" s="325" t="s">
        <v>3536</v>
      </c>
      <c r="C327" s="71">
        <v>3500000</v>
      </c>
      <c r="E327" s="27" t="s">
        <v>176</v>
      </c>
      <c r="F327" s="27" t="s">
        <v>177</v>
      </c>
      <c r="G327" s="38">
        <v>41518</v>
      </c>
      <c r="H327" s="38"/>
      <c r="I327" s="27">
        <v>12</v>
      </c>
      <c r="J327" s="27">
        <v>510025</v>
      </c>
      <c r="K327" s="27">
        <v>5000</v>
      </c>
      <c r="L327" s="373" t="s">
        <v>2063</v>
      </c>
      <c r="M327" s="27" t="str">
        <f t="shared" si="11"/>
        <v>12510025500001</v>
      </c>
      <c r="O327" s="27">
        <f t="shared" si="10"/>
        <v>350000000</v>
      </c>
    </row>
    <row r="328" spans="1:15" x14ac:dyDescent="0.2">
      <c r="A328" s="27" t="s">
        <v>175</v>
      </c>
      <c r="B328" s="325" t="s">
        <v>3537</v>
      </c>
      <c r="C328" s="71">
        <v>1700000</v>
      </c>
      <c r="E328" s="27" t="s">
        <v>176</v>
      </c>
      <c r="F328" s="27" t="s">
        <v>177</v>
      </c>
      <c r="G328" s="38">
        <v>41518</v>
      </c>
      <c r="H328" s="38"/>
      <c r="I328" s="27">
        <v>12</v>
      </c>
      <c r="J328" s="27">
        <v>510030</v>
      </c>
      <c r="K328" s="27">
        <v>5000</v>
      </c>
      <c r="L328" s="373" t="s">
        <v>2063</v>
      </c>
      <c r="M328" s="27" t="str">
        <f t="shared" si="11"/>
        <v>12510030500001</v>
      </c>
      <c r="O328" s="27">
        <f t="shared" si="10"/>
        <v>170000000</v>
      </c>
    </row>
    <row r="329" spans="1:15" x14ac:dyDescent="0.2">
      <c r="A329" s="27" t="s">
        <v>175</v>
      </c>
      <c r="B329" s="325" t="s">
        <v>3538</v>
      </c>
      <c r="C329" s="71">
        <v>12500000</v>
      </c>
      <c r="E329" s="27" t="s">
        <v>176</v>
      </c>
      <c r="F329" s="27" t="s">
        <v>177</v>
      </c>
      <c r="G329" s="38">
        <v>41518</v>
      </c>
      <c r="H329" s="38"/>
      <c r="I329" s="27">
        <v>11</v>
      </c>
      <c r="J329" s="27">
        <v>510032</v>
      </c>
      <c r="K329" s="27">
        <v>5000</v>
      </c>
      <c r="L329" s="373" t="s">
        <v>2063</v>
      </c>
      <c r="M329" s="27" t="str">
        <f t="shared" si="11"/>
        <v>11510032500001</v>
      </c>
      <c r="O329" s="27">
        <f t="shared" si="10"/>
        <v>1250000000</v>
      </c>
    </row>
    <row r="330" spans="1:15" x14ac:dyDescent="0.2">
      <c r="A330" s="27" t="s">
        <v>175</v>
      </c>
      <c r="B330" s="325" t="s">
        <v>3539</v>
      </c>
      <c r="C330" s="71">
        <v>1050000</v>
      </c>
      <c r="E330" s="27" t="s">
        <v>176</v>
      </c>
      <c r="F330" s="27" t="s">
        <v>177</v>
      </c>
      <c r="G330" s="38">
        <v>41518</v>
      </c>
      <c r="H330" s="38"/>
      <c r="I330" s="27">
        <v>12</v>
      </c>
      <c r="J330" s="27">
        <v>510035</v>
      </c>
      <c r="K330" s="27">
        <v>5000</v>
      </c>
      <c r="L330" s="373" t="s">
        <v>2063</v>
      </c>
      <c r="M330" s="27" t="str">
        <f t="shared" si="11"/>
        <v>12510035500001</v>
      </c>
      <c r="O330" s="27">
        <f t="shared" si="10"/>
        <v>105000000</v>
      </c>
    </row>
    <row r="331" spans="1:15" x14ac:dyDescent="0.2">
      <c r="A331" s="27" t="s">
        <v>175</v>
      </c>
      <c r="B331" s="326" t="s">
        <v>3540</v>
      </c>
      <c r="C331" s="71">
        <v>2500000</v>
      </c>
      <c r="E331" s="27" t="s">
        <v>176</v>
      </c>
      <c r="F331" s="27" t="s">
        <v>177</v>
      </c>
      <c r="G331" s="38">
        <v>41518</v>
      </c>
      <c r="H331" s="38"/>
      <c r="I331" s="27">
        <v>12</v>
      </c>
      <c r="J331" s="27">
        <v>510040</v>
      </c>
      <c r="K331" s="27">
        <v>5000</v>
      </c>
      <c r="L331" s="373" t="s">
        <v>2063</v>
      </c>
      <c r="M331" s="27" t="str">
        <f t="shared" si="11"/>
        <v>12510040500001</v>
      </c>
      <c r="O331" s="27">
        <f t="shared" si="10"/>
        <v>250000000</v>
      </c>
    </row>
    <row r="332" spans="1:15" x14ac:dyDescent="0.2">
      <c r="A332" s="27" t="s">
        <v>175</v>
      </c>
      <c r="B332" s="325" t="s">
        <v>3541</v>
      </c>
      <c r="C332" s="71">
        <v>3015000</v>
      </c>
      <c r="E332" s="27" t="s">
        <v>176</v>
      </c>
      <c r="F332" s="27" t="s">
        <v>177</v>
      </c>
      <c r="G332" s="38">
        <v>41518</v>
      </c>
      <c r="H332" s="38"/>
      <c r="I332" s="27">
        <v>12</v>
      </c>
      <c r="J332" s="27">
        <v>510045</v>
      </c>
      <c r="K332" s="27">
        <v>5000</v>
      </c>
      <c r="L332" s="373" t="s">
        <v>2063</v>
      </c>
      <c r="M332" s="27" t="str">
        <f t="shared" si="11"/>
        <v>12510045500001</v>
      </c>
      <c r="O332" s="27">
        <f t="shared" si="10"/>
        <v>301500000</v>
      </c>
    </row>
    <row r="333" spans="1:15" x14ac:dyDescent="0.2">
      <c r="A333" s="27" t="s">
        <v>175</v>
      </c>
      <c r="B333" s="325" t="s">
        <v>3542</v>
      </c>
      <c r="C333" s="71">
        <v>750000</v>
      </c>
      <c r="E333" s="27" t="s">
        <v>176</v>
      </c>
      <c r="F333" s="27" t="s">
        <v>177</v>
      </c>
      <c r="G333" s="38">
        <v>41518</v>
      </c>
      <c r="H333" s="38"/>
      <c r="I333" s="27">
        <v>12</v>
      </c>
      <c r="J333" s="27">
        <v>510050</v>
      </c>
      <c r="K333" s="27">
        <v>5000</v>
      </c>
      <c r="L333" s="373" t="s">
        <v>2063</v>
      </c>
      <c r="M333" s="27" t="str">
        <f t="shared" si="11"/>
        <v>12510050500001</v>
      </c>
      <c r="O333" s="27">
        <f t="shared" si="10"/>
        <v>75000000</v>
      </c>
    </row>
    <row r="334" spans="1:15" x14ac:dyDescent="0.2">
      <c r="A334" s="27" t="s">
        <v>175</v>
      </c>
      <c r="B334" s="325" t="s">
        <v>3543</v>
      </c>
      <c r="C334" s="71">
        <v>50000</v>
      </c>
      <c r="E334" s="27" t="s">
        <v>176</v>
      </c>
      <c r="F334" s="27" t="s">
        <v>177</v>
      </c>
      <c r="G334" s="38">
        <v>41518</v>
      </c>
      <c r="H334" s="38"/>
      <c r="I334" s="27">
        <v>12</v>
      </c>
      <c r="J334" s="27">
        <v>510052</v>
      </c>
      <c r="K334" s="27">
        <v>5000</v>
      </c>
      <c r="L334" s="373" t="s">
        <v>2063</v>
      </c>
      <c r="M334" s="27" t="str">
        <f t="shared" si="11"/>
        <v>12510052500001</v>
      </c>
      <c r="O334" s="27">
        <f t="shared" si="10"/>
        <v>5000000</v>
      </c>
    </row>
    <row r="335" spans="1:15" x14ac:dyDescent="0.2">
      <c r="A335" s="27" t="s">
        <v>175</v>
      </c>
      <c r="B335" s="325" t="s">
        <v>3544</v>
      </c>
      <c r="C335" s="71">
        <v>1900000</v>
      </c>
      <c r="E335" s="27" t="s">
        <v>176</v>
      </c>
      <c r="F335" s="27" t="s">
        <v>177</v>
      </c>
      <c r="G335" s="38">
        <v>41518</v>
      </c>
      <c r="H335" s="38"/>
      <c r="I335" s="27">
        <v>12</v>
      </c>
      <c r="J335" s="27">
        <v>510055</v>
      </c>
      <c r="K335" s="27">
        <v>5073</v>
      </c>
      <c r="L335" s="373" t="s">
        <v>2063</v>
      </c>
      <c r="M335" s="27" t="str">
        <f t="shared" si="11"/>
        <v>12510055507301</v>
      </c>
      <c r="O335" s="27">
        <f t="shared" si="10"/>
        <v>190000000</v>
      </c>
    </row>
    <row r="336" spans="1:15" x14ac:dyDescent="0.2">
      <c r="A336" s="27" t="s">
        <v>175</v>
      </c>
      <c r="B336" s="325" t="s">
        <v>3545</v>
      </c>
      <c r="C336" s="71">
        <v>3522000</v>
      </c>
      <c r="E336" s="27" t="s">
        <v>176</v>
      </c>
      <c r="F336" s="27" t="s">
        <v>177</v>
      </c>
      <c r="G336" s="38">
        <v>41518</v>
      </c>
      <c r="H336" s="38"/>
      <c r="I336" s="27">
        <v>12</v>
      </c>
      <c r="J336" s="27">
        <v>510060</v>
      </c>
      <c r="K336" s="27">
        <v>5000</v>
      </c>
      <c r="L336" s="373" t="s">
        <v>2063</v>
      </c>
      <c r="M336" s="27" t="str">
        <f t="shared" si="11"/>
        <v>12510060500001</v>
      </c>
      <c r="O336" s="27">
        <f t="shared" si="10"/>
        <v>352200000</v>
      </c>
    </row>
    <row r="337" spans="1:15" x14ac:dyDescent="0.2">
      <c r="A337" s="27" t="s">
        <v>175</v>
      </c>
      <c r="B337" s="325" t="s">
        <v>3546</v>
      </c>
      <c r="C337" s="71">
        <v>2675000</v>
      </c>
      <c r="E337" s="27" t="s">
        <v>176</v>
      </c>
      <c r="F337" s="27" t="s">
        <v>177</v>
      </c>
      <c r="G337" s="38">
        <v>41518</v>
      </c>
      <c r="H337" s="38"/>
      <c r="I337" s="27">
        <v>12</v>
      </c>
      <c r="J337" s="27">
        <v>510065</v>
      </c>
      <c r="K337" s="27">
        <v>5000</v>
      </c>
      <c r="L337" s="373" t="s">
        <v>2063</v>
      </c>
      <c r="M337" s="27" t="str">
        <f t="shared" si="11"/>
        <v>12510065500001</v>
      </c>
      <c r="O337" s="27">
        <f t="shared" si="10"/>
        <v>267500000</v>
      </c>
    </row>
    <row r="338" spans="1:15" x14ac:dyDescent="0.2">
      <c r="A338" s="27" t="s">
        <v>175</v>
      </c>
      <c r="B338" s="325" t="s">
        <v>3547</v>
      </c>
      <c r="C338" s="71">
        <v>11000000</v>
      </c>
      <c r="E338" s="27" t="s">
        <v>176</v>
      </c>
      <c r="F338" s="27" t="s">
        <v>177</v>
      </c>
      <c r="G338" s="38">
        <v>41518</v>
      </c>
      <c r="H338" s="38"/>
      <c r="I338" s="27">
        <v>11</v>
      </c>
      <c r="J338" s="27">
        <v>510070</v>
      </c>
      <c r="K338" s="27">
        <v>5000</v>
      </c>
      <c r="L338" s="373" t="s">
        <v>2063</v>
      </c>
      <c r="M338" s="27" t="str">
        <f t="shared" si="11"/>
        <v>11510070500001</v>
      </c>
      <c r="O338" s="27">
        <f t="shared" si="10"/>
        <v>1100000000</v>
      </c>
    </row>
    <row r="339" spans="1:15" x14ac:dyDescent="0.2">
      <c r="A339" s="27" t="s">
        <v>175</v>
      </c>
      <c r="B339" s="325" t="s">
        <v>3548</v>
      </c>
      <c r="C339" s="71">
        <v>7117544</v>
      </c>
      <c r="E339" s="27" t="s">
        <v>176</v>
      </c>
      <c r="F339" s="27" t="s">
        <v>177</v>
      </c>
      <c r="G339" s="38">
        <v>41518</v>
      </c>
      <c r="H339" s="38"/>
      <c r="I339" s="27">
        <v>12</v>
      </c>
      <c r="J339" s="27">
        <v>510075</v>
      </c>
      <c r="K339" s="27">
        <v>7000</v>
      </c>
      <c r="L339" s="373" t="s">
        <v>2063</v>
      </c>
      <c r="M339" s="27" t="str">
        <f t="shared" si="11"/>
        <v>12510075700001</v>
      </c>
      <c r="O339" s="27">
        <f t="shared" si="10"/>
        <v>711754400</v>
      </c>
    </row>
    <row r="340" spans="1:15" x14ac:dyDescent="0.2">
      <c r="A340" s="27" t="s">
        <v>175</v>
      </c>
      <c r="B340" s="325" t="s">
        <v>3549</v>
      </c>
      <c r="C340" s="71">
        <v>8634204</v>
      </c>
      <c r="E340" s="27" t="s">
        <v>176</v>
      </c>
      <c r="F340" s="27" t="s">
        <v>177</v>
      </c>
      <c r="G340" s="38">
        <v>41518</v>
      </c>
      <c r="H340" s="38"/>
      <c r="I340" s="27">
        <v>12</v>
      </c>
      <c r="J340" s="27">
        <v>510075</v>
      </c>
      <c r="K340" s="27">
        <v>5000</v>
      </c>
      <c r="L340" s="373" t="s">
        <v>2063</v>
      </c>
      <c r="M340" s="27" t="str">
        <f t="shared" si="11"/>
        <v>12510075500001</v>
      </c>
      <c r="O340" s="27">
        <f t="shared" si="10"/>
        <v>863420400</v>
      </c>
    </row>
    <row r="341" spans="1:15" x14ac:dyDescent="0.2">
      <c r="A341" s="27" t="s">
        <v>175</v>
      </c>
      <c r="B341" s="325" t="s">
        <v>3550</v>
      </c>
      <c r="C341" s="71">
        <v>2913500</v>
      </c>
      <c r="E341" s="27" t="s">
        <v>176</v>
      </c>
      <c r="F341" s="27" t="s">
        <v>177</v>
      </c>
      <c r="G341" s="38">
        <v>41518</v>
      </c>
      <c r="H341" s="38"/>
      <c r="I341" s="27">
        <v>12</v>
      </c>
      <c r="J341" s="27">
        <v>510080</v>
      </c>
      <c r="K341" s="27">
        <v>7000</v>
      </c>
      <c r="L341" s="373" t="s">
        <v>2063</v>
      </c>
      <c r="M341" s="27" t="str">
        <f t="shared" si="11"/>
        <v>12510080700001</v>
      </c>
      <c r="O341" s="27">
        <f t="shared" si="10"/>
        <v>291350000</v>
      </c>
    </row>
    <row r="342" spans="1:15" x14ac:dyDescent="0.2">
      <c r="A342" s="27" t="s">
        <v>175</v>
      </c>
      <c r="B342" s="325" t="s">
        <v>3551</v>
      </c>
      <c r="C342" s="71">
        <v>15005000</v>
      </c>
      <c r="E342" s="27" t="s">
        <v>176</v>
      </c>
      <c r="F342" s="27" t="s">
        <v>177</v>
      </c>
      <c r="G342" s="38">
        <v>41518</v>
      </c>
      <c r="H342" s="38"/>
      <c r="I342" s="27">
        <v>12</v>
      </c>
      <c r="J342" s="27">
        <v>510080</v>
      </c>
      <c r="K342" s="27">
        <v>5000</v>
      </c>
      <c r="L342" s="373" t="s">
        <v>2063</v>
      </c>
      <c r="M342" s="27" t="str">
        <f t="shared" si="11"/>
        <v>12510080500001</v>
      </c>
      <c r="O342" s="27">
        <f t="shared" si="10"/>
        <v>1500500000</v>
      </c>
    </row>
    <row r="343" spans="1:15" x14ac:dyDescent="0.2">
      <c r="A343" s="27" t="s">
        <v>175</v>
      </c>
      <c r="B343" s="325" t="s">
        <v>3552</v>
      </c>
      <c r="C343" s="71">
        <v>6636297</v>
      </c>
      <c r="E343" s="27" t="s">
        <v>176</v>
      </c>
      <c r="F343" s="27" t="s">
        <v>177</v>
      </c>
      <c r="G343" s="38">
        <v>41518</v>
      </c>
      <c r="H343" s="38"/>
      <c r="I343" s="27">
        <v>11</v>
      </c>
      <c r="J343" s="27">
        <v>510085</v>
      </c>
      <c r="K343" s="27">
        <v>7000</v>
      </c>
      <c r="L343" s="373" t="s">
        <v>2063</v>
      </c>
      <c r="M343" s="27" t="str">
        <f t="shared" si="11"/>
        <v>11510085700001</v>
      </c>
      <c r="O343" s="27">
        <f t="shared" si="10"/>
        <v>663629700</v>
      </c>
    </row>
    <row r="344" spans="1:15" x14ac:dyDescent="0.2">
      <c r="A344" s="27" t="s">
        <v>175</v>
      </c>
      <c r="B344" s="325" t="s">
        <v>3553</v>
      </c>
      <c r="C344" s="71">
        <v>13000000</v>
      </c>
      <c r="E344" s="27" t="s">
        <v>176</v>
      </c>
      <c r="F344" s="27" t="s">
        <v>177</v>
      </c>
      <c r="G344" s="38">
        <v>41518</v>
      </c>
      <c r="H344" s="38"/>
      <c r="I344" s="27">
        <v>11</v>
      </c>
      <c r="J344" s="27">
        <v>510085</v>
      </c>
      <c r="K344" s="27">
        <v>5000</v>
      </c>
      <c r="L344" s="373" t="s">
        <v>2063</v>
      </c>
      <c r="M344" s="27" t="str">
        <f t="shared" si="11"/>
        <v>11510085500001</v>
      </c>
      <c r="O344" s="27">
        <f t="shared" si="10"/>
        <v>1300000000</v>
      </c>
    </row>
    <row r="345" spans="1:15" x14ac:dyDescent="0.2">
      <c r="A345" s="27" t="s">
        <v>175</v>
      </c>
      <c r="B345" s="325" t="s">
        <v>3554</v>
      </c>
      <c r="C345" s="71">
        <v>3000000</v>
      </c>
      <c r="E345" s="27" t="s">
        <v>176</v>
      </c>
      <c r="F345" s="27" t="s">
        <v>177</v>
      </c>
      <c r="G345" s="38">
        <v>41518</v>
      </c>
      <c r="H345" s="38"/>
      <c r="I345" s="27">
        <v>11</v>
      </c>
      <c r="J345" s="27">
        <v>510090</v>
      </c>
      <c r="K345" s="27">
        <v>5000</v>
      </c>
      <c r="L345" s="373" t="s">
        <v>2063</v>
      </c>
      <c r="M345" s="27" t="str">
        <f t="shared" si="11"/>
        <v>11510090500001</v>
      </c>
      <c r="O345" s="27">
        <f t="shared" si="10"/>
        <v>300000000</v>
      </c>
    </row>
    <row r="346" spans="1:15" x14ac:dyDescent="0.2">
      <c r="A346" s="27" t="s">
        <v>175</v>
      </c>
      <c r="B346" s="325" t="s">
        <v>3555</v>
      </c>
      <c r="C346" s="71">
        <v>55514000</v>
      </c>
      <c r="E346" s="27" t="s">
        <v>176</v>
      </c>
      <c r="F346" s="27" t="s">
        <v>177</v>
      </c>
      <c r="G346" s="38">
        <v>41518</v>
      </c>
      <c r="H346" s="38"/>
      <c r="I346" s="27">
        <v>11</v>
      </c>
      <c r="J346" s="27">
        <v>510090</v>
      </c>
      <c r="K346" s="27">
        <v>5000</v>
      </c>
      <c r="L346" s="373" t="s">
        <v>3218</v>
      </c>
      <c r="M346" s="27" t="str">
        <f t="shared" si="11"/>
        <v>11510090500002</v>
      </c>
      <c r="O346" s="27">
        <f t="shared" si="10"/>
        <v>5551400000</v>
      </c>
    </row>
    <row r="347" spans="1:15" x14ac:dyDescent="0.2">
      <c r="A347" s="27" t="s">
        <v>175</v>
      </c>
      <c r="B347" s="325" t="s">
        <v>3556</v>
      </c>
      <c r="C347" s="71">
        <v>69000000</v>
      </c>
      <c r="E347" s="27" t="s">
        <v>176</v>
      </c>
      <c r="F347" s="27" t="s">
        <v>177</v>
      </c>
      <c r="G347" s="38">
        <v>41518</v>
      </c>
      <c r="H347" s="38"/>
      <c r="I347" s="27">
        <v>11</v>
      </c>
      <c r="J347" s="27">
        <v>510090</v>
      </c>
      <c r="K347" s="27">
        <v>5000</v>
      </c>
      <c r="L347" s="373" t="s">
        <v>3219</v>
      </c>
      <c r="M347" s="27" t="str">
        <f t="shared" si="11"/>
        <v>11510090500003</v>
      </c>
      <c r="O347" s="27">
        <f t="shared" si="10"/>
        <v>6900000000</v>
      </c>
    </row>
    <row r="348" spans="1:15" x14ac:dyDescent="0.2">
      <c r="A348" s="27" t="s">
        <v>175</v>
      </c>
      <c r="B348" s="325" t="s">
        <v>3557</v>
      </c>
      <c r="C348" s="71">
        <v>5000000</v>
      </c>
      <c r="E348" s="27" t="s">
        <v>176</v>
      </c>
      <c r="F348" s="27" t="s">
        <v>177</v>
      </c>
      <c r="G348" s="38">
        <v>41518</v>
      </c>
      <c r="H348" s="38"/>
      <c r="I348" s="27">
        <v>12</v>
      </c>
      <c r="J348" s="27">
        <v>510099</v>
      </c>
      <c r="K348" s="27">
        <v>7000</v>
      </c>
      <c r="L348" s="373" t="s">
        <v>2063</v>
      </c>
      <c r="M348" s="27" t="str">
        <f t="shared" si="11"/>
        <v>12510099700001</v>
      </c>
      <c r="O348" s="27">
        <f t="shared" si="10"/>
        <v>500000000</v>
      </c>
    </row>
    <row r="349" spans="1:15" x14ac:dyDescent="0.2">
      <c r="A349" s="27" t="s">
        <v>175</v>
      </c>
      <c r="B349" s="325" t="s">
        <v>3558</v>
      </c>
      <c r="C349" s="71">
        <v>1060000</v>
      </c>
      <c r="E349" s="27" t="s">
        <v>176</v>
      </c>
      <c r="F349" s="27" t="s">
        <v>177</v>
      </c>
      <c r="G349" s="38">
        <v>41518</v>
      </c>
      <c r="H349" s="38"/>
      <c r="I349" s="27">
        <v>12</v>
      </c>
      <c r="J349" s="27">
        <v>520010</v>
      </c>
      <c r="K349" s="27">
        <v>5000</v>
      </c>
      <c r="L349" s="373" t="s">
        <v>2063</v>
      </c>
      <c r="M349" s="27" t="str">
        <f t="shared" si="11"/>
        <v>12520010500001</v>
      </c>
      <c r="O349" s="27">
        <f t="shared" si="10"/>
        <v>106000000</v>
      </c>
    </row>
    <row r="350" spans="1:15" x14ac:dyDescent="0.2">
      <c r="A350" s="27" t="s">
        <v>175</v>
      </c>
      <c r="B350" s="325" t="s">
        <v>3559</v>
      </c>
      <c r="C350" s="71">
        <v>11194357</v>
      </c>
      <c r="E350" s="27" t="s">
        <v>176</v>
      </c>
      <c r="F350" s="27" t="s">
        <v>177</v>
      </c>
      <c r="G350" s="38">
        <v>41518</v>
      </c>
      <c r="H350" s="38"/>
      <c r="I350" s="27">
        <v>12</v>
      </c>
      <c r="J350" s="27">
        <v>520010</v>
      </c>
      <c r="K350" s="27">
        <v>7000</v>
      </c>
      <c r="L350" s="373" t="s">
        <v>2063</v>
      </c>
      <c r="M350" s="27" t="str">
        <f t="shared" si="11"/>
        <v>12520010700001</v>
      </c>
      <c r="O350" s="27">
        <f t="shared" si="10"/>
        <v>1119435700</v>
      </c>
    </row>
    <row r="351" spans="1:15" x14ac:dyDescent="0.2">
      <c r="A351" s="27" t="s">
        <v>175</v>
      </c>
      <c r="B351" s="325" t="s">
        <v>3560</v>
      </c>
      <c r="C351" s="71">
        <v>115464800</v>
      </c>
      <c r="E351" s="27" t="s">
        <v>176</v>
      </c>
      <c r="F351" s="27" t="s">
        <v>177</v>
      </c>
      <c r="G351" s="38">
        <v>41518</v>
      </c>
      <c r="H351" s="38"/>
      <c r="I351" s="27">
        <v>12</v>
      </c>
      <c r="J351" s="27">
        <v>530005</v>
      </c>
      <c r="K351" s="27">
        <v>5060</v>
      </c>
      <c r="L351" s="373" t="s">
        <v>2063</v>
      </c>
      <c r="M351" s="27" t="str">
        <f t="shared" si="11"/>
        <v>12530005506001</v>
      </c>
      <c r="O351" s="27">
        <f t="shared" si="10"/>
        <v>11546480000</v>
      </c>
    </row>
    <row r="352" spans="1:15" x14ac:dyDescent="0.2">
      <c r="A352" s="27" t="s">
        <v>175</v>
      </c>
      <c r="B352" s="325" t="s">
        <v>3561</v>
      </c>
      <c r="C352" s="71">
        <v>26000000</v>
      </c>
      <c r="E352" s="27" t="s">
        <v>176</v>
      </c>
      <c r="F352" s="27" t="s">
        <v>177</v>
      </c>
      <c r="G352" s="38">
        <v>41518</v>
      </c>
      <c r="H352" s="38"/>
      <c r="I352" s="27">
        <v>12</v>
      </c>
      <c r="J352" s="27">
        <v>530006</v>
      </c>
      <c r="K352" s="27">
        <v>5060</v>
      </c>
      <c r="L352" s="373" t="s">
        <v>2063</v>
      </c>
      <c r="M352" s="27" t="str">
        <f t="shared" si="11"/>
        <v>12530006506001</v>
      </c>
      <c r="O352" s="27">
        <f t="shared" si="10"/>
        <v>2600000000</v>
      </c>
    </row>
    <row r="353" spans="1:15" x14ac:dyDescent="0.2">
      <c r="A353" s="27" t="s">
        <v>175</v>
      </c>
      <c r="B353" s="325" t="s">
        <v>3562</v>
      </c>
      <c r="C353" s="71">
        <v>1500000</v>
      </c>
      <c r="E353" s="27" t="s">
        <v>176</v>
      </c>
      <c r="F353" s="27" t="s">
        <v>177</v>
      </c>
      <c r="G353" s="38">
        <v>41518</v>
      </c>
      <c r="H353" s="38"/>
      <c r="I353" s="27">
        <v>12</v>
      </c>
      <c r="J353" s="27">
        <v>530007</v>
      </c>
      <c r="K353" s="27">
        <v>5060</v>
      </c>
      <c r="L353" s="373" t="s">
        <v>2063</v>
      </c>
      <c r="M353" s="27" t="str">
        <f t="shared" si="11"/>
        <v>12530007506001</v>
      </c>
      <c r="O353" s="27">
        <f t="shared" si="10"/>
        <v>150000000</v>
      </c>
    </row>
    <row r="354" spans="1:15" x14ac:dyDescent="0.2">
      <c r="A354" s="27" t="s">
        <v>175</v>
      </c>
      <c r="B354" s="325" t="s">
        <v>3563</v>
      </c>
      <c r="C354" s="71">
        <v>5000000</v>
      </c>
      <c r="E354" s="27" t="s">
        <v>176</v>
      </c>
      <c r="F354" s="27" t="s">
        <v>177</v>
      </c>
      <c r="G354" s="38">
        <v>41518</v>
      </c>
      <c r="H354" s="38"/>
      <c r="I354" s="27">
        <v>12</v>
      </c>
      <c r="J354" s="27">
        <v>530008</v>
      </c>
      <c r="K354" s="27">
        <v>5060</v>
      </c>
      <c r="L354" s="373" t="s">
        <v>2063</v>
      </c>
      <c r="M354" s="27" t="str">
        <f t="shared" si="11"/>
        <v>12530008506001</v>
      </c>
      <c r="O354" s="27">
        <f t="shared" si="10"/>
        <v>500000000</v>
      </c>
    </row>
    <row r="355" spans="1:15" x14ac:dyDescent="0.2">
      <c r="A355" s="27" t="s">
        <v>175</v>
      </c>
      <c r="B355" s="325" t="s">
        <v>3564</v>
      </c>
      <c r="C355" s="71">
        <v>20000000</v>
      </c>
      <c r="E355" s="27" t="s">
        <v>176</v>
      </c>
      <c r="F355" s="27" t="s">
        <v>177</v>
      </c>
      <c r="G355" s="38">
        <v>41518</v>
      </c>
      <c r="H355" s="38"/>
      <c r="I355" s="27">
        <v>12</v>
      </c>
      <c r="J355" s="27">
        <v>530010</v>
      </c>
      <c r="K355" s="27">
        <v>5000</v>
      </c>
      <c r="L355" s="373" t="s">
        <v>2063</v>
      </c>
      <c r="M355" s="27" t="str">
        <f t="shared" si="11"/>
        <v>12530010500001</v>
      </c>
      <c r="O355" s="27">
        <f t="shared" si="10"/>
        <v>2000000000</v>
      </c>
    </row>
    <row r="356" spans="1:15" x14ac:dyDescent="0.2">
      <c r="A356" s="27" t="s">
        <v>175</v>
      </c>
      <c r="B356" s="325" t="s">
        <v>3565</v>
      </c>
      <c r="C356" s="71">
        <v>26000000</v>
      </c>
      <c r="E356" s="27" t="s">
        <v>176</v>
      </c>
      <c r="F356" s="27" t="s">
        <v>177</v>
      </c>
      <c r="G356" s="38">
        <v>41518</v>
      </c>
      <c r="H356" s="38"/>
      <c r="I356" s="27">
        <v>12</v>
      </c>
      <c r="J356" s="27">
        <v>530015</v>
      </c>
      <c r="K356" s="27">
        <v>5060</v>
      </c>
      <c r="L356" s="373" t="s">
        <v>2063</v>
      </c>
      <c r="M356" s="27" t="str">
        <f t="shared" si="11"/>
        <v>12530015506001</v>
      </c>
      <c r="O356" s="27">
        <f t="shared" si="10"/>
        <v>2600000000</v>
      </c>
    </row>
    <row r="357" spans="1:15" x14ac:dyDescent="0.2">
      <c r="A357" s="27" t="s">
        <v>175</v>
      </c>
      <c r="B357" s="325" t="s">
        <v>3566</v>
      </c>
      <c r="C357" s="71">
        <v>5843766</v>
      </c>
      <c r="E357" s="27" t="s">
        <v>176</v>
      </c>
      <c r="F357" s="27" t="s">
        <v>177</v>
      </c>
      <c r="G357" s="38">
        <v>41518</v>
      </c>
      <c r="H357" s="38"/>
      <c r="I357" s="27">
        <v>11</v>
      </c>
      <c r="J357" s="27">
        <v>600010</v>
      </c>
      <c r="K357" s="27">
        <v>7000</v>
      </c>
      <c r="L357" s="373" t="s">
        <v>2063</v>
      </c>
      <c r="M357" s="27" t="str">
        <f t="shared" si="11"/>
        <v>11600010700001</v>
      </c>
      <c r="O357" s="27">
        <f t="shared" si="10"/>
        <v>584376600</v>
      </c>
    </row>
    <row r="358" spans="1:15" x14ac:dyDescent="0.2">
      <c r="A358" s="27" t="s">
        <v>175</v>
      </c>
      <c r="B358" s="325" t="s">
        <v>3567</v>
      </c>
      <c r="C358" s="71">
        <v>14100000</v>
      </c>
      <c r="E358" s="27" t="s">
        <v>176</v>
      </c>
      <c r="F358" s="27" t="s">
        <v>177</v>
      </c>
      <c r="G358" s="38">
        <v>41518</v>
      </c>
      <c r="H358" s="38"/>
      <c r="I358" s="27">
        <v>11</v>
      </c>
      <c r="J358" s="27">
        <v>600010</v>
      </c>
      <c r="K358" s="27">
        <v>5000</v>
      </c>
      <c r="L358" s="373" t="s">
        <v>2063</v>
      </c>
      <c r="M358" s="27" t="str">
        <f t="shared" si="11"/>
        <v>11600010500001</v>
      </c>
      <c r="O358" s="27">
        <f t="shared" si="10"/>
        <v>1410000000</v>
      </c>
    </row>
    <row r="359" spans="1:15" x14ac:dyDescent="0.2">
      <c r="A359" s="27" t="s">
        <v>175</v>
      </c>
      <c r="B359" s="325" t="s">
        <v>3568</v>
      </c>
      <c r="C359" s="71">
        <v>26792000</v>
      </c>
      <c r="E359" s="27" t="s">
        <v>176</v>
      </c>
      <c r="F359" s="27" t="s">
        <v>177</v>
      </c>
      <c r="G359" s="38">
        <v>41518</v>
      </c>
      <c r="H359" s="38"/>
      <c r="I359" s="27">
        <v>11</v>
      </c>
      <c r="J359" s="27">
        <v>610020</v>
      </c>
      <c r="K359" s="27">
        <v>5000</v>
      </c>
      <c r="L359" s="373" t="s">
        <v>2063</v>
      </c>
      <c r="M359" s="27" t="str">
        <f t="shared" si="11"/>
        <v>11610020500001</v>
      </c>
      <c r="O359" s="27">
        <f t="shared" si="10"/>
        <v>2679200000</v>
      </c>
    </row>
    <row r="360" spans="1:15" x14ac:dyDescent="0.2">
      <c r="A360" s="27" t="s">
        <v>175</v>
      </c>
      <c r="B360" s="325" t="s">
        <v>3569</v>
      </c>
      <c r="C360" s="71">
        <v>27620829</v>
      </c>
      <c r="E360" s="27" t="s">
        <v>176</v>
      </c>
      <c r="F360" s="27" t="s">
        <v>177</v>
      </c>
      <c r="G360" s="38">
        <v>41518</v>
      </c>
      <c r="H360" s="38"/>
      <c r="I360" s="27">
        <v>11</v>
      </c>
      <c r="J360" s="27">
        <v>610020</v>
      </c>
      <c r="K360" s="27">
        <v>7000</v>
      </c>
      <c r="L360" s="373" t="s">
        <v>2063</v>
      </c>
      <c r="M360" s="27" t="str">
        <f t="shared" si="11"/>
        <v>11610020700001</v>
      </c>
      <c r="O360" s="27">
        <f t="shared" si="10"/>
        <v>2762082900</v>
      </c>
    </row>
    <row r="361" spans="1:15" x14ac:dyDescent="0.2">
      <c r="A361" s="27" t="s">
        <v>175</v>
      </c>
      <c r="B361" s="325" t="s">
        <v>3570</v>
      </c>
      <c r="C361" s="71">
        <v>5740000</v>
      </c>
      <c r="E361" s="27" t="s">
        <v>176</v>
      </c>
      <c r="F361" s="27" t="s">
        <v>177</v>
      </c>
      <c r="G361" s="38">
        <v>41518</v>
      </c>
      <c r="H361" s="38"/>
      <c r="I361" s="27">
        <v>11</v>
      </c>
      <c r="J361" s="27">
        <v>610020</v>
      </c>
      <c r="K361" s="27">
        <v>5000</v>
      </c>
      <c r="L361" s="373" t="s">
        <v>3218</v>
      </c>
      <c r="M361" s="27" t="str">
        <f t="shared" si="11"/>
        <v>11610020500002</v>
      </c>
      <c r="O361" s="27">
        <f t="shared" si="10"/>
        <v>574000000</v>
      </c>
    </row>
    <row r="362" spans="1:15" x14ac:dyDescent="0.2">
      <c r="A362" s="27" t="s">
        <v>175</v>
      </c>
      <c r="B362" s="325" t="s">
        <v>3571</v>
      </c>
      <c r="C362" s="71">
        <v>9300000</v>
      </c>
      <c r="E362" s="27" t="s">
        <v>176</v>
      </c>
      <c r="F362" s="27" t="s">
        <v>177</v>
      </c>
      <c r="G362" s="38">
        <v>41518</v>
      </c>
      <c r="H362" s="38"/>
      <c r="I362" s="27">
        <v>11</v>
      </c>
      <c r="J362" s="27">
        <v>610020</v>
      </c>
      <c r="K362" s="27">
        <v>5000</v>
      </c>
      <c r="L362" s="373" t="s">
        <v>3219</v>
      </c>
      <c r="M362" s="27" t="str">
        <f t="shared" si="11"/>
        <v>11610020500003</v>
      </c>
      <c r="O362" s="27">
        <f t="shared" si="10"/>
        <v>930000000</v>
      </c>
    </row>
    <row r="363" spans="1:15" x14ac:dyDescent="0.2">
      <c r="A363" s="27" t="s">
        <v>175</v>
      </c>
      <c r="B363" s="325" t="s">
        <v>3572</v>
      </c>
      <c r="C363" s="71">
        <v>1800000</v>
      </c>
      <c r="E363" s="27" t="s">
        <v>176</v>
      </c>
      <c r="F363" s="27" t="s">
        <v>177</v>
      </c>
      <c r="G363" s="38">
        <v>41518</v>
      </c>
      <c r="H363" s="38"/>
      <c r="I363" s="27">
        <v>11</v>
      </c>
      <c r="J363" s="27">
        <v>610020</v>
      </c>
      <c r="K363" s="27">
        <v>5000</v>
      </c>
      <c r="L363" s="373" t="s">
        <v>3220</v>
      </c>
      <c r="M363" s="27" t="str">
        <f t="shared" si="11"/>
        <v>11610020500004</v>
      </c>
      <c r="O363" s="27">
        <f t="shared" si="10"/>
        <v>180000000</v>
      </c>
    </row>
    <row r="364" spans="1:15" x14ac:dyDescent="0.2">
      <c r="A364" s="27" t="s">
        <v>175</v>
      </c>
      <c r="B364" s="325" t="s">
        <v>3573</v>
      </c>
      <c r="C364" s="71">
        <v>6930000</v>
      </c>
      <c r="E364" s="27" t="s">
        <v>176</v>
      </c>
      <c r="F364" s="27" t="s">
        <v>177</v>
      </c>
      <c r="G364" s="38">
        <v>41518</v>
      </c>
      <c r="H364" s="38"/>
      <c r="I364" s="27">
        <v>11</v>
      </c>
      <c r="J364" s="27">
        <v>620030</v>
      </c>
      <c r="K364" s="27">
        <v>5000</v>
      </c>
      <c r="L364" s="373" t="s">
        <v>2063</v>
      </c>
      <c r="M364" s="27" t="str">
        <f t="shared" si="11"/>
        <v>11620030500001</v>
      </c>
      <c r="O364" s="27">
        <f t="shared" si="10"/>
        <v>693000000</v>
      </c>
    </row>
    <row r="365" spans="1:15" x14ac:dyDescent="0.2">
      <c r="A365" s="27" t="s">
        <v>175</v>
      </c>
      <c r="B365" s="325" t="s">
        <v>3574</v>
      </c>
      <c r="C365" s="71">
        <v>24484401</v>
      </c>
      <c r="E365" s="27" t="s">
        <v>176</v>
      </c>
      <c r="F365" s="27" t="s">
        <v>177</v>
      </c>
      <c r="G365" s="38">
        <v>41518</v>
      </c>
      <c r="H365" s="38"/>
      <c r="I365" s="27">
        <v>11</v>
      </c>
      <c r="J365" s="27">
        <v>620030</v>
      </c>
      <c r="K365" s="27">
        <v>7000</v>
      </c>
      <c r="L365" s="373" t="s">
        <v>2063</v>
      </c>
      <c r="M365" s="27" t="str">
        <f t="shared" si="11"/>
        <v>11620030700001</v>
      </c>
      <c r="O365" s="27">
        <f t="shared" si="10"/>
        <v>2448440100</v>
      </c>
    </row>
    <row r="366" spans="1:15" x14ac:dyDescent="0.2">
      <c r="A366" s="27" t="s">
        <v>175</v>
      </c>
      <c r="B366" s="325" t="s">
        <v>3575</v>
      </c>
      <c r="C366" s="71">
        <v>2850000</v>
      </c>
      <c r="E366" s="27" t="s">
        <v>176</v>
      </c>
      <c r="F366" s="27" t="s">
        <v>177</v>
      </c>
      <c r="G366" s="38">
        <v>41518</v>
      </c>
      <c r="H366" s="38"/>
      <c r="I366" s="27">
        <v>11</v>
      </c>
      <c r="J366" s="27">
        <v>620030</v>
      </c>
      <c r="K366" s="27">
        <v>5000</v>
      </c>
      <c r="L366" s="373" t="s">
        <v>3218</v>
      </c>
      <c r="M366" s="27" t="str">
        <f t="shared" si="11"/>
        <v>11620030500002</v>
      </c>
      <c r="O366" s="27">
        <f t="shared" si="10"/>
        <v>285000000</v>
      </c>
    </row>
    <row r="367" spans="1:15" x14ac:dyDescent="0.2">
      <c r="A367" s="27" t="s">
        <v>175</v>
      </c>
      <c r="B367" s="325" t="s">
        <v>3576</v>
      </c>
      <c r="C367" s="71">
        <v>9455122</v>
      </c>
      <c r="E367" s="27" t="s">
        <v>176</v>
      </c>
      <c r="F367" s="27" t="s">
        <v>177</v>
      </c>
      <c r="G367" s="38">
        <v>41518</v>
      </c>
      <c r="H367" s="38"/>
      <c r="I367" s="27">
        <v>11</v>
      </c>
      <c r="J367" s="27">
        <v>620030</v>
      </c>
      <c r="K367" s="27">
        <v>7000</v>
      </c>
      <c r="L367" s="373" t="s">
        <v>3218</v>
      </c>
      <c r="M367" s="27" t="str">
        <f t="shared" si="11"/>
        <v>11620030700002</v>
      </c>
      <c r="O367" s="27">
        <f t="shared" si="10"/>
        <v>945512200</v>
      </c>
    </row>
    <row r="368" spans="1:15" x14ac:dyDescent="0.2">
      <c r="A368" s="27" t="s">
        <v>175</v>
      </c>
      <c r="B368" s="325" t="s">
        <v>3577</v>
      </c>
      <c r="C368" s="71">
        <v>4050000</v>
      </c>
      <c r="E368" s="27" t="s">
        <v>176</v>
      </c>
      <c r="F368" s="27" t="s">
        <v>177</v>
      </c>
      <c r="G368" s="38">
        <v>41518</v>
      </c>
      <c r="H368" s="38"/>
      <c r="I368" s="27">
        <v>11</v>
      </c>
      <c r="J368" s="27">
        <v>620030</v>
      </c>
      <c r="K368" s="27">
        <v>5000</v>
      </c>
      <c r="L368" s="373" t="s">
        <v>3219</v>
      </c>
      <c r="M368" s="27" t="str">
        <f t="shared" si="11"/>
        <v>11620030500003</v>
      </c>
      <c r="O368" s="27">
        <f t="shared" si="10"/>
        <v>405000000</v>
      </c>
    </row>
    <row r="369" spans="1:15" x14ac:dyDescent="0.2">
      <c r="A369" s="27" t="s">
        <v>175</v>
      </c>
      <c r="B369" s="325" t="s">
        <v>3578</v>
      </c>
      <c r="C369" s="71">
        <v>9903921</v>
      </c>
      <c r="E369" s="27" t="s">
        <v>176</v>
      </c>
      <c r="F369" s="27" t="s">
        <v>177</v>
      </c>
      <c r="G369" s="38">
        <v>41518</v>
      </c>
      <c r="H369" s="38"/>
      <c r="I369" s="27">
        <v>11</v>
      </c>
      <c r="J369" s="27">
        <v>620030</v>
      </c>
      <c r="K369" s="27">
        <v>7000</v>
      </c>
      <c r="L369" s="373" t="s">
        <v>3219</v>
      </c>
      <c r="M369" s="27" t="str">
        <f t="shared" si="11"/>
        <v>11620030700003</v>
      </c>
      <c r="O369" s="27">
        <f t="shared" si="10"/>
        <v>990392100</v>
      </c>
    </row>
    <row r="370" spans="1:15" x14ac:dyDescent="0.2">
      <c r="A370" s="27" t="s">
        <v>175</v>
      </c>
      <c r="B370" s="325" t="s">
        <v>3579</v>
      </c>
      <c r="C370" s="71">
        <v>5585000</v>
      </c>
      <c r="E370" s="27" t="s">
        <v>176</v>
      </c>
      <c r="F370" s="27" t="s">
        <v>177</v>
      </c>
      <c r="G370" s="38">
        <v>41518</v>
      </c>
      <c r="H370" s="38"/>
      <c r="I370" s="27">
        <v>11</v>
      </c>
      <c r="J370" s="27">
        <v>630040</v>
      </c>
      <c r="K370" s="27">
        <v>5000</v>
      </c>
      <c r="L370" s="373" t="s">
        <v>2063</v>
      </c>
      <c r="M370" s="27" t="str">
        <f t="shared" si="11"/>
        <v>11630040500001</v>
      </c>
      <c r="O370" s="27">
        <f t="shared" si="10"/>
        <v>558500000</v>
      </c>
    </row>
    <row r="371" spans="1:15" x14ac:dyDescent="0.2">
      <c r="A371" s="27" t="s">
        <v>175</v>
      </c>
      <c r="B371" s="325" t="s">
        <v>3580</v>
      </c>
      <c r="C371" s="71">
        <v>10025334</v>
      </c>
      <c r="E371" s="27" t="s">
        <v>176</v>
      </c>
      <c r="F371" s="27" t="s">
        <v>177</v>
      </c>
      <c r="G371" s="38">
        <v>41518</v>
      </c>
      <c r="H371" s="38"/>
      <c r="I371" s="27">
        <v>11</v>
      </c>
      <c r="J371" s="27">
        <v>630040</v>
      </c>
      <c r="K371" s="27">
        <v>7000</v>
      </c>
      <c r="L371" s="373" t="s">
        <v>2063</v>
      </c>
      <c r="M371" s="27" t="str">
        <f t="shared" si="11"/>
        <v>11630040700001</v>
      </c>
      <c r="O371" s="27">
        <f t="shared" si="10"/>
        <v>1002533400</v>
      </c>
    </row>
    <row r="372" spans="1:15" x14ac:dyDescent="0.2">
      <c r="A372" s="27" t="s">
        <v>175</v>
      </c>
      <c r="B372" s="325" t="s">
        <v>3581</v>
      </c>
      <c r="C372" s="71">
        <v>1600000</v>
      </c>
      <c r="E372" s="27" t="s">
        <v>176</v>
      </c>
      <c r="F372" s="27" t="s">
        <v>177</v>
      </c>
      <c r="G372" s="38">
        <v>41518</v>
      </c>
      <c r="H372" s="38"/>
      <c r="I372" s="27">
        <v>11</v>
      </c>
      <c r="J372" s="27">
        <v>630040</v>
      </c>
      <c r="K372" s="27">
        <v>5000</v>
      </c>
      <c r="L372" s="373" t="s">
        <v>3218</v>
      </c>
      <c r="M372" s="27" t="str">
        <f t="shared" si="11"/>
        <v>11630040500002</v>
      </c>
      <c r="O372" s="27">
        <f t="shared" si="10"/>
        <v>160000000</v>
      </c>
    </row>
    <row r="373" spans="1:15" x14ac:dyDescent="0.2">
      <c r="A373" s="27" t="s">
        <v>175</v>
      </c>
      <c r="B373" s="325" t="s">
        <v>3582</v>
      </c>
      <c r="C373" s="71">
        <v>1250000</v>
      </c>
      <c r="E373" s="27" t="s">
        <v>176</v>
      </c>
      <c r="F373" s="27" t="s">
        <v>177</v>
      </c>
      <c r="G373" s="38">
        <v>41518</v>
      </c>
      <c r="H373" s="38"/>
      <c r="I373" s="27">
        <v>11</v>
      </c>
      <c r="J373" s="27">
        <v>630040</v>
      </c>
      <c r="K373" s="27">
        <v>5000</v>
      </c>
      <c r="L373" s="373" t="s">
        <v>3219</v>
      </c>
      <c r="M373" s="27" t="str">
        <f t="shared" si="11"/>
        <v>11630040500003</v>
      </c>
      <c r="O373" s="27">
        <f t="shared" si="10"/>
        <v>125000000</v>
      </c>
    </row>
    <row r="374" spans="1:15" x14ac:dyDescent="0.2">
      <c r="A374" s="27" t="s">
        <v>175</v>
      </c>
      <c r="B374" s="325" t="s">
        <v>3583</v>
      </c>
      <c r="C374" s="71">
        <v>52800000</v>
      </c>
      <c r="E374" s="27" t="s">
        <v>176</v>
      </c>
      <c r="F374" s="27" t="s">
        <v>177</v>
      </c>
      <c r="G374" s="38">
        <v>41518</v>
      </c>
      <c r="H374" s="38"/>
      <c r="I374" s="27">
        <v>11</v>
      </c>
      <c r="J374" s="27">
        <v>640050</v>
      </c>
      <c r="K374" s="27">
        <v>5000</v>
      </c>
      <c r="L374" s="373" t="s">
        <v>2063</v>
      </c>
      <c r="M374" s="27" t="str">
        <f t="shared" si="11"/>
        <v>11640050500001</v>
      </c>
      <c r="O374" s="27">
        <f t="shared" si="10"/>
        <v>5280000000</v>
      </c>
    </row>
    <row r="375" spans="1:15" x14ac:dyDescent="0.2">
      <c r="A375" s="27" t="s">
        <v>175</v>
      </c>
      <c r="B375" s="325" t="s">
        <v>3584</v>
      </c>
      <c r="C375" s="71">
        <v>15000000</v>
      </c>
      <c r="E375" s="27" t="s">
        <v>176</v>
      </c>
      <c r="F375" s="27" t="s">
        <v>177</v>
      </c>
      <c r="G375" s="38">
        <v>41518</v>
      </c>
      <c r="H375" s="38"/>
      <c r="I375" s="27">
        <v>11</v>
      </c>
      <c r="J375" s="27">
        <v>640050</v>
      </c>
      <c r="K375" s="27">
        <v>5000</v>
      </c>
      <c r="L375" s="373" t="s">
        <v>3218</v>
      </c>
      <c r="M375" s="27" t="str">
        <f t="shared" si="11"/>
        <v>11640050500002</v>
      </c>
      <c r="O375" s="27">
        <f t="shared" si="10"/>
        <v>1500000000</v>
      </c>
    </row>
    <row r="376" spans="1:15" x14ac:dyDescent="0.2">
      <c r="A376" s="27" t="s">
        <v>175</v>
      </c>
      <c r="B376" s="325" t="s">
        <v>3585</v>
      </c>
      <c r="C376" s="71">
        <v>16250000</v>
      </c>
      <c r="E376" s="27" t="s">
        <v>176</v>
      </c>
      <c r="F376" s="27" t="s">
        <v>177</v>
      </c>
      <c r="G376" s="38">
        <v>41518</v>
      </c>
      <c r="H376" s="38"/>
      <c r="I376" s="27">
        <v>11</v>
      </c>
      <c r="J376" s="27">
        <v>640050</v>
      </c>
      <c r="K376" s="27">
        <v>5000</v>
      </c>
      <c r="L376" s="373" t="s">
        <v>3219</v>
      </c>
      <c r="M376" s="27" t="str">
        <f t="shared" si="11"/>
        <v>11640050500003</v>
      </c>
      <c r="O376" s="27">
        <f t="shared" si="10"/>
        <v>1625000000</v>
      </c>
    </row>
    <row r="377" spans="1:15" x14ac:dyDescent="0.2">
      <c r="A377" s="27" t="s">
        <v>175</v>
      </c>
      <c r="B377" s="325" t="s">
        <v>3586</v>
      </c>
      <c r="C377" s="71">
        <v>3320000</v>
      </c>
      <c r="E377" s="27" t="s">
        <v>176</v>
      </c>
      <c r="F377" s="27" t="s">
        <v>177</v>
      </c>
      <c r="G377" s="38">
        <v>41518</v>
      </c>
      <c r="H377" s="38"/>
      <c r="I377" s="27">
        <v>11</v>
      </c>
      <c r="J377" s="27">
        <v>640050</v>
      </c>
      <c r="K377" s="27">
        <v>5000</v>
      </c>
      <c r="L377" s="373" t="s">
        <v>3220</v>
      </c>
      <c r="M377" s="27" t="str">
        <f t="shared" si="11"/>
        <v>11640050500004</v>
      </c>
      <c r="O377" s="27">
        <f t="shared" si="10"/>
        <v>332000000</v>
      </c>
    </row>
    <row r="378" spans="1:15" x14ac:dyDescent="0.2">
      <c r="A378" s="27" t="s">
        <v>175</v>
      </c>
      <c r="B378" s="325" t="s">
        <v>3587</v>
      </c>
      <c r="C378" s="71">
        <v>25752000</v>
      </c>
      <c r="E378" s="27" t="s">
        <v>176</v>
      </c>
      <c r="F378" s="27" t="s">
        <v>177</v>
      </c>
      <c r="G378" s="38">
        <v>41518</v>
      </c>
      <c r="H378" s="38"/>
      <c r="I378" s="27">
        <v>52</v>
      </c>
      <c r="J378" s="27">
        <v>660304</v>
      </c>
      <c r="K378" s="27">
        <v>5052</v>
      </c>
      <c r="L378" s="373" t="s">
        <v>2063</v>
      </c>
      <c r="M378" s="27" t="str">
        <f t="shared" si="11"/>
        <v>52660304505201</v>
      </c>
      <c r="O378" s="27">
        <f t="shared" si="10"/>
        <v>2575200000</v>
      </c>
    </row>
    <row r="379" spans="1:15" x14ac:dyDescent="0.2">
      <c r="A379" s="27" t="s">
        <v>175</v>
      </c>
      <c r="B379" s="325" t="s">
        <v>3588</v>
      </c>
      <c r="C379" s="71">
        <v>8339500</v>
      </c>
      <c r="E379" s="27" t="s">
        <v>176</v>
      </c>
      <c r="F379" s="27" t="s">
        <v>177</v>
      </c>
      <c r="G379" s="38">
        <v>41518</v>
      </c>
      <c r="H379" s="38"/>
      <c r="I379" s="27">
        <v>52</v>
      </c>
      <c r="J379" s="27">
        <v>660305</v>
      </c>
      <c r="K379" s="27">
        <v>5052</v>
      </c>
      <c r="L379" s="373" t="s">
        <v>2063</v>
      </c>
      <c r="M379" s="27" t="str">
        <f t="shared" si="11"/>
        <v>52660305505201</v>
      </c>
      <c r="O379" s="27">
        <f t="shared" si="10"/>
        <v>833950000</v>
      </c>
    </row>
    <row r="380" spans="1:15" x14ac:dyDescent="0.2">
      <c r="A380" s="27" t="s">
        <v>175</v>
      </c>
      <c r="B380" s="325" t="s">
        <v>3589</v>
      </c>
      <c r="C380" s="71">
        <v>33765500</v>
      </c>
      <c r="E380" s="27" t="s">
        <v>176</v>
      </c>
      <c r="F380" s="27" t="s">
        <v>177</v>
      </c>
      <c r="G380" s="38">
        <v>41518</v>
      </c>
      <c r="H380" s="38"/>
      <c r="I380" s="27">
        <v>52</v>
      </c>
      <c r="J380" s="27">
        <v>660308</v>
      </c>
      <c r="K380" s="27">
        <v>5052</v>
      </c>
      <c r="L380" s="373" t="s">
        <v>2063</v>
      </c>
      <c r="M380" s="27" t="str">
        <f t="shared" si="11"/>
        <v>52660308505201</v>
      </c>
      <c r="O380" s="27">
        <f t="shared" si="10"/>
        <v>3376550000</v>
      </c>
    </row>
    <row r="381" spans="1:15" x14ac:dyDescent="0.2">
      <c r="A381" s="27" t="s">
        <v>175</v>
      </c>
      <c r="B381" s="325" t="s">
        <v>3590</v>
      </c>
      <c r="C381" s="71">
        <v>23865000</v>
      </c>
      <c r="E381" s="27" t="s">
        <v>176</v>
      </c>
      <c r="F381" s="27" t="s">
        <v>177</v>
      </c>
      <c r="G381" s="38">
        <v>41518</v>
      </c>
      <c r="H381" s="38"/>
      <c r="I381" s="27">
        <v>52</v>
      </c>
      <c r="J381" s="27">
        <v>660310</v>
      </c>
      <c r="K381" s="27">
        <v>5052</v>
      </c>
      <c r="L381" s="373" t="s">
        <v>2063</v>
      </c>
      <c r="M381" s="27" t="str">
        <f t="shared" si="11"/>
        <v>52660310505201</v>
      </c>
      <c r="O381" s="27">
        <f t="shared" si="10"/>
        <v>2386500000</v>
      </c>
    </row>
    <row r="382" spans="1:15" x14ac:dyDescent="0.2">
      <c r="A382" s="27" t="s">
        <v>175</v>
      </c>
      <c r="B382" s="325" t="s">
        <v>3591</v>
      </c>
      <c r="C382" s="71">
        <v>36892000</v>
      </c>
      <c r="E382" s="27" t="s">
        <v>176</v>
      </c>
      <c r="F382" s="27" t="s">
        <v>177</v>
      </c>
      <c r="G382" s="38">
        <v>41518</v>
      </c>
      <c r="H382" s="38"/>
      <c r="I382" s="27">
        <v>52</v>
      </c>
      <c r="J382" s="27">
        <v>660315</v>
      </c>
      <c r="K382" s="27">
        <v>5052</v>
      </c>
      <c r="L382" s="373" t="s">
        <v>2063</v>
      </c>
      <c r="M382" s="27" t="str">
        <f t="shared" si="11"/>
        <v>52660315505201</v>
      </c>
      <c r="O382" s="27">
        <f t="shared" ref="O382:O445" si="12">+C382*100</f>
        <v>3689200000</v>
      </c>
    </row>
    <row r="383" spans="1:15" x14ac:dyDescent="0.2">
      <c r="A383" s="27" t="s">
        <v>175</v>
      </c>
      <c r="B383" s="325" t="s">
        <v>3592</v>
      </c>
      <c r="C383" s="71">
        <v>1200000000</v>
      </c>
      <c r="E383" s="27" t="s">
        <v>176</v>
      </c>
      <c r="F383" s="27" t="s">
        <v>177</v>
      </c>
      <c r="G383" s="38">
        <v>41518</v>
      </c>
      <c r="H383" s="38"/>
      <c r="I383" s="27">
        <v>72</v>
      </c>
      <c r="J383" s="27">
        <v>710001</v>
      </c>
      <c r="K383" s="27">
        <v>5000</v>
      </c>
      <c r="L383" s="373" t="s">
        <v>2063</v>
      </c>
      <c r="M383" s="27" t="str">
        <f t="shared" si="11"/>
        <v>72710001500001</v>
      </c>
      <c r="O383" s="27">
        <f t="shared" si="12"/>
        <v>120000000000</v>
      </c>
    </row>
    <row r="384" spans="1:15" x14ac:dyDescent="0.2">
      <c r="A384" s="27" t="s">
        <v>175</v>
      </c>
      <c r="B384" s="325" t="s">
        <v>3593</v>
      </c>
      <c r="C384" s="71">
        <v>14753400</v>
      </c>
      <c r="E384" s="27" t="s">
        <v>176</v>
      </c>
      <c r="F384" s="27" t="s">
        <v>177</v>
      </c>
      <c r="G384" s="38">
        <v>41518</v>
      </c>
      <c r="H384" s="38"/>
      <c r="I384" s="27">
        <v>74</v>
      </c>
      <c r="J384" s="27">
        <v>710020</v>
      </c>
      <c r="K384" s="27">
        <v>7000</v>
      </c>
      <c r="L384" s="373" t="s">
        <v>2063</v>
      </c>
      <c r="M384" s="27" t="str">
        <f t="shared" si="11"/>
        <v>74710020700001</v>
      </c>
      <c r="O384" s="27">
        <f t="shared" si="12"/>
        <v>1475340000</v>
      </c>
    </row>
    <row r="385" spans="1:15" x14ac:dyDescent="0.2">
      <c r="A385" s="27" t="s">
        <v>175</v>
      </c>
      <c r="B385" s="325" t="s">
        <v>3594</v>
      </c>
      <c r="C385" s="71">
        <v>35000000</v>
      </c>
      <c r="E385" s="27" t="s">
        <v>176</v>
      </c>
      <c r="F385" s="27" t="s">
        <v>177</v>
      </c>
      <c r="G385" s="38">
        <v>41518</v>
      </c>
      <c r="H385" s="38"/>
      <c r="I385" s="27">
        <v>11</v>
      </c>
      <c r="J385" s="27">
        <v>720001</v>
      </c>
      <c r="K385" s="27">
        <v>5000</v>
      </c>
      <c r="L385" s="373" t="s">
        <v>2063</v>
      </c>
      <c r="M385" s="27" t="str">
        <f t="shared" ref="M385:M445" si="13">RIGHT(I385,2)&amp;RIGHT(J385,6)&amp;RIGHT(K385,4)&amp;RIGHT(L385,2)</f>
        <v>11720001500001</v>
      </c>
      <c r="O385" s="27">
        <f t="shared" si="12"/>
        <v>3500000000</v>
      </c>
    </row>
    <row r="386" spans="1:15" x14ac:dyDescent="0.2">
      <c r="A386" s="27" t="s">
        <v>175</v>
      </c>
      <c r="B386" s="325" t="s">
        <v>3595</v>
      </c>
      <c r="C386" s="71">
        <v>3388100</v>
      </c>
      <c r="E386" s="27" t="s">
        <v>176</v>
      </c>
      <c r="F386" s="27" t="s">
        <v>177</v>
      </c>
      <c r="G386" s="38">
        <v>41518</v>
      </c>
      <c r="H386" s="38"/>
      <c r="I386" s="27">
        <v>73</v>
      </c>
      <c r="J386" s="27">
        <v>720004</v>
      </c>
      <c r="K386" s="27">
        <v>7000</v>
      </c>
      <c r="L386" s="373" t="s">
        <v>2063</v>
      </c>
      <c r="M386" s="27" t="str">
        <f t="shared" si="13"/>
        <v>73720004700001</v>
      </c>
      <c r="O386" s="27">
        <f t="shared" si="12"/>
        <v>338810000</v>
      </c>
    </row>
    <row r="387" spans="1:15" x14ac:dyDescent="0.2">
      <c r="A387" s="27" t="s">
        <v>175</v>
      </c>
      <c r="B387" s="325" t="s">
        <v>3596</v>
      </c>
      <c r="C387" s="71">
        <v>43592500</v>
      </c>
      <c r="E387" s="27" t="s">
        <v>176</v>
      </c>
      <c r="F387" s="27" t="s">
        <v>177</v>
      </c>
      <c r="G387" s="38">
        <v>41518</v>
      </c>
      <c r="H387" s="38"/>
      <c r="I387" s="27">
        <v>73</v>
      </c>
      <c r="J387" s="27">
        <v>720006</v>
      </c>
      <c r="K387" s="27">
        <v>5000</v>
      </c>
      <c r="L387" s="373" t="s">
        <v>2063</v>
      </c>
      <c r="M387" s="27" t="str">
        <f t="shared" si="13"/>
        <v>73720006500001</v>
      </c>
      <c r="O387" s="27">
        <f t="shared" si="12"/>
        <v>4359250000</v>
      </c>
    </row>
    <row r="388" spans="1:15" x14ac:dyDescent="0.2">
      <c r="A388" s="27" t="s">
        <v>175</v>
      </c>
      <c r="B388" s="325" t="s">
        <v>3597</v>
      </c>
      <c r="C388" s="71">
        <v>13691300</v>
      </c>
      <c r="E388" s="27" t="s">
        <v>176</v>
      </c>
      <c r="F388" s="27" t="s">
        <v>177</v>
      </c>
      <c r="G388" s="38">
        <v>41518</v>
      </c>
      <c r="H388" s="38"/>
      <c r="I388" s="27">
        <v>73</v>
      </c>
      <c r="J388" s="27">
        <v>720009</v>
      </c>
      <c r="K388" s="27">
        <v>5000</v>
      </c>
      <c r="L388" s="373" t="s">
        <v>2063</v>
      </c>
      <c r="M388" s="27" t="str">
        <f t="shared" si="13"/>
        <v>73720009500001</v>
      </c>
      <c r="O388" s="27">
        <f t="shared" si="12"/>
        <v>1369130000</v>
      </c>
    </row>
    <row r="389" spans="1:15" x14ac:dyDescent="0.2">
      <c r="A389" s="27" t="s">
        <v>175</v>
      </c>
      <c r="B389" s="325" t="s">
        <v>3598</v>
      </c>
      <c r="C389" s="71">
        <v>46000000</v>
      </c>
      <c r="E389" s="27" t="s">
        <v>176</v>
      </c>
      <c r="F389" s="27" t="s">
        <v>177</v>
      </c>
      <c r="G389" s="38">
        <v>41518</v>
      </c>
      <c r="H389" s="38"/>
      <c r="I389" s="27">
        <v>76</v>
      </c>
      <c r="J389" s="27">
        <v>720090</v>
      </c>
      <c r="K389" s="27">
        <v>5061</v>
      </c>
      <c r="L389" s="373" t="s">
        <v>2063</v>
      </c>
      <c r="M389" s="27" t="str">
        <f t="shared" si="13"/>
        <v>76720090506101</v>
      </c>
      <c r="O389" s="27">
        <f t="shared" si="12"/>
        <v>4600000000</v>
      </c>
    </row>
    <row r="390" spans="1:15" x14ac:dyDescent="0.2">
      <c r="A390" s="27" t="s">
        <v>175</v>
      </c>
      <c r="B390" s="325" t="s">
        <v>3599</v>
      </c>
      <c r="C390" s="71">
        <v>115464800</v>
      </c>
      <c r="E390" s="27" t="s">
        <v>176</v>
      </c>
      <c r="F390" s="27" t="s">
        <v>177</v>
      </c>
      <c r="G390" s="38">
        <v>41518</v>
      </c>
      <c r="H390" s="38"/>
      <c r="I390" s="27">
        <v>76</v>
      </c>
      <c r="J390" s="27">
        <v>720090</v>
      </c>
      <c r="K390" s="27">
        <v>5060</v>
      </c>
      <c r="L390" s="373" t="s">
        <v>2063</v>
      </c>
      <c r="M390" s="27" t="str">
        <f t="shared" si="13"/>
        <v>76720090506001</v>
      </c>
      <c r="O390" s="27">
        <f t="shared" si="12"/>
        <v>11546480000</v>
      </c>
    </row>
    <row r="391" spans="1:15" x14ac:dyDescent="0.2">
      <c r="A391" s="27" t="s">
        <v>175</v>
      </c>
      <c r="B391" s="325" t="s">
        <v>3600</v>
      </c>
      <c r="C391" s="71">
        <v>91270</v>
      </c>
      <c r="E391" s="27" t="s">
        <v>176</v>
      </c>
      <c r="F391" s="27" t="s">
        <v>177</v>
      </c>
      <c r="G391" s="38">
        <v>41518</v>
      </c>
      <c r="H391" s="38"/>
      <c r="I391" s="27">
        <v>76</v>
      </c>
      <c r="J391" s="27">
        <v>740010</v>
      </c>
      <c r="K391" s="27">
        <v>7000</v>
      </c>
      <c r="L391" s="373" t="s">
        <v>2063</v>
      </c>
      <c r="M391" s="27" t="str">
        <f t="shared" si="13"/>
        <v>76740010700001</v>
      </c>
      <c r="O391" s="27">
        <f t="shared" si="12"/>
        <v>9127000</v>
      </c>
    </row>
    <row r="392" spans="1:15" x14ac:dyDescent="0.2">
      <c r="A392" s="27" t="s">
        <v>175</v>
      </c>
      <c r="B392" s="325" t="s">
        <v>3601</v>
      </c>
      <c r="C392" s="71">
        <v>380000</v>
      </c>
      <c r="E392" s="27" t="s">
        <v>176</v>
      </c>
      <c r="F392" s="27" t="s">
        <v>177</v>
      </c>
      <c r="G392" s="38">
        <v>41518</v>
      </c>
      <c r="H392" s="38"/>
      <c r="I392" s="27">
        <v>61</v>
      </c>
      <c r="J392" s="27">
        <v>820001</v>
      </c>
      <c r="K392" s="27">
        <v>5000</v>
      </c>
      <c r="L392" s="373" t="s">
        <v>2063</v>
      </c>
      <c r="M392" s="27" t="str">
        <f t="shared" si="13"/>
        <v>61820001500001</v>
      </c>
      <c r="O392" s="27">
        <f t="shared" si="12"/>
        <v>38000000</v>
      </c>
    </row>
    <row r="393" spans="1:15" x14ac:dyDescent="0.2">
      <c r="A393" s="27" t="s">
        <v>175</v>
      </c>
      <c r="B393" s="325" t="s">
        <v>3602</v>
      </c>
      <c r="C393" s="71">
        <v>1331000</v>
      </c>
      <c r="E393" s="27" t="s">
        <v>176</v>
      </c>
      <c r="F393" s="27" t="s">
        <v>177</v>
      </c>
      <c r="G393" s="38">
        <v>41518</v>
      </c>
      <c r="H393" s="38"/>
      <c r="I393" s="27">
        <v>61</v>
      </c>
      <c r="J393" s="27">
        <v>820002</v>
      </c>
      <c r="K393" s="27">
        <v>5000</v>
      </c>
      <c r="L393" s="373" t="s">
        <v>3218</v>
      </c>
      <c r="M393" s="27" t="str">
        <f t="shared" si="13"/>
        <v>61820002500002</v>
      </c>
      <c r="O393" s="27">
        <f t="shared" si="12"/>
        <v>133100000</v>
      </c>
    </row>
    <row r="394" spans="1:15" x14ac:dyDescent="0.2">
      <c r="A394" s="27" t="s">
        <v>175</v>
      </c>
      <c r="B394" s="325" t="s">
        <v>3603</v>
      </c>
      <c r="C394" s="71">
        <v>40000</v>
      </c>
      <c r="E394" s="27" t="s">
        <v>176</v>
      </c>
      <c r="F394" s="27" t="s">
        <v>177</v>
      </c>
      <c r="G394" s="38">
        <v>41518</v>
      </c>
      <c r="H394" s="38"/>
      <c r="I394" s="27">
        <v>61</v>
      </c>
      <c r="J394" s="27">
        <v>820004</v>
      </c>
      <c r="K394" s="27">
        <v>5000</v>
      </c>
      <c r="L394" s="373" t="s">
        <v>2063</v>
      </c>
      <c r="M394" s="27" t="str">
        <f t="shared" si="13"/>
        <v>61820004500001</v>
      </c>
      <c r="O394" s="27">
        <f t="shared" si="12"/>
        <v>4000000</v>
      </c>
    </row>
    <row r="395" spans="1:15" x14ac:dyDescent="0.2">
      <c r="A395" s="27" t="s">
        <v>175</v>
      </c>
      <c r="B395" s="325" t="s">
        <v>3604</v>
      </c>
      <c r="C395" s="71">
        <v>550000</v>
      </c>
      <c r="E395" s="27" t="s">
        <v>176</v>
      </c>
      <c r="F395" s="27" t="s">
        <v>177</v>
      </c>
      <c r="G395" s="38">
        <v>41518</v>
      </c>
      <c r="H395" s="38"/>
      <c r="I395" s="27">
        <v>61</v>
      </c>
      <c r="J395" s="27">
        <v>820006</v>
      </c>
      <c r="K395" s="27">
        <v>5000</v>
      </c>
      <c r="L395" s="373" t="s">
        <v>2063</v>
      </c>
      <c r="M395" s="27" t="str">
        <f t="shared" si="13"/>
        <v>61820006500001</v>
      </c>
      <c r="O395" s="27">
        <f t="shared" si="12"/>
        <v>55000000</v>
      </c>
    </row>
    <row r="396" spans="1:15" x14ac:dyDescent="0.2">
      <c r="A396" s="27" t="s">
        <v>175</v>
      </c>
      <c r="B396" s="325" t="s">
        <v>3605</v>
      </c>
      <c r="C396" s="71">
        <v>52000</v>
      </c>
      <c r="E396" s="27" t="s">
        <v>176</v>
      </c>
      <c r="F396" s="27" t="s">
        <v>177</v>
      </c>
      <c r="G396" s="38">
        <v>41518</v>
      </c>
      <c r="H396" s="38"/>
      <c r="I396" s="27">
        <v>61</v>
      </c>
      <c r="J396" s="27">
        <v>820009</v>
      </c>
      <c r="K396" s="27">
        <v>5000</v>
      </c>
      <c r="L396" s="373" t="s">
        <v>2063</v>
      </c>
      <c r="M396" s="27" t="str">
        <f t="shared" si="13"/>
        <v>61820009500001</v>
      </c>
      <c r="O396" s="27">
        <f t="shared" si="12"/>
        <v>5200000</v>
      </c>
    </row>
    <row r="397" spans="1:15" x14ac:dyDescent="0.2">
      <c r="A397" s="27" t="s">
        <v>175</v>
      </c>
      <c r="B397" s="325" t="s">
        <v>3606</v>
      </c>
      <c r="C397" s="71">
        <v>1195000</v>
      </c>
      <c r="E397" s="27" t="s">
        <v>176</v>
      </c>
      <c r="F397" s="27" t="s">
        <v>177</v>
      </c>
      <c r="G397" s="38">
        <v>41518</v>
      </c>
      <c r="H397" s="38"/>
      <c r="I397" s="27">
        <v>61</v>
      </c>
      <c r="J397" s="27">
        <v>820011</v>
      </c>
      <c r="K397" s="27">
        <v>5000</v>
      </c>
      <c r="L397" s="373" t="s">
        <v>2063</v>
      </c>
      <c r="M397" s="27" t="str">
        <f t="shared" si="13"/>
        <v>61820011500001</v>
      </c>
      <c r="O397" s="27">
        <f t="shared" si="12"/>
        <v>119500000</v>
      </c>
    </row>
    <row r="398" spans="1:15" x14ac:dyDescent="0.2">
      <c r="A398" s="27" t="s">
        <v>175</v>
      </c>
      <c r="B398" s="325" t="s">
        <v>3607</v>
      </c>
      <c r="C398" s="71">
        <v>298000</v>
      </c>
      <c r="E398" s="27" t="s">
        <v>176</v>
      </c>
      <c r="F398" s="27" t="s">
        <v>177</v>
      </c>
      <c r="G398" s="38">
        <v>41518</v>
      </c>
      <c r="H398" s="38"/>
      <c r="I398" s="27">
        <v>61</v>
      </c>
      <c r="J398" s="27">
        <v>820012</v>
      </c>
      <c r="K398" s="27">
        <v>5000</v>
      </c>
      <c r="L398" s="373" t="s">
        <v>2063</v>
      </c>
      <c r="M398" s="27" t="str">
        <f t="shared" si="13"/>
        <v>61820012500001</v>
      </c>
      <c r="O398" s="27">
        <f t="shared" si="12"/>
        <v>29800000</v>
      </c>
    </row>
    <row r="399" spans="1:15" x14ac:dyDescent="0.2">
      <c r="A399" s="27" t="s">
        <v>175</v>
      </c>
      <c r="B399" s="325" t="s">
        <v>3608</v>
      </c>
      <c r="C399" s="71">
        <v>50000</v>
      </c>
      <c r="E399" s="27" t="s">
        <v>176</v>
      </c>
      <c r="F399" s="27" t="s">
        <v>177</v>
      </c>
      <c r="G399" s="38">
        <v>41518</v>
      </c>
      <c r="H399" s="38"/>
      <c r="I399" s="27">
        <v>61</v>
      </c>
      <c r="J399" s="27">
        <v>820013</v>
      </c>
      <c r="K399" s="27">
        <v>5000</v>
      </c>
      <c r="L399" s="373" t="s">
        <v>2063</v>
      </c>
      <c r="M399" s="27" t="str">
        <f t="shared" si="13"/>
        <v>61820013500001</v>
      </c>
      <c r="O399" s="27">
        <f t="shared" si="12"/>
        <v>5000000</v>
      </c>
    </row>
    <row r="400" spans="1:15" x14ac:dyDescent="0.2">
      <c r="A400" s="27" t="s">
        <v>175</v>
      </c>
      <c r="B400" s="325" t="s">
        <v>3609</v>
      </c>
      <c r="C400" s="71">
        <v>282000</v>
      </c>
      <c r="E400" s="27" t="s">
        <v>176</v>
      </c>
      <c r="F400" s="27" t="s">
        <v>177</v>
      </c>
      <c r="G400" s="38">
        <v>41518</v>
      </c>
      <c r="H400" s="38"/>
      <c r="I400" s="27">
        <v>61</v>
      </c>
      <c r="J400" s="27">
        <v>820014</v>
      </c>
      <c r="K400" s="27">
        <v>5000</v>
      </c>
      <c r="L400" s="373" t="s">
        <v>2063</v>
      </c>
      <c r="M400" s="27" t="str">
        <f t="shared" si="13"/>
        <v>61820014500001</v>
      </c>
      <c r="O400" s="27">
        <f t="shared" si="12"/>
        <v>28200000</v>
      </c>
    </row>
    <row r="401" spans="1:15" x14ac:dyDescent="0.2">
      <c r="A401" s="27" t="s">
        <v>175</v>
      </c>
      <c r="B401" s="325" t="s">
        <v>3610</v>
      </c>
      <c r="C401" s="71">
        <v>2095000</v>
      </c>
      <c r="E401" s="27" t="s">
        <v>176</v>
      </c>
      <c r="F401" s="27" t="s">
        <v>177</v>
      </c>
      <c r="G401" s="38">
        <v>41518</v>
      </c>
      <c r="H401" s="38"/>
      <c r="I401" s="27">
        <v>61</v>
      </c>
      <c r="J401" s="27">
        <v>820016</v>
      </c>
      <c r="K401" s="27">
        <v>5000</v>
      </c>
      <c r="L401" s="373" t="s">
        <v>2063</v>
      </c>
      <c r="M401" s="27" t="str">
        <f t="shared" si="13"/>
        <v>61820016500001</v>
      </c>
      <c r="O401" s="27">
        <f t="shared" si="12"/>
        <v>209500000</v>
      </c>
    </row>
    <row r="402" spans="1:15" x14ac:dyDescent="0.2">
      <c r="A402" s="27" t="s">
        <v>175</v>
      </c>
      <c r="B402" s="325" t="s">
        <v>3611</v>
      </c>
      <c r="C402" s="71">
        <v>40000</v>
      </c>
      <c r="E402" s="27" t="s">
        <v>176</v>
      </c>
      <c r="F402" s="27" t="s">
        <v>177</v>
      </c>
      <c r="G402" s="38">
        <v>41518</v>
      </c>
      <c r="H402" s="38"/>
      <c r="I402" s="27">
        <v>61</v>
      </c>
      <c r="J402" s="27">
        <v>820021</v>
      </c>
      <c r="K402" s="27">
        <v>5000</v>
      </c>
      <c r="L402" s="373" t="s">
        <v>2063</v>
      </c>
      <c r="M402" s="27" t="str">
        <f t="shared" si="13"/>
        <v>61820021500001</v>
      </c>
      <c r="O402" s="27">
        <f t="shared" si="12"/>
        <v>4000000</v>
      </c>
    </row>
    <row r="403" spans="1:15" x14ac:dyDescent="0.2">
      <c r="A403" s="27" t="s">
        <v>175</v>
      </c>
      <c r="B403" s="325" t="s">
        <v>3612</v>
      </c>
      <c r="C403" s="71">
        <v>20000</v>
      </c>
      <c r="E403" s="27" t="s">
        <v>176</v>
      </c>
      <c r="F403" s="27" t="s">
        <v>177</v>
      </c>
      <c r="G403" s="38">
        <v>41518</v>
      </c>
      <c r="H403" s="38"/>
      <c r="I403" s="27">
        <v>61</v>
      </c>
      <c r="J403" s="27">
        <v>820022</v>
      </c>
      <c r="K403" s="27">
        <v>5000</v>
      </c>
      <c r="L403" s="373" t="s">
        <v>3218</v>
      </c>
      <c r="M403" s="27" t="str">
        <f t="shared" si="13"/>
        <v>61820022500002</v>
      </c>
      <c r="O403" s="27">
        <f t="shared" si="12"/>
        <v>2000000</v>
      </c>
    </row>
    <row r="404" spans="1:15" x14ac:dyDescent="0.2">
      <c r="A404" s="27" t="s">
        <v>175</v>
      </c>
      <c r="B404" s="325" t="s">
        <v>3613</v>
      </c>
      <c r="C404" s="71">
        <v>20000</v>
      </c>
      <c r="E404" s="27" t="s">
        <v>176</v>
      </c>
      <c r="F404" s="27" t="s">
        <v>177</v>
      </c>
      <c r="G404" s="38">
        <v>41518</v>
      </c>
      <c r="H404" s="38"/>
      <c r="I404" s="27">
        <v>61</v>
      </c>
      <c r="J404" s="27">
        <v>820024</v>
      </c>
      <c r="K404" s="27">
        <v>5000</v>
      </c>
      <c r="L404" s="373" t="s">
        <v>2063</v>
      </c>
      <c r="M404" s="27" t="str">
        <f t="shared" si="13"/>
        <v>61820024500001</v>
      </c>
      <c r="O404" s="27">
        <f t="shared" si="12"/>
        <v>2000000</v>
      </c>
    </row>
    <row r="405" spans="1:15" x14ac:dyDescent="0.2">
      <c r="A405" s="27" t="s">
        <v>175</v>
      </c>
      <c r="B405" s="325" t="s">
        <v>3614</v>
      </c>
      <c r="C405" s="71">
        <v>100000</v>
      </c>
      <c r="E405" s="27" t="s">
        <v>176</v>
      </c>
      <c r="F405" s="27" t="s">
        <v>177</v>
      </c>
      <c r="G405" s="38">
        <v>41518</v>
      </c>
      <c r="H405" s="38"/>
      <c r="I405" s="27">
        <v>61</v>
      </c>
      <c r="J405" s="27">
        <v>820026</v>
      </c>
      <c r="K405" s="27">
        <v>5000</v>
      </c>
      <c r="L405" s="373" t="s">
        <v>2063</v>
      </c>
      <c r="M405" s="27" t="str">
        <f t="shared" si="13"/>
        <v>61820026500001</v>
      </c>
      <c r="O405" s="27">
        <f t="shared" si="12"/>
        <v>10000000</v>
      </c>
    </row>
    <row r="406" spans="1:15" x14ac:dyDescent="0.2">
      <c r="A406" s="27" t="s">
        <v>175</v>
      </c>
      <c r="B406" s="325" t="s">
        <v>3615</v>
      </c>
      <c r="C406" s="71">
        <v>240000</v>
      </c>
      <c r="E406" s="27" t="s">
        <v>176</v>
      </c>
      <c r="F406" s="27" t="s">
        <v>177</v>
      </c>
      <c r="G406" s="38">
        <v>41518</v>
      </c>
      <c r="H406" s="38"/>
      <c r="I406" s="27">
        <v>61</v>
      </c>
      <c r="J406" s="27">
        <v>820027</v>
      </c>
      <c r="K406" s="27">
        <v>5000</v>
      </c>
      <c r="L406" s="373" t="s">
        <v>2063</v>
      </c>
      <c r="M406" s="27" t="str">
        <f t="shared" si="13"/>
        <v>61820027500001</v>
      </c>
      <c r="O406" s="27">
        <f t="shared" si="12"/>
        <v>24000000</v>
      </c>
    </row>
    <row r="407" spans="1:15" x14ac:dyDescent="0.2">
      <c r="A407" s="27" t="s">
        <v>175</v>
      </c>
      <c r="B407" s="325" t="s">
        <v>3616</v>
      </c>
      <c r="C407" s="71">
        <v>640000</v>
      </c>
      <c r="E407" s="27" t="s">
        <v>176</v>
      </c>
      <c r="F407" s="27" t="s">
        <v>177</v>
      </c>
      <c r="G407" s="38">
        <v>41518</v>
      </c>
      <c r="H407" s="38"/>
      <c r="I407" s="27">
        <v>61</v>
      </c>
      <c r="J407" s="27">
        <v>820030</v>
      </c>
      <c r="K407" s="27">
        <v>5000</v>
      </c>
      <c r="L407" s="373" t="s">
        <v>3219</v>
      </c>
      <c r="M407" s="27" t="str">
        <f t="shared" si="13"/>
        <v>61820030500003</v>
      </c>
      <c r="O407" s="27">
        <f t="shared" si="12"/>
        <v>64000000</v>
      </c>
    </row>
    <row r="408" spans="1:15" x14ac:dyDescent="0.2">
      <c r="A408" s="27" t="s">
        <v>175</v>
      </c>
      <c r="B408" s="325" t="s">
        <v>3617</v>
      </c>
      <c r="C408" s="71">
        <v>70000</v>
      </c>
      <c r="E408" s="27" t="s">
        <v>176</v>
      </c>
      <c r="F408" s="27" t="s">
        <v>177</v>
      </c>
      <c r="G408" s="38">
        <v>41518</v>
      </c>
      <c r="H408" s="38"/>
      <c r="I408" s="27">
        <v>61</v>
      </c>
      <c r="J408" s="27">
        <v>820031</v>
      </c>
      <c r="K408" s="27">
        <v>5000</v>
      </c>
      <c r="L408" s="373" t="s">
        <v>2063</v>
      </c>
      <c r="M408" s="27" t="str">
        <f t="shared" si="13"/>
        <v>61820031500001</v>
      </c>
      <c r="O408" s="27">
        <f t="shared" si="12"/>
        <v>7000000</v>
      </c>
    </row>
    <row r="409" spans="1:15" x14ac:dyDescent="0.2">
      <c r="A409" s="27" t="s">
        <v>175</v>
      </c>
      <c r="B409" s="325" t="s">
        <v>3618</v>
      </c>
      <c r="C409" s="71">
        <v>800000</v>
      </c>
      <c r="E409" s="27" t="s">
        <v>176</v>
      </c>
      <c r="F409" s="27" t="s">
        <v>177</v>
      </c>
      <c r="G409" s="38">
        <v>41518</v>
      </c>
      <c r="H409" s="38"/>
      <c r="I409" s="27">
        <v>61</v>
      </c>
      <c r="J409" s="27">
        <v>820033</v>
      </c>
      <c r="K409" s="27">
        <v>5000</v>
      </c>
      <c r="L409" s="373" t="s">
        <v>3219</v>
      </c>
      <c r="M409" s="27" t="str">
        <f t="shared" si="13"/>
        <v>61820033500003</v>
      </c>
      <c r="O409" s="27">
        <f t="shared" si="12"/>
        <v>80000000</v>
      </c>
    </row>
    <row r="410" spans="1:15" x14ac:dyDescent="0.2">
      <c r="A410" s="27" t="s">
        <v>175</v>
      </c>
      <c r="B410" s="325" t="s">
        <v>3619</v>
      </c>
      <c r="C410" s="71">
        <v>445000</v>
      </c>
      <c r="E410" s="27" t="s">
        <v>176</v>
      </c>
      <c r="F410" s="27" t="s">
        <v>177</v>
      </c>
      <c r="G410" s="38">
        <v>41518</v>
      </c>
      <c r="H410" s="38"/>
      <c r="I410" s="27">
        <v>61</v>
      </c>
      <c r="J410" s="27">
        <v>820034</v>
      </c>
      <c r="K410" s="27">
        <v>5000</v>
      </c>
      <c r="L410" s="373" t="s">
        <v>2063</v>
      </c>
      <c r="M410" s="27" t="str">
        <f t="shared" si="13"/>
        <v>61820034500001</v>
      </c>
      <c r="O410" s="27">
        <f t="shared" si="12"/>
        <v>44500000</v>
      </c>
    </row>
    <row r="411" spans="1:15" x14ac:dyDescent="0.2">
      <c r="A411" s="27" t="s">
        <v>175</v>
      </c>
      <c r="B411" s="325" t="s">
        <v>3620</v>
      </c>
      <c r="C411" s="71">
        <v>80000</v>
      </c>
      <c r="E411" s="27" t="s">
        <v>176</v>
      </c>
      <c r="F411" s="27" t="s">
        <v>177</v>
      </c>
      <c r="G411" s="38">
        <v>41518</v>
      </c>
      <c r="H411" s="38"/>
      <c r="I411" s="27">
        <v>61</v>
      </c>
      <c r="J411" s="27">
        <v>820038</v>
      </c>
      <c r="K411" s="27">
        <v>5000</v>
      </c>
      <c r="L411" s="373" t="s">
        <v>3219</v>
      </c>
      <c r="M411" s="27" t="str">
        <f t="shared" si="13"/>
        <v>61820038500003</v>
      </c>
      <c r="O411" s="27">
        <f t="shared" si="12"/>
        <v>8000000</v>
      </c>
    </row>
    <row r="412" spans="1:15" x14ac:dyDescent="0.2">
      <c r="A412" s="27" t="s">
        <v>175</v>
      </c>
      <c r="B412" s="325" t="s">
        <v>3621</v>
      </c>
      <c r="C412" s="71">
        <v>60000</v>
      </c>
      <c r="E412" s="27" t="s">
        <v>176</v>
      </c>
      <c r="F412" s="27" t="s">
        <v>177</v>
      </c>
      <c r="G412" s="38">
        <v>41518</v>
      </c>
      <c r="H412" s="38"/>
      <c r="I412" s="27">
        <v>61</v>
      </c>
      <c r="J412" s="27">
        <v>820039</v>
      </c>
      <c r="K412" s="27">
        <v>5000</v>
      </c>
      <c r="L412" s="373" t="s">
        <v>2063</v>
      </c>
      <c r="M412" s="27" t="str">
        <f t="shared" si="13"/>
        <v>61820039500001</v>
      </c>
      <c r="O412" s="27">
        <f t="shared" si="12"/>
        <v>6000000</v>
      </c>
    </row>
    <row r="413" spans="1:15" x14ac:dyDescent="0.2">
      <c r="A413" s="27" t="s">
        <v>175</v>
      </c>
      <c r="B413" s="325" t="s">
        <v>3622</v>
      </c>
      <c r="C413" s="71">
        <v>300000</v>
      </c>
      <c r="E413" s="27" t="s">
        <v>176</v>
      </c>
      <c r="F413" s="27" t="s">
        <v>177</v>
      </c>
      <c r="G413" s="38">
        <v>41518</v>
      </c>
      <c r="H413" s="38"/>
      <c r="I413" s="27">
        <v>61</v>
      </c>
      <c r="J413" s="27">
        <v>820041</v>
      </c>
      <c r="K413" s="27">
        <v>5000</v>
      </c>
      <c r="L413" s="373" t="s">
        <v>2063</v>
      </c>
      <c r="M413" s="27" t="str">
        <f t="shared" si="13"/>
        <v>61820041500001</v>
      </c>
      <c r="O413" s="27">
        <f t="shared" si="12"/>
        <v>30000000</v>
      </c>
    </row>
    <row r="414" spans="1:15" x14ac:dyDescent="0.2">
      <c r="A414" s="27" t="s">
        <v>175</v>
      </c>
      <c r="B414" s="325" t="s">
        <v>3623</v>
      </c>
      <c r="C414" s="71">
        <v>200000</v>
      </c>
      <c r="E414" s="27" t="s">
        <v>176</v>
      </c>
      <c r="F414" s="27" t="s">
        <v>177</v>
      </c>
      <c r="G414" s="38">
        <v>41518</v>
      </c>
      <c r="H414" s="38"/>
      <c r="I414" s="27">
        <v>61</v>
      </c>
      <c r="J414" s="27">
        <v>820043</v>
      </c>
      <c r="K414" s="27">
        <v>5000</v>
      </c>
      <c r="L414" s="373" t="s">
        <v>2063</v>
      </c>
      <c r="M414" s="27" t="str">
        <f t="shared" si="13"/>
        <v>61820043500001</v>
      </c>
      <c r="O414" s="27">
        <f t="shared" si="12"/>
        <v>20000000</v>
      </c>
    </row>
    <row r="415" spans="1:15" x14ac:dyDescent="0.2">
      <c r="A415" s="27" t="s">
        <v>175</v>
      </c>
      <c r="B415" s="325" t="s">
        <v>3624</v>
      </c>
      <c r="C415" s="71">
        <v>150000</v>
      </c>
      <c r="E415" s="27" t="s">
        <v>176</v>
      </c>
      <c r="F415" s="27" t="s">
        <v>177</v>
      </c>
      <c r="G415" s="38">
        <v>41518</v>
      </c>
      <c r="H415" s="38"/>
      <c r="I415" s="27">
        <v>61</v>
      </c>
      <c r="J415" s="27">
        <v>820044</v>
      </c>
      <c r="K415" s="27">
        <v>5000</v>
      </c>
      <c r="L415" s="373" t="s">
        <v>2063</v>
      </c>
      <c r="M415" s="27" t="str">
        <f t="shared" si="13"/>
        <v>61820044500001</v>
      </c>
      <c r="O415" s="27">
        <f t="shared" si="12"/>
        <v>15000000</v>
      </c>
    </row>
    <row r="416" spans="1:15" x14ac:dyDescent="0.2">
      <c r="A416" s="27" t="s">
        <v>175</v>
      </c>
      <c r="B416" s="325" t="s">
        <v>3625</v>
      </c>
      <c r="C416" s="71">
        <v>60000</v>
      </c>
      <c r="E416" s="27" t="s">
        <v>176</v>
      </c>
      <c r="F416" s="27" t="s">
        <v>177</v>
      </c>
      <c r="G416" s="38">
        <v>41518</v>
      </c>
      <c r="H416" s="38"/>
      <c r="I416" s="27">
        <v>61</v>
      </c>
      <c r="J416" s="27">
        <v>820045</v>
      </c>
      <c r="K416" s="27">
        <v>5000</v>
      </c>
      <c r="L416" s="373" t="s">
        <v>3219</v>
      </c>
      <c r="M416" s="27" t="str">
        <f t="shared" si="13"/>
        <v>61820045500003</v>
      </c>
      <c r="O416" s="27">
        <f t="shared" si="12"/>
        <v>6000000</v>
      </c>
    </row>
    <row r="417" spans="1:15" x14ac:dyDescent="0.2">
      <c r="A417" s="27" t="s">
        <v>175</v>
      </c>
      <c r="B417" s="325" t="s">
        <v>3626</v>
      </c>
      <c r="C417" s="71">
        <v>60000</v>
      </c>
      <c r="E417" s="27" t="s">
        <v>176</v>
      </c>
      <c r="F417" s="27" t="s">
        <v>177</v>
      </c>
      <c r="G417" s="38">
        <v>41518</v>
      </c>
      <c r="H417" s="38"/>
      <c r="I417" s="27">
        <v>61</v>
      </c>
      <c r="J417" s="27">
        <v>820046</v>
      </c>
      <c r="K417" s="27">
        <v>5000</v>
      </c>
      <c r="L417" s="373" t="s">
        <v>3219</v>
      </c>
      <c r="M417" s="27" t="str">
        <f t="shared" si="13"/>
        <v>61820046500003</v>
      </c>
      <c r="O417" s="27">
        <f t="shared" si="12"/>
        <v>6000000</v>
      </c>
    </row>
    <row r="418" spans="1:15" x14ac:dyDescent="0.2">
      <c r="A418" s="27" t="s">
        <v>175</v>
      </c>
      <c r="B418" s="325" t="s">
        <v>3627</v>
      </c>
      <c r="C418" s="71">
        <v>40000</v>
      </c>
      <c r="E418" s="27" t="s">
        <v>176</v>
      </c>
      <c r="F418" s="27" t="s">
        <v>177</v>
      </c>
      <c r="G418" s="38">
        <v>41518</v>
      </c>
      <c r="H418" s="38"/>
      <c r="I418" s="27">
        <v>61</v>
      </c>
      <c r="J418" s="27">
        <v>820047</v>
      </c>
      <c r="K418" s="27">
        <v>5000</v>
      </c>
      <c r="L418" s="373" t="s">
        <v>3218</v>
      </c>
      <c r="M418" s="27" t="str">
        <f t="shared" si="13"/>
        <v>61820047500002</v>
      </c>
      <c r="O418" s="27">
        <f t="shared" si="12"/>
        <v>4000000</v>
      </c>
    </row>
    <row r="419" spans="1:15" x14ac:dyDescent="0.2">
      <c r="A419" s="27" t="s">
        <v>175</v>
      </c>
      <c r="B419" s="325" t="s">
        <v>3628</v>
      </c>
      <c r="C419" s="71">
        <v>800000</v>
      </c>
      <c r="E419" s="27" t="s">
        <v>176</v>
      </c>
      <c r="F419" s="27" t="s">
        <v>177</v>
      </c>
      <c r="G419" s="38">
        <v>41518</v>
      </c>
      <c r="H419" s="38"/>
      <c r="I419" s="27">
        <v>61</v>
      </c>
      <c r="J419" s="27">
        <v>820050</v>
      </c>
      <c r="K419" s="27">
        <v>5000</v>
      </c>
      <c r="L419" s="373" t="s">
        <v>2063</v>
      </c>
      <c r="M419" s="27" t="str">
        <f t="shared" si="13"/>
        <v>61820050500001</v>
      </c>
      <c r="O419" s="27">
        <f t="shared" si="12"/>
        <v>80000000</v>
      </c>
    </row>
    <row r="420" spans="1:15" x14ac:dyDescent="0.2">
      <c r="A420" s="27" t="s">
        <v>175</v>
      </c>
      <c r="B420" s="325" t="s">
        <v>3629</v>
      </c>
      <c r="C420" s="71">
        <v>180000</v>
      </c>
      <c r="E420" s="27" t="s">
        <v>176</v>
      </c>
      <c r="F420" s="27" t="s">
        <v>177</v>
      </c>
      <c r="G420" s="38">
        <v>41518</v>
      </c>
      <c r="H420" s="38"/>
      <c r="I420" s="27">
        <v>61</v>
      </c>
      <c r="J420" s="27">
        <v>820053</v>
      </c>
      <c r="K420" s="27">
        <v>5000</v>
      </c>
      <c r="L420" s="373" t="s">
        <v>2063</v>
      </c>
      <c r="M420" s="27" t="str">
        <f t="shared" si="13"/>
        <v>61820053500001</v>
      </c>
      <c r="O420" s="27">
        <f t="shared" si="12"/>
        <v>18000000</v>
      </c>
    </row>
    <row r="421" spans="1:15" x14ac:dyDescent="0.2">
      <c r="A421" s="27" t="s">
        <v>175</v>
      </c>
      <c r="B421" s="325" t="s">
        <v>3630</v>
      </c>
      <c r="C421" s="71">
        <v>115000</v>
      </c>
      <c r="E421" s="27" t="s">
        <v>176</v>
      </c>
      <c r="F421" s="27" t="s">
        <v>177</v>
      </c>
      <c r="G421" s="38">
        <v>41518</v>
      </c>
      <c r="H421" s="38"/>
      <c r="I421" s="27">
        <v>61</v>
      </c>
      <c r="J421" s="27">
        <v>820054</v>
      </c>
      <c r="K421" s="27">
        <v>5000</v>
      </c>
      <c r="L421" s="373" t="s">
        <v>3218</v>
      </c>
      <c r="M421" s="27" t="str">
        <f t="shared" si="13"/>
        <v>61820054500002</v>
      </c>
      <c r="O421" s="27">
        <f t="shared" si="12"/>
        <v>11500000</v>
      </c>
    </row>
    <row r="422" spans="1:15" x14ac:dyDescent="0.2">
      <c r="A422" s="27" t="s">
        <v>175</v>
      </c>
      <c r="B422" s="325" t="s">
        <v>3631</v>
      </c>
      <c r="C422" s="71">
        <v>500000</v>
      </c>
      <c r="E422" s="27" t="s">
        <v>176</v>
      </c>
      <c r="F422" s="27" t="s">
        <v>177</v>
      </c>
      <c r="G422" s="38">
        <v>41518</v>
      </c>
      <c r="H422" s="38"/>
      <c r="I422" s="27">
        <v>61</v>
      </c>
      <c r="J422" s="27">
        <v>820055</v>
      </c>
      <c r="K422" s="27">
        <v>5000</v>
      </c>
      <c r="L422" s="373" t="s">
        <v>3218</v>
      </c>
      <c r="M422" s="27" t="str">
        <f t="shared" si="13"/>
        <v>61820055500002</v>
      </c>
      <c r="O422" s="27">
        <f t="shared" si="12"/>
        <v>50000000</v>
      </c>
    </row>
    <row r="423" spans="1:15" x14ac:dyDescent="0.2">
      <c r="A423" s="27" t="s">
        <v>175</v>
      </c>
      <c r="B423" s="325" t="s">
        <v>3632</v>
      </c>
      <c r="C423" s="71">
        <v>40000</v>
      </c>
      <c r="E423" s="27" t="s">
        <v>176</v>
      </c>
      <c r="F423" s="27" t="s">
        <v>177</v>
      </c>
      <c r="G423" s="38">
        <v>41518</v>
      </c>
      <c r="H423" s="38"/>
      <c r="I423" s="27">
        <v>61</v>
      </c>
      <c r="J423" s="27">
        <v>820056</v>
      </c>
      <c r="K423" s="27">
        <v>5000</v>
      </c>
      <c r="L423" s="373" t="s">
        <v>3219</v>
      </c>
      <c r="M423" s="27" t="str">
        <f t="shared" si="13"/>
        <v>61820056500003</v>
      </c>
      <c r="O423" s="27">
        <f t="shared" si="12"/>
        <v>4000000</v>
      </c>
    </row>
    <row r="424" spans="1:15" x14ac:dyDescent="0.2">
      <c r="A424" s="27" t="s">
        <v>175</v>
      </c>
      <c r="B424" s="325" t="s">
        <v>3633</v>
      </c>
      <c r="C424" s="71">
        <v>250000</v>
      </c>
      <c r="E424" s="27" t="s">
        <v>176</v>
      </c>
      <c r="F424" s="27" t="s">
        <v>177</v>
      </c>
      <c r="G424" s="38">
        <v>41518</v>
      </c>
      <c r="H424" s="38"/>
      <c r="I424" s="27">
        <v>61</v>
      </c>
      <c r="J424" s="27">
        <v>820057</v>
      </c>
      <c r="K424" s="27">
        <v>5000</v>
      </c>
      <c r="L424" s="373" t="s">
        <v>2063</v>
      </c>
      <c r="M424" s="27" t="str">
        <f t="shared" si="13"/>
        <v>61820057500001</v>
      </c>
      <c r="O424" s="27">
        <f t="shared" si="12"/>
        <v>25000000</v>
      </c>
    </row>
    <row r="425" spans="1:15" x14ac:dyDescent="0.2">
      <c r="A425" s="27" t="s">
        <v>175</v>
      </c>
      <c r="B425" s="325" t="s">
        <v>3634</v>
      </c>
      <c r="C425" s="71">
        <v>350000</v>
      </c>
      <c r="E425" s="27" t="s">
        <v>176</v>
      </c>
      <c r="F425" s="27" t="s">
        <v>177</v>
      </c>
      <c r="G425" s="38">
        <v>41518</v>
      </c>
      <c r="H425" s="38"/>
      <c r="I425" s="27">
        <v>61</v>
      </c>
      <c r="J425" s="27">
        <v>820059</v>
      </c>
      <c r="K425" s="27">
        <v>5000</v>
      </c>
      <c r="L425" s="373" t="s">
        <v>2063</v>
      </c>
      <c r="M425" s="27" t="str">
        <f t="shared" si="13"/>
        <v>61820059500001</v>
      </c>
      <c r="O425" s="27">
        <f t="shared" si="12"/>
        <v>35000000</v>
      </c>
    </row>
    <row r="426" spans="1:15" x14ac:dyDescent="0.2">
      <c r="A426" s="27" t="s">
        <v>175</v>
      </c>
      <c r="B426" s="325" t="s">
        <v>3635</v>
      </c>
      <c r="C426" s="71">
        <v>830000</v>
      </c>
      <c r="E426" s="27" t="s">
        <v>176</v>
      </c>
      <c r="F426" s="27" t="s">
        <v>177</v>
      </c>
      <c r="G426" s="38">
        <v>41518</v>
      </c>
      <c r="H426" s="38"/>
      <c r="I426" s="27">
        <v>61</v>
      </c>
      <c r="J426" s="27">
        <v>820062</v>
      </c>
      <c r="K426" s="27">
        <v>5000</v>
      </c>
      <c r="L426" s="373" t="s">
        <v>3218</v>
      </c>
      <c r="M426" s="27" t="str">
        <f t="shared" si="13"/>
        <v>61820062500002</v>
      </c>
      <c r="O426" s="27">
        <f t="shared" si="12"/>
        <v>83000000</v>
      </c>
    </row>
    <row r="427" spans="1:15" x14ac:dyDescent="0.2">
      <c r="A427" s="27" t="s">
        <v>175</v>
      </c>
      <c r="B427" s="325" t="s">
        <v>3636</v>
      </c>
      <c r="C427" s="71">
        <v>980000</v>
      </c>
      <c r="E427" s="27" t="s">
        <v>176</v>
      </c>
      <c r="F427" s="27" t="s">
        <v>177</v>
      </c>
      <c r="G427" s="38">
        <v>41518</v>
      </c>
      <c r="H427" s="38"/>
      <c r="I427" s="27">
        <v>61</v>
      </c>
      <c r="J427" s="27">
        <v>820063</v>
      </c>
      <c r="K427" s="27">
        <v>5000</v>
      </c>
      <c r="L427" s="373" t="s">
        <v>3219</v>
      </c>
      <c r="M427" s="27" t="str">
        <f t="shared" si="13"/>
        <v>61820063500003</v>
      </c>
      <c r="O427" s="27">
        <f t="shared" si="12"/>
        <v>98000000</v>
      </c>
    </row>
    <row r="428" spans="1:15" x14ac:dyDescent="0.2">
      <c r="A428" s="27" t="s">
        <v>175</v>
      </c>
      <c r="B428" s="325" t="s">
        <v>3637</v>
      </c>
      <c r="C428" s="71">
        <v>40000</v>
      </c>
      <c r="E428" s="27" t="s">
        <v>176</v>
      </c>
      <c r="F428" s="27" t="s">
        <v>177</v>
      </c>
      <c r="G428" s="38">
        <v>41518</v>
      </c>
      <c r="H428" s="38"/>
      <c r="I428" s="27">
        <v>61</v>
      </c>
      <c r="J428" s="27">
        <v>820065</v>
      </c>
      <c r="K428" s="27">
        <v>5000</v>
      </c>
      <c r="L428" s="373" t="s">
        <v>2063</v>
      </c>
      <c r="M428" s="27" t="str">
        <f t="shared" si="13"/>
        <v>61820065500001</v>
      </c>
      <c r="O428" s="27">
        <f t="shared" si="12"/>
        <v>4000000</v>
      </c>
    </row>
    <row r="429" spans="1:15" x14ac:dyDescent="0.2">
      <c r="A429" s="27" t="s">
        <v>175</v>
      </c>
      <c r="B429" s="325" t="s">
        <v>3638</v>
      </c>
      <c r="C429" s="71">
        <v>20000</v>
      </c>
      <c r="E429" s="27" t="s">
        <v>176</v>
      </c>
      <c r="F429" s="27" t="s">
        <v>177</v>
      </c>
      <c r="G429" s="38">
        <v>41518</v>
      </c>
      <c r="H429" s="38"/>
      <c r="I429" s="27">
        <v>61</v>
      </c>
      <c r="J429" s="27">
        <v>820077</v>
      </c>
      <c r="K429" s="27">
        <v>5000</v>
      </c>
      <c r="L429" s="373" t="s">
        <v>3219</v>
      </c>
      <c r="M429" s="27" t="str">
        <f t="shared" si="13"/>
        <v>61820077500003</v>
      </c>
      <c r="O429" s="27">
        <f t="shared" si="12"/>
        <v>2000000</v>
      </c>
    </row>
    <row r="430" spans="1:15" x14ac:dyDescent="0.2">
      <c r="A430" s="27" t="s">
        <v>175</v>
      </c>
      <c r="B430" s="325" t="s">
        <v>3639</v>
      </c>
      <c r="C430" s="71">
        <v>100000</v>
      </c>
      <c r="E430" s="27" t="s">
        <v>176</v>
      </c>
      <c r="F430" s="27" t="s">
        <v>177</v>
      </c>
      <c r="G430" s="38">
        <v>41518</v>
      </c>
      <c r="H430" s="38"/>
      <c r="I430" s="27">
        <v>61</v>
      </c>
      <c r="J430" s="27">
        <v>820078</v>
      </c>
      <c r="K430" s="27">
        <v>5000</v>
      </c>
      <c r="L430" s="373" t="s">
        <v>2063</v>
      </c>
      <c r="M430" s="27" t="str">
        <f t="shared" si="13"/>
        <v>61820078500001</v>
      </c>
      <c r="O430" s="27">
        <f t="shared" si="12"/>
        <v>10000000</v>
      </c>
    </row>
    <row r="431" spans="1:15" x14ac:dyDescent="0.2">
      <c r="A431" s="27" t="s">
        <v>175</v>
      </c>
      <c r="B431" s="325" t="s">
        <v>3640</v>
      </c>
      <c r="C431" s="71">
        <v>20000</v>
      </c>
      <c r="E431" s="27" t="s">
        <v>176</v>
      </c>
      <c r="F431" s="27" t="s">
        <v>177</v>
      </c>
      <c r="G431" s="38">
        <v>41518</v>
      </c>
      <c r="H431" s="38"/>
      <c r="I431" s="27">
        <v>61</v>
      </c>
      <c r="J431" s="27">
        <v>820079</v>
      </c>
      <c r="K431" s="27">
        <v>5000</v>
      </c>
      <c r="L431" s="373" t="s">
        <v>2063</v>
      </c>
      <c r="M431" s="27" t="str">
        <f t="shared" si="13"/>
        <v>61820079500001</v>
      </c>
      <c r="O431" s="27">
        <f t="shared" si="12"/>
        <v>2000000</v>
      </c>
    </row>
    <row r="432" spans="1:15" x14ac:dyDescent="0.2">
      <c r="A432" s="27" t="s">
        <v>175</v>
      </c>
      <c r="B432" s="325" t="s">
        <v>3641</v>
      </c>
      <c r="C432" s="71">
        <v>552627</v>
      </c>
      <c r="E432" s="27" t="s">
        <v>176</v>
      </c>
      <c r="F432" s="27" t="s">
        <v>177</v>
      </c>
      <c r="G432" s="38">
        <v>41518</v>
      </c>
      <c r="H432" s="38"/>
      <c r="I432" s="27">
        <v>40</v>
      </c>
      <c r="J432" s="27">
        <v>900010</v>
      </c>
      <c r="K432" s="27">
        <v>7000</v>
      </c>
      <c r="L432" s="373" t="s">
        <v>2063</v>
      </c>
      <c r="M432" s="27" t="str">
        <f t="shared" si="13"/>
        <v>40900010700001</v>
      </c>
      <c r="O432" s="27">
        <f t="shared" si="12"/>
        <v>55262700</v>
      </c>
    </row>
    <row r="433" spans="1:15" x14ac:dyDescent="0.2">
      <c r="A433" s="27" t="s">
        <v>175</v>
      </c>
      <c r="B433" s="325" t="s">
        <v>3642</v>
      </c>
      <c r="C433" s="71">
        <v>12510000</v>
      </c>
      <c r="E433" s="27" t="s">
        <v>176</v>
      </c>
      <c r="F433" s="27" t="s">
        <v>177</v>
      </c>
      <c r="G433" s="38">
        <v>41518</v>
      </c>
      <c r="H433" s="38"/>
      <c r="I433" s="27">
        <v>40</v>
      </c>
      <c r="J433" s="27">
        <v>900010</v>
      </c>
      <c r="K433" s="27">
        <v>5000</v>
      </c>
      <c r="L433" s="373" t="s">
        <v>2063</v>
      </c>
      <c r="M433" s="27" t="str">
        <f t="shared" si="13"/>
        <v>40900010500001</v>
      </c>
      <c r="O433" s="27">
        <f t="shared" si="12"/>
        <v>1251000000</v>
      </c>
    </row>
    <row r="434" spans="1:15" x14ac:dyDescent="0.2">
      <c r="A434" s="27" t="s">
        <v>175</v>
      </c>
      <c r="B434" s="325" t="s">
        <v>3643</v>
      </c>
      <c r="C434" s="71">
        <v>1845878</v>
      </c>
      <c r="E434" s="27" t="s">
        <v>176</v>
      </c>
      <c r="F434" s="27" t="s">
        <v>177</v>
      </c>
      <c r="G434" s="38">
        <v>41518</v>
      </c>
      <c r="H434" s="38"/>
      <c r="I434" s="27">
        <v>40</v>
      </c>
      <c r="J434" s="27">
        <v>900011</v>
      </c>
      <c r="K434" s="27">
        <v>7000</v>
      </c>
      <c r="L434" s="373" t="s">
        <v>2063</v>
      </c>
      <c r="M434" s="27" t="str">
        <f t="shared" si="13"/>
        <v>40900011700001</v>
      </c>
      <c r="O434" s="27">
        <f t="shared" si="12"/>
        <v>184587800</v>
      </c>
    </row>
    <row r="435" spans="1:15" x14ac:dyDescent="0.2">
      <c r="A435" s="27" t="s">
        <v>175</v>
      </c>
      <c r="B435" s="325" t="s">
        <v>3644</v>
      </c>
      <c r="C435" s="71">
        <v>4890000</v>
      </c>
      <c r="E435" s="27" t="s">
        <v>176</v>
      </c>
      <c r="F435" s="27" t="s">
        <v>177</v>
      </c>
      <c r="G435" s="38">
        <v>41518</v>
      </c>
      <c r="H435" s="38"/>
      <c r="I435" s="27">
        <v>40</v>
      </c>
      <c r="J435" s="27">
        <v>900011</v>
      </c>
      <c r="K435" s="27">
        <v>5000</v>
      </c>
      <c r="L435" s="373" t="s">
        <v>2063</v>
      </c>
      <c r="M435" s="27" t="str">
        <f t="shared" si="13"/>
        <v>40900011500001</v>
      </c>
      <c r="O435" s="27">
        <f t="shared" si="12"/>
        <v>489000000</v>
      </c>
    </row>
    <row r="436" spans="1:15" x14ac:dyDescent="0.2">
      <c r="A436" s="27" t="s">
        <v>175</v>
      </c>
      <c r="B436" s="325" t="s">
        <v>3645</v>
      </c>
      <c r="C436" s="71">
        <v>11747140</v>
      </c>
      <c r="E436" s="27" t="s">
        <v>176</v>
      </c>
      <c r="F436" s="27" t="s">
        <v>177</v>
      </c>
      <c r="G436" s="38">
        <v>41518</v>
      </c>
      <c r="H436" s="38"/>
      <c r="I436" s="27">
        <v>40</v>
      </c>
      <c r="J436" s="27">
        <v>910010</v>
      </c>
      <c r="K436" s="27">
        <v>7000</v>
      </c>
      <c r="L436" s="373" t="s">
        <v>2063</v>
      </c>
      <c r="M436" s="27" t="str">
        <f t="shared" si="13"/>
        <v>40910010700001</v>
      </c>
      <c r="O436" s="27">
        <f t="shared" si="12"/>
        <v>1174714000</v>
      </c>
    </row>
    <row r="437" spans="1:15" x14ac:dyDescent="0.2">
      <c r="A437" s="27" t="s">
        <v>175</v>
      </c>
      <c r="B437" s="325" t="s">
        <v>3646</v>
      </c>
      <c r="C437" s="71">
        <v>30183500</v>
      </c>
      <c r="E437" s="27" t="s">
        <v>176</v>
      </c>
      <c r="F437" s="27" t="s">
        <v>177</v>
      </c>
      <c r="G437" s="38">
        <v>41518</v>
      </c>
      <c r="H437" s="38"/>
      <c r="I437" s="27">
        <v>40</v>
      </c>
      <c r="J437" s="27">
        <v>910010</v>
      </c>
      <c r="K437" s="27">
        <v>5000</v>
      </c>
      <c r="L437" s="373" t="s">
        <v>2063</v>
      </c>
      <c r="M437" s="27" t="str">
        <f t="shared" si="13"/>
        <v>40910010500001</v>
      </c>
      <c r="O437" s="27">
        <f t="shared" si="12"/>
        <v>3018350000</v>
      </c>
    </row>
    <row r="438" spans="1:15" x14ac:dyDescent="0.2">
      <c r="A438" s="27" t="s">
        <v>175</v>
      </c>
      <c r="B438" s="325" t="s">
        <v>3647</v>
      </c>
      <c r="C438" s="71">
        <v>9473500</v>
      </c>
      <c r="E438" s="27" t="s">
        <v>176</v>
      </c>
      <c r="F438" s="27" t="s">
        <v>177</v>
      </c>
      <c r="G438" s="38">
        <v>41518</v>
      </c>
      <c r="H438" s="38"/>
      <c r="I438" s="27">
        <v>40</v>
      </c>
      <c r="J438" s="27">
        <v>920500</v>
      </c>
      <c r="K438" s="27">
        <v>5000</v>
      </c>
      <c r="L438" s="373" t="s">
        <v>2063</v>
      </c>
      <c r="M438" s="27" t="str">
        <f t="shared" si="13"/>
        <v>40920500500001</v>
      </c>
      <c r="O438" s="27">
        <f t="shared" si="12"/>
        <v>947350000</v>
      </c>
    </row>
    <row r="439" spans="1:15" x14ac:dyDescent="0.2">
      <c r="A439" s="27" t="s">
        <v>175</v>
      </c>
      <c r="B439" s="325" t="s">
        <v>3648</v>
      </c>
      <c r="C439" s="71">
        <v>15410968</v>
      </c>
      <c r="E439" s="27" t="s">
        <v>176</v>
      </c>
      <c r="F439" s="27" t="s">
        <v>177</v>
      </c>
      <c r="G439" s="38">
        <v>41518</v>
      </c>
      <c r="H439" s="38"/>
      <c r="I439" s="27">
        <v>40</v>
      </c>
      <c r="J439" s="27">
        <v>920500</v>
      </c>
      <c r="K439" s="27">
        <v>7000</v>
      </c>
      <c r="L439" s="373" t="s">
        <v>2063</v>
      </c>
      <c r="M439" s="27" t="str">
        <f t="shared" si="13"/>
        <v>40920500700001</v>
      </c>
      <c r="O439" s="27">
        <f t="shared" si="12"/>
        <v>1541096800</v>
      </c>
    </row>
    <row r="440" spans="1:15" x14ac:dyDescent="0.2">
      <c r="A440" s="27" t="s">
        <v>175</v>
      </c>
      <c r="B440" s="325" t="s">
        <v>3649</v>
      </c>
      <c r="C440" s="71">
        <v>17000000</v>
      </c>
      <c r="E440" s="27" t="s">
        <v>176</v>
      </c>
      <c r="F440" s="27" t="s">
        <v>177</v>
      </c>
      <c r="G440" s="38">
        <v>41518</v>
      </c>
      <c r="H440" s="38"/>
      <c r="I440" s="27">
        <v>40</v>
      </c>
      <c r="J440" s="27">
        <v>930010</v>
      </c>
      <c r="K440" s="27">
        <v>5000</v>
      </c>
      <c r="L440" s="373" t="s">
        <v>2063</v>
      </c>
      <c r="M440" s="27" t="str">
        <f t="shared" si="13"/>
        <v>40930010500001</v>
      </c>
      <c r="O440" s="27">
        <f t="shared" si="12"/>
        <v>1700000000</v>
      </c>
    </row>
    <row r="441" spans="1:15" x14ac:dyDescent="0.2">
      <c r="A441" s="27" t="s">
        <v>175</v>
      </c>
      <c r="B441" s="325" t="s">
        <v>3650</v>
      </c>
      <c r="C441" s="71">
        <v>3750000</v>
      </c>
      <c r="E441" s="27" t="s">
        <v>176</v>
      </c>
      <c r="F441" s="27" t="s">
        <v>177</v>
      </c>
      <c r="G441" s="38">
        <v>41518</v>
      </c>
      <c r="H441" s="38"/>
      <c r="I441" s="27">
        <v>40</v>
      </c>
      <c r="J441" s="27">
        <v>930020</v>
      </c>
      <c r="K441" s="27">
        <v>5000</v>
      </c>
      <c r="L441" s="373" t="s">
        <v>2063</v>
      </c>
      <c r="M441" s="27" t="str">
        <f t="shared" si="13"/>
        <v>40930020500001</v>
      </c>
      <c r="O441" s="27">
        <f t="shared" si="12"/>
        <v>375000000</v>
      </c>
    </row>
    <row r="442" spans="1:15" x14ac:dyDescent="0.2">
      <c r="A442" s="27" t="s">
        <v>175</v>
      </c>
      <c r="B442" s="325" t="s">
        <v>3651</v>
      </c>
      <c r="C442" s="71">
        <v>10000000</v>
      </c>
      <c r="E442" s="27" t="s">
        <v>176</v>
      </c>
      <c r="F442" s="27" t="s">
        <v>177</v>
      </c>
      <c r="G442" s="38">
        <v>41518</v>
      </c>
      <c r="H442" s="38"/>
      <c r="I442" s="27">
        <v>40</v>
      </c>
      <c r="J442" s="27">
        <v>940010</v>
      </c>
      <c r="K442" s="27">
        <v>5000</v>
      </c>
      <c r="L442" s="373" t="s">
        <v>2063</v>
      </c>
      <c r="M442" s="27" t="str">
        <f t="shared" si="13"/>
        <v>40940010500001</v>
      </c>
      <c r="O442" s="27">
        <f t="shared" si="12"/>
        <v>1000000000</v>
      </c>
    </row>
    <row r="443" spans="1:15" x14ac:dyDescent="0.2">
      <c r="A443" s="27" t="s">
        <v>175</v>
      </c>
      <c r="B443" s="325" t="s">
        <v>3652</v>
      </c>
      <c r="C443" s="71">
        <v>4922800</v>
      </c>
      <c r="E443" s="27" t="s">
        <v>176</v>
      </c>
      <c r="F443" s="27" t="s">
        <v>177</v>
      </c>
      <c r="G443" s="38">
        <v>41518</v>
      </c>
      <c r="H443" s="38"/>
      <c r="I443" s="27">
        <v>40</v>
      </c>
      <c r="J443" s="27">
        <v>960010</v>
      </c>
      <c r="K443" s="27">
        <v>5000</v>
      </c>
      <c r="L443" s="373" t="s">
        <v>2063</v>
      </c>
      <c r="M443" s="27" t="str">
        <f t="shared" si="13"/>
        <v>40960010500001</v>
      </c>
      <c r="O443" s="27">
        <f t="shared" si="12"/>
        <v>492280000</v>
      </c>
    </row>
    <row r="444" spans="1:15" x14ac:dyDescent="0.2">
      <c r="A444" s="27" t="s">
        <v>175</v>
      </c>
      <c r="B444" s="325" t="s">
        <v>3684</v>
      </c>
      <c r="C444" s="71">
        <v>2609500</v>
      </c>
      <c r="E444" s="27" t="s">
        <v>176</v>
      </c>
      <c r="F444" s="27" t="s">
        <v>177</v>
      </c>
      <c r="G444" s="38">
        <v>41518</v>
      </c>
      <c r="H444" s="38"/>
      <c r="I444" s="27">
        <v>52</v>
      </c>
      <c r="J444" s="27">
        <v>510085</v>
      </c>
      <c r="K444" s="27">
        <v>5052</v>
      </c>
      <c r="L444" s="373" t="s">
        <v>2063</v>
      </c>
      <c r="M444" s="27" t="str">
        <f t="shared" si="13"/>
        <v>52510085505201</v>
      </c>
      <c r="O444" s="27">
        <f t="shared" si="12"/>
        <v>260950000</v>
      </c>
    </row>
    <row r="445" spans="1:15" x14ac:dyDescent="0.2">
      <c r="A445" s="27" t="s">
        <v>175</v>
      </c>
      <c r="B445" s="325" t="s">
        <v>3685</v>
      </c>
      <c r="C445" s="71">
        <v>34249357</v>
      </c>
      <c r="E445" s="27" t="s">
        <v>176</v>
      </c>
      <c r="F445" s="27" t="s">
        <v>177</v>
      </c>
      <c r="G445" s="38">
        <v>41518</v>
      </c>
      <c r="H445" s="38"/>
      <c r="I445" s="27">
        <v>11</v>
      </c>
      <c r="J445" s="27">
        <v>510095</v>
      </c>
      <c r="K445" s="27">
        <v>5000</v>
      </c>
      <c r="L445" s="373" t="s">
        <v>2063</v>
      </c>
      <c r="M445" s="27" t="str">
        <f t="shared" si="13"/>
        <v>11510095500001</v>
      </c>
      <c r="O445" s="27">
        <f t="shared" si="12"/>
        <v>3424935700</v>
      </c>
    </row>
    <row r="446" spans="1:15" x14ac:dyDescent="0.2">
      <c r="D446" s="71"/>
      <c r="E446" s="37"/>
    </row>
    <row r="447" spans="1:15" x14ac:dyDescent="0.2">
      <c r="C447" s="131"/>
      <c r="D447" s="101"/>
    </row>
    <row r="448" spans="1:15" x14ac:dyDescent="0.2">
      <c r="C448" s="101"/>
      <c r="D448" s="101"/>
    </row>
    <row r="449" spans="3:4" x14ac:dyDescent="0.2">
      <c r="C449" s="131"/>
    </row>
    <row r="450" spans="3:4" x14ac:dyDescent="0.2">
      <c r="D450" s="101"/>
    </row>
  </sheetData>
  <sortState ref="A1:M444">
    <sortCondition ref="J1:J444"/>
  </sortState>
  <conditionalFormatting sqref="C75:C76 B1:B444">
    <cfRule type="duplicateValues" dxfId="11" priority="2"/>
  </conditionalFormatting>
  <conditionalFormatting sqref="B445">
    <cfRule type="duplicateValues" dxfId="10" priority="1"/>
  </conditionalFormatting>
  <pageMargins left="0.7" right="0.7" top="0.25" bottom="0.25" header="0.05" footer="0.0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37"/>
  <sheetViews>
    <sheetView topLeftCell="A306" workbookViewId="0">
      <selection activeCell="G19" sqref="G19"/>
    </sheetView>
  </sheetViews>
  <sheetFormatPr defaultRowHeight="15" outlineLevelRow="2" x14ac:dyDescent="0.2"/>
  <cols>
    <col min="1" max="1" width="11.44140625" customWidth="1"/>
    <col min="2" max="2" width="13.44140625" customWidth="1"/>
    <col min="3" max="3" width="18.88671875" customWidth="1"/>
    <col min="4" max="4" width="5.77734375" customWidth="1"/>
    <col min="5" max="5" width="12.33203125" bestFit="1" customWidth="1"/>
    <col min="6" max="6" width="1.77734375" customWidth="1"/>
    <col min="7" max="7" width="13.77734375" style="133" customWidth="1"/>
    <col min="8" max="8" width="27.6640625" customWidth="1"/>
    <col min="9" max="9" width="21.33203125" customWidth="1"/>
    <col min="10" max="10" width="17.44140625" customWidth="1"/>
  </cols>
  <sheetData>
    <row r="1" spans="1:10" x14ac:dyDescent="0.2">
      <c r="A1" s="136" t="s">
        <v>3085</v>
      </c>
    </row>
    <row r="2" spans="1:10" x14ac:dyDescent="0.2">
      <c r="A2" s="136" t="s">
        <v>3086</v>
      </c>
    </row>
    <row r="3" spans="1:10" x14ac:dyDescent="0.2">
      <c r="A3" s="136"/>
    </row>
    <row r="4" spans="1:10" x14ac:dyDescent="0.2">
      <c r="A4" s="339" t="s">
        <v>3096</v>
      </c>
      <c r="B4" s="339" t="s">
        <v>3097</v>
      </c>
      <c r="C4" s="339" t="s">
        <v>3098</v>
      </c>
      <c r="D4" s="339" t="s">
        <v>3099</v>
      </c>
      <c r="E4" s="339" t="s">
        <v>3100</v>
      </c>
      <c r="F4" s="176"/>
      <c r="G4" s="340" t="s">
        <v>3101</v>
      </c>
      <c r="H4" s="339" t="s">
        <v>3102</v>
      </c>
      <c r="I4" s="339" t="s">
        <v>1302</v>
      </c>
      <c r="J4" s="339" t="s">
        <v>1302</v>
      </c>
    </row>
    <row r="5" spans="1:10" outlineLevel="2" x14ac:dyDescent="0.2">
      <c r="A5" s="7" t="s">
        <v>2620</v>
      </c>
      <c r="B5" s="7" t="s">
        <v>2621</v>
      </c>
      <c r="C5" s="156" t="s">
        <v>3074</v>
      </c>
      <c r="D5" s="255" t="s">
        <v>2659</v>
      </c>
      <c r="E5" s="230">
        <v>84000</v>
      </c>
      <c r="F5" s="207"/>
      <c r="G5" s="251" t="s">
        <v>2946</v>
      </c>
      <c r="H5" s="2" t="s">
        <v>2945</v>
      </c>
      <c r="I5" s="2"/>
      <c r="J5" s="2"/>
    </row>
    <row r="6" spans="1:10" outlineLevel="2" x14ac:dyDescent="0.2">
      <c r="A6" s="7" t="s">
        <v>2421</v>
      </c>
      <c r="B6" s="7" t="s">
        <v>2223</v>
      </c>
      <c r="C6" s="163" t="s">
        <v>1336</v>
      </c>
      <c r="D6" s="255" t="s">
        <v>2661</v>
      </c>
      <c r="E6" s="231">
        <v>46429.56</v>
      </c>
      <c r="F6" s="207"/>
      <c r="G6" s="251" t="s">
        <v>2946</v>
      </c>
      <c r="H6" s="2" t="s">
        <v>2676</v>
      </c>
      <c r="I6" s="2"/>
      <c r="J6" s="2"/>
    </row>
    <row r="7" spans="1:10" outlineLevel="2" x14ac:dyDescent="0.2">
      <c r="A7" s="7" t="s">
        <v>2314</v>
      </c>
      <c r="B7" s="7" t="s">
        <v>2315</v>
      </c>
      <c r="C7" s="222" t="s">
        <v>347</v>
      </c>
      <c r="D7" s="255" t="s">
        <v>2662</v>
      </c>
      <c r="E7" s="231">
        <v>27125.040000000001</v>
      </c>
      <c r="F7" s="207"/>
      <c r="G7" s="251" t="s">
        <v>2946</v>
      </c>
      <c r="H7" s="2" t="s">
        <v>2676</v>
      </c>
      <c r="I7" s="3"/>
      <c r="J7" s="3"/>
    </row>
    <row r="8" spans="1:10" outlineLevel="2" x14ac:dyDescent="0.2">
      <c r="A8" s="7" t="s">
        <v>2324</v>
      </c>
      <c r="B8" s="7" t="s">
        <v>2325</v>
      </c>
      <c r="C8" s="205" t="s">
        <v>1350</v>
      </c>
      <c r="D8" s="255" t="s">
        <v>2662</v>
      </c>
      <c r="E8" s="231">
        <v>26304</v>
      </c>
      <c r="F8" s="207"/>
      <c r="G8" s="251" t="s">
        <v>2946</v>
      </c>
      <c r="H8" s="2" t="s">
        <v>2676</v>
      </c>
      <c r="I8" s="3"/>
      <c r="J8" s="3"/>
    </row>
    <row r="9" spans="1:10" outlineLevel="2" x14ac:dyDescent="0.2">
      <c r="A9" s="7" t="s">
        <v>2312</v>
      </c>
      <c r="B9" s="7" t="s">
        <v>2326</v>
      </c>
      <c r="C9" s="205" t="s">
        <v>2024</v>
      </c>
      <c r="D9" s="255" t="s">
        <v>2662</v>
      </c>
      <c r="E9" s="230">
        <v>57684</v>
      </c>
      <c r="F9" s="207"/>
      <c r="G9" s="251" t="s">
        <v>2946</v>
      </c>
      <c r="H9" s="2" t="s">
        <v>2676</v>
      </c>
      <c r="I9" s="3"/>
      <c r="J9" s="3"/>
    </row>
    <row r="10" spans="1:10" outlineLevel="2" x14ac:dyDescent="0.2">
      <c r="A10" s="7" t="s">
        <v>2351</v>
      </c>
      <c r="B10" s="7" t="s">
        <v>2352</v>
      </c>
      <c r="C10" s="205" t="s">
        <v>2297</v>
      </c>
      <c r="D10" s="255" t="s">
        <v>2662</v>
      </c>
      <c r="E10" s="231">
        <v>24552.959999999999</v>
      </c>
      <c r="F10" s="207"/>
      <c r="G10" s="251" t="s">
        <v>2946</v>
      </c>
      <c r="H10" s="2" t="s">
        <v>2676</v>
      </c>
      <c r="I10" s="2"/>
      <c r="J10" s="2"/>
    </row>
    <row r="11" spans="1:10" outlineLevel="2" x14ac:dyDescent="0.2">
      <c r="A11" s="7" t="s">
        <v>2359</v>
      </c>
      <c r="B11" s="7" t="s">
        <v>2257</v>
      </c>
      <c r="C11" s="202" t="s">
        <v>1537</v>
      </c>
      <c r="D11" s="255" t="s">
        <v>2662</v>
      </c>
      <c r="E11" s="231">
        <v>27125.02</v>
      </c>
      <c r="F11" s="207"/>
      <c r="G11" s="251" t="s">
        <v>2946</v>
      </c>
      <c r="H11" s="2" t="s">
        <v>2676</v>
      </c>
      <c r="I11" s="2" t="s">
        <v>2776</v>
      </c>
      <c r="J11" s="2"/>
    </row>
    <row r="12" spans="1:10" outlineLevel="2" x14ac:dyDescent="0.2">
      <c r="A12" s="7" t="s">
        <v>2320</v>
      </c>
      <c r="B12" s="7" t="s">
        <v>2263</v>
      </c>
      <c r="C12" s="205" t="s">
        <v>1541</v>
      </c>
      <c r="D12" s="255" t="s">
        <v>2662</v>
      </c>
      <c r="E12" s="231">
        <v>25989.96</v>
      </c>
      <c r="F12" s="207"/>
      <c r="G12" s="251" t="s">
        <v>2946</v>
      </c>
      <c r="H12" s="2" t="s">
        <v>2676</v>
      </c>
      <c r="I12" s="2"/>
      <c r="J12" s="2"/>
    </row>
    <row r="13" spans="1:10" outlineLevel="2" x14ac:dyDescent="0.2">
      <c r="A13" s="7" t="s">
        <v>2384</v>
      </c>
      <c r="B13" s="7" t="s">
        <v>2222</v>
      </c>
      <c r="C13" s="205" t="s">
        <v>2020</v>
      </c>
      <c r="D13" s="255" t="s">
        <v>2662</v>
      </c>
      <c r="E13" s="231">
        <v>24552.959999999999</v>
      </c>
      <c r="F13" s="207"/>
      <c r="G13" s="251" t="s">
        <v>2946</v>
      </c>
      <c r="H13" s="2" t="s">
        <v>2676</v>
      </c>
      <c r="I13" s="2"/>
      <c r="J13" s="2"/>
    </row>
    <row r="14" spans="1:10" outlineLevel="2" x14ac:dyDescent="0.2">
      <c r="A14" s="7" t="s">
        <v>2407</v>
      </c>
      <c r="B14" s="7" t="s">
        <v>2399</v>
      </c>
      <c r="C14" s="205" t="s">
        <v>2301</v>
      </c>
      <c r="D14" s="255" t="s">
        <v>2662</v>
      </c>
      <c r="E14" s="231">
        <v>37289.040000000001</v>
      </c>
      <c r="F14" s="207"/>
      <c r="G14" s="251" t="s">
        <v>2946</v>
      </c>
      <c r="H14" s="2" t="s">
        <v>2676</v>
      </c>
      <c r="I14" s="2" t="s">
        <v>2945</v>
      </c>
      <c r="J14" s="2"/>
    </row>
    <row r="15" spans="1:10" outlineLevel="2" x14ac:dyDescent="0.2">
      <c r="A15" s="7" t="s">
        <v>2457</v>
      </c>
      <c r="B15" s="7" t="s">
        <v>2287</v>
      </c>
      <c r="C15" s="205" t="s">
        <v>1354</v>
      </c>
      <c r="D15" s="255" t="s">
        <v>2661</v>
      </c>
      <c r="E15" s="231">
        <v>49790.400000000001</v>
      </c>
      <c r="F15" s="207"/>
      <c r="G15" s="251" t="s">
        <v>2946</v>
      </c>
      <c r="H15" s="2" t="s">
        <v>2676</v>
      </c>
      <c r="I15" s="2"/>
      <c r="J15" s="2"/>
    </row>
    <row r="16" spans="1:10" outlineLevel="2" x14ac:dyDescent="0.2">
      <c r="A16" s="7" t="s">
        <v>2262</v>
      </c>
      <c r="B16" s="7" t="s">
        <v>2263</v>
      </c>
      <c r="C16" s="168" t="s">
        <v>1543</v>
      </c>
      <c r="D16" s="255" t="s">
        <v>2663</v>
      </c>
      <c r="E16" s="231">
        <v>28475.200000000001</v>
      </c>
      <c r="F16" s="207"/>
      <c r="G16" s="251" t="s">
        <v>2946</v>
      </c>
      <c r="H16" s="2" t="s">
        <v>2796</v>
      </c>
      <c r="I16" s="2"/>
      <c r="J16" s="2"/>
    </row>
    <row r="17" spans="1:10" outlineLevel="2" x14ac:dyDescent="0.2">
      <c r="A17" s="7" t="s">
        <v>2793</v>
      </c>
      <c r="B17" s="7" t="s">
        <v>2794</v>
      </c>
      <c r="C17" s="202" t="s">
        <v>2795</v>
      </c>
      <c r="D17" s="255" t="s">
        <v>2661</v>
      </c>
      <c r="E17" s="230">
        <v>60720</v>
      </c>
      <c r="F17" s="207"/>
      <c r="G17" s="251" t="s">
        <v>2946</v>
      </c>
      <c r="H17" s="2" t="s">
        <v>2796</v>
      </c>
      <c r="I17" s="2"/>
      <c r="J17" s="2"/>
    </row>
    <row r="18" spans="1:10" outlineLevel="2" x14ac:dyDescent="0.2">
      <c r="A18" s="7"/>
      <c r="B18" s="7"/>
      <c r="C18" s="205" t="s">
        <v>3070</v>
      </c>
      <c r="D18" s="255" t="s">
        <v>2662</v>
      </c>
      <c r="E18" s="206">
        <v>28000</v>
      </c>
      <c r="F18" s="207"/>
      <c r="G18" s="251" t="s">
        <v>2946</v>
      </c>
      <c r="H18" s="2" t="s">
        <v>2796</v>
      </c>
      <c r="I18" s="7"/>
      <c r="J18" s="7"/>
    </row>
    <row r="19" spans="1:10" outlineLevel="2" x14ac:dyDescent="0.2">
      <c r="A19" s="7" t="s">
        <v>2460</v>
      </c>
      <c r="B19" s="7" t="s">
        <v>2287</v>
      </c>
      <c r="C19" s="202" t="s">
        <v>2411</v>
      </c>
      <c r="D19" s="255" t="s">
        <v>2661</v>
      </c>
      <c r="E19" s="231">
        <v>54607.37</v>
      </c>
      <c r="F19" s="207"/>
      <c r="G19" s="251" t="s">
        <v>2946</v>
      </c>
      <c r="H19" s="2" t="s">
        <v>2776</v>
      </c>
      <c r="I19" s="2" t="s">
        <v>2707</v>
      </c>
      <c r="J19" s="2"/>
    </row>
    <row r="20" spans="1:10" ht="15.75" outlineLevel="1" x14ac:dyDescent="0.25">
      <c r="A20" s="7"/>
      <c r="B20" s="7"/>
      <c r="C20" s="202"/>
      <c r="D20" s="255"/>
      <c r="E20" s="231">
        <f>SUBTOTAL(9,E5:E19)</f>
        <v>602645.51</v>
      </c>
      <c r="F20" s="207"/>
      <c r="G20" s="341" t="s">
        <v>3103</v>
      </c>
      <c r="H20" s="2"/>
      <c r="I20" s="2"/>
      <c r="J20" s="2"/>
    </row>
    <row r="21" spans="1:10" outlineLevel="2" x14ac:dyDescent="0.2">
      <c r="A21" s="7" t="s">
        <v>2302</v>
      </c>
      <c r="B21" s="7" t="s">
        <v>2303</v>
      </c>
      <c r="C21" s="205" t="s">
        <v>1332</v>
      </c>
      <c r="D21" s="255" t="s">
        <v>2662</v>
      </c>
      <c r="E21" s="231">
        <v>41307.96</v>
      </c>
      <c r="F21" s="207"/>
      <c r="G21" s="251" t="s">
        <v>3128</v>
      </c>
      <c r="H21" s="2" t="s">
        <v>2678</v>
      </c>
      <c r="I21" s="7"/>
      <c r="J21" s="7"/>
    </row>
    <row r="22" spans="1:10" outlineLevel="2" x14ac:dyDescent="0.2">
      <c r="A22" s="7" t="s">
        <v>2304</v>
      </c>
      <c r="B22" s="7" t="s">
        <v>2305</v>
      </c>
      <c r="C22" s="203" t="s">
        <v>1333</v>
      </c>
      <c r="D22" s="255" t="s">
        <v>2662</v>
      </c>
      <c r="E22" s="231">
        <v>32142</v>
      </c>
      <c r="F22" s="207"/>
      <c r="G22" s="251" t="s">
        <v>3128</v>
      </c>
      <c r="H22" s="2" t="s">
        <v>2697</v>
      </c>
      <c r="I22" s="3" t="s">
        <v>2690</v>
      </c>
      <c r="J22" s="3" t="s">
        <v>2798</v>
      </c>
    </row>
    <row r="23" spans="1:10" outlineLevel="2" x14ac:dyDescent="0.2">
      <c r="A23" s="7" t="s">
        <v>2418</v>
      </c>
      <c r="B23" s="7" t="s">
        <v>2419</v>
      </c>
      <c r="C23" s="156" t="s">
        <v>1335</v>
      </c>
      <c r="D23" s="255" t="s">
        <v>2661</v>
      </c>
      <c r="E23" s="231">
        <v>45913.919999999998</v>
      </c>
      <c r="F23" s="207"/>
      <c r="G23" s="251" t="s">
        <v>3128</v>
      </c>
      <c r="H23" s="3" t="s">
        <v>2693</v>
      </c>
      <c r="I23" s="3" t="s">
        <v>2699</v>
      </c>
      <c r="J23" s="3"/>
    </row>
    <row r="24" spans="1:10" outlineLevel="2" x14ac:dyDescent="0.2">
      <c r="A24" s="7" t="s">
        <v>2781</v>
      </c>
      <c r="B24" s="7" t="s">
        <v>2548</v>
      </c>
      <c r="C24" s="205" t="s">
        <v>2761</v>
      </c>
      <c r="D24" s="255" t="s">
        <v>2662</v>
      </c>
      <c r="E24" s="231">
        <v>25169.040000000001</v>
      </c>
      <c r="F24" s="207"/>
      <c r="G24" s="251" t="s">
        <v>3128</v>
      </c>
      <c r="H24" s="2" t="s">
        <v>2678</v>
      </c>
      <c r="I24" s="3"/>
      <c r="J24" s="3"/>
    </row>
    <row r="25" spans="1:10" outlineLevel="2" x14ac:dyDescent="0.2">
      <c r="A25" s="7" t="s">
        <v>2306</v>
      </c>
      <c r="B25" s="7" t="s">
        <v>2307</v>
      </c>
      <c r="C25" s="205" t="s">
        <v>531</v>
      </c>
      <c r="D25" s="255" t="s">
        <v>2662</v>
      </c>
      <c r="E25" s="231">
        <v>25785</v>
      </c>
      <c r="F25" s="207"/>
      <c r="G25" s="251" t="s">
        <v>3128</v>
      </c>
      <c r="H25" s="3" t="s">
        <v>2885</v>
      </c>
      <c r="I25" s="252"/>
      <c r="J25" s="252"/>
    </row>
    <row r="26" spans="1:10" outlineLevel="2" x14ac:dyDescent="0.2">
      <c r="A26" s="7" t="s">
        <v>2552</v>
      </c>
      <c r="B26" s="7" t="s">
        <v>2553</v>
      </c>
      <c r="C26" s="150" t="s">
        <v>179</v>
      </c>
      <c r="D26" s="255" t="s">
        <v>2659</v>
      </c>
      <c r="E26" s="231">
        <v>58716</v>
      </c>
      <c r="F26" s="207"/>
      <c r="G26" s="251" t="s">
        <v>3128</v>
      </c>
      <c r="H26" s="2" t="s">
        <v>2697</v>
      </c>
      <c r="I26" s="2"/>
      <c r="J26" s="2"/>
    </row>
    <row r="27" spans="1:10" outlineLevel="2" x14ac:dyDescent="0.2">
      <c r="A27" s="7" t="s">
        <v>2554</v>
      </c>
      <c r="B27" s="7" t="s">
        <v>2315</v>
      </c>
      <c r="C27" s="151" t="s">
        <v>1453</v>
      </c>
      <c r="D27" s="255" t="s">
        <v>2659</v>
      </c>
      <c r="E27" s="230">
        <v>93524</v>
      </c>
      <c r="F27" s="207"/>
      <c r="G27" s="251" t="s">
        <v>3128</v>
      </c>
      <c r="H27" s="2" t="s">
        <v>3126</v>
      </c>
      <c r="I27" s="2"/>
      <c r="J27" s="2"/>
    </row>
    <row r="28" spans="1:10" outlineLevel="2" x14ac:dyDescent="0.2">
      <c r="A28" s="7" t="s">
        <v>2809</v>
      </c>
      <c r="B28" s="7" t="s">
        <v>2810</v>
      </c>
      <c r="C28" s="203" t="s">
        <v>2808</v>
      </c>
      <c r="D28" s="255" t="s">
        <v>2662</v>
      </c>
      <c r="E28" s="231">
        <v>21870</v>
      </c>
      <c r="F28" s="207"/>
      <c r="G28" s="251" t="s">
        <v>3128</v>
      </c>
      <c r="H28" s="2" t="s">
        <v>2697</v>
      </c>
      <c r="I28" s="7"/>
      <c r="J28" s="2"/>
    </row>
    <row r="29" spans="1:10" outlineLevel="2" x14ac:dyDescent="0.2">
      <c r="A29" s="7" t="s">
        <v>2571</v>
      </c>
      <c r="B29" s="7" t="s">
        <v>2572</v>
      </c>
      <c r="C29" s="154" t="s">
        <v>1459</v>
      </c>
      <c r="D29" s="255" t="s">
        <v>2659</v>
      </c>
      <c r="E29" s="230">
        <v>70077</v>
      </c>
      <c r="F29" s="207"/>
      <c r="G29" s="251" t="s">
        <v>3128</v>
      </c>
      <c r="H29" s="2" t="s">
        <v>2677</v>
      </c>
      <c r="I29" s="2"/>
      <c r="J29" s="2"/>
    </row>
    <row r="30" spans="1:10" outlineLevel="2" x14ac:dyDescent="0.2">
      <c r="A30" s="7" t="s">
        <v>2436</v>
      </c>
      <c r="B30" s="7" t="s">
        <v>2435</v>
      </c>
      <c r="C30" s="202" t="s">
        <v>2014</v>
      </c>
      <c r="D30" s="255" t="s">
        <v>2661</v>
      </c>
      <c r="E30" s="231">
        <v>48476.76</v>
      </c>
      <c r="F30" s="207"/>
      <c r="G30" s="251" t="s">
        <v>3128</v>
      </c>
      <c r="H30" s="2" t="s">
        <v>2797</v>
      </c>
      <c r="I30" s="2"/>
      <c r="J30" s="2"/>
    </row>
    <row r="31" spans="1:10" outlineLevel="2" x14ac:dyDescent="0.2">
      <c r="A31" s="7" t="s">
        <v>2434</v>
      </c>
      <c r="B31" s="7" t="s">
        <v>2435</v>
      </c>
      <c r="C31" s="205" t="s">
        <v>1892</v>
      </c>
      <c r="D31" s="255" t="s">
        <v>2661</v>
      </c>
      <c r="E31" s="231">
        <v>42788.04</v>
      </c>
      <c r="F31" s="207"/>
      <c r="G31" s="251" t="s">
        <v>3128</v>
      </c>
      <c r="H31" s="2" t="s">
        <v>2678</v>
      </c>
      <c r="I31" s="2"/>
      <c r="J31" s="2"/>
    </row>
    <row r="32" spans="1:10" outlineLevel="2" x14ac:dyDescent="0.2">
      <c r="A32" s="7" t="s">
        <v>2437</v>
      </c>
      <c r="B32" s="7" t="s">
        <v>2438</v>
      </c>
      <c r="C32" s="203" t="s">
        <v>1208</v>
      </c>
      <c r="D32" s="255" t="s">
        <v>2661</v>
      </c>
      <c r="E32" s="231">
        <v>27951</v>
      </c>
      <c r="F32" s="207"/>
      <c r="G32" s="251" t="s">
        <v>3128</v>
      </c>
      <c r="H32" s="2" t="s">
        <v>2697</v>
      </c>
      <c r="I32" s="2"/>
      <c r="J32" s="2"/>
    </row>
    <row r="33" spans="1:10" outlineLevel="2" x14ac:dyDescent="0.2">
      <c r="A33" s="7" t="s">
        <v>2372</v>
      </c>
      <c r="B33" s="7" t="s">
        <v>2439</v>
      </c>
      <c r="C33" s="205" t="s">
        <v>2989</v>
      </c>
      <c r="D33" s="255" t="s">
        <v>2662</v>
      </c>
      <c r="E33" s="231">
        <v>35301.96</v>
      </c>
      <c r="F33" s="207"/>
      <c r="G33" s="251" t="s">
        <v>3128</v>
      </c>
      <c r="H33" s="2" t="s">
        <v>3079</v>
      </c>
      <c r="I33" s="3" t="s">
        <v>2699</v>
      </c>
      <c r="J33" s="2"/>
    </row>
    <row r="34" spans="1:10" outlineLevel="2" x14ac:dyDescent="0.2">
      <c r="A34" s="7" t="s">
        <v>2283</v>
      </c>
      <c r="B34" s="7" t="s">
        <v>2439</v>
      </c>
      <c r="C34" s="203" t="s">
        <v>1209</v>
      </c>
      <c r="D34" s="255" t="s">
        <v>2661</v>
      </c>
      <c r="E34" s="231">
        <v>41573.64</v>
      </c>
      <c r="F34" s="207"/>
      <c r="G34" s="251" t="s">
        <v>3128</v>
      </c>
      <c r="H34" s="3" t="s">
        <v>2688</v>
      </c>
      <c r="I34" s="3"/>
      <c r="J34" s="3"/>
    </row>
    <row r="35" spans="1:10" outlineLevel="2" x14ac:dyDescent="0.2">
      <c r="A35" s="7" t="s">
        <v>2322</v>
      </c>
      <c r="B35" s="7" t="s">
        <v>2323</v>
      </c>
      <c r="C35" s="156" t="s">
        <v>2773</v>
      </c>
      <c r="D35" s="255" t="s">
        <v>2661</v>
      </c>
      <c r="E35" s="231">
        <v>40947.480000000003</v>
      </c>
      <c r="F35" s="207"/>
      <c r="G35" s="251" t="s">
        <v>3128</v>
      </c>
      <c r="H35" s="2" t="s">
        <v>2679</v>
      </c>
      <c r="I35" s="2"/>
      <c r="J35" s="2"/>
    </row>
    <row r="36" spans="1:10" outlineLevel="2" x14ac:dyDescent="0.2">
      <c r="A36" s="7" t="s">
        <v>2359</v>
      </c>
      <c r="B36" s="7" t="s">
        <v>2442</v>
      </c>
      <c r="C36" s="202" t="s">
        <v>1347</v>
      </c>
      <c r="D36" s="255" t="s">
        <v>2661</v>
      </c>
      <c r="E36" s="231">
        <v>42908.76</v>
      </c>
      <c r="F36" s="207"/>
      <c r="G36" s="251" t="s">
        <v>3128</v>
      </c>
      <c r="H36" s="3" t="s">
        <v>2688</v>
      </c>
      <c r="I36" s="3"/>
      <c r="J36" s="3"/>
    </row>
    <row r="37" spans="1:10" outlineLevel="2" x14ac:dyDescent="0.2">
      <c r="A37" s="7" t="s">
        <v>2450</v>
      </c>
      <c r="B37" s="7" t="s">
        <v>2239</v>
      </c>
      <c r="C37" s="202" t="s">
        <v>2775</v>
      </c>
      <c r="D37" s="255" t="s">
        <v>2661</v>
      </c>
      <c r="E37" s="231">
        <v>60720</v>
      </c>
      <c r="F37" s="207"/>
      <c r="G37" s="251" t="s">
        <v>3128</v>
      </c>
      <c r="H37" s="3" t="s">
        <v>2885</v>
      </c>
      <c r="I37" s="2"/>
      <c r="J37" s="3"/>
    </row>
    <row r="38" spans="1:10" outlineLevel="2" x14ac:dyDescent="0.2">
      <c r="A38" s="7" t="s">
        <v>2451</v>
      </c>
      <c r="B38" s="7" t="s">
        <v>2239</v>
      </c>
      <c r="C38" s="205" t="s">
        <v>2413</v>
      </c>
      <c r="D38" s="255" t="s">
        <v>2661</v>
      </c>
      <c r="E38" s="231">
        <v>42787.08</v>
      </c>
      <c r="F38" s="207"/>
      <c r="G38" s="251" t="s">
        <v>3128</v>
      </c>
      <c r="H38" s="2" t="s">
        <v>2678</v>
      </c>
      <c r="I38" s="3"/>
      <c r="J38" s="3"/>
    </row>
    <row r="39" spans="1:10" outlineLevel="2" x14ac:dyDescent="0.2">
      <c r="A39" s="7" t="s">
        <v>2585</v>
      </c>
      <c r="B39" s="7" t="s">
        <v>2453</v>
      </c>
      <c r="C39" s="156" t="s">
        <v>1071</v>
      </c>
      <c r="D39" s="255" t="s">
        <v>2659</v>
      </c>
      <c r="E39" s="231">
        <v>51914</v>
      </c>
      <c r="F39" s="207"/>
      <c r="G39" s="251" t="s">
        <v>3128</v>
      </c>
      <c r="H39" s="2" t="s">
        <v>2697</v>
      </c>
      <c r="I39" s="2"/>
      <c r="J39" s="2"/>
    </row>
    <row r="40" spans="1:10" outlineLevel="2" x14ac:dyDescent="0.2">
      <c r="A40" s="7" t="s">
        <v>2344</v>
      </c>
      <c r="B40" s="7" t="s">
        <v>2345</v>
      </c>
      <c r="C40" s="205" t="s">
        <v>2015</v>
      </c>
      <c r="D40" s="255" t="s">
        <v>2662</v>
      </c>
      <c r="E40" s="231">
        <v>24138</v>
      </c>
      <c r="F40" s="207"/>
      <c r="G40" s="251" t="s">
        <v>3128</v>
      </c>
      <c r="H40" s="2" t="s">
        <v>2797</v>
      </c>
      <c r="I40" s="2"/>
      <c r="J40" s="251"/>
    </row>
    <row r="41" spans="1:10" outlineLevel="2" x14ac:dyDescent="0.2">
      <c r="A41" s="7" t="s">
        <v>2461</v>
      </c>
      <c r="B41" s="7" t="s">
        <v>2249</v>
      </c>
      <c r="C41" s="203" t="s">
        <v>1527</v>
      </c>
      <c r="D41" s="255" t="s">
        <v>2661</v>
      </c>
      <c r="E41" s="231">
        <v>32217</v>
      </c>
      <c r="F41" s="207"/>
      <c r="G41" s="251" t="s">
        <v>3128</v>
      </c>
      <c r="H41" s="2" t="s">
        <v>2697</v>
      </c>
      <c r="I41" s="2"/>
      <c r="J41" s="2"/>
    </row>
    <row r="42" spans="1:10" outlineLevel="2" x14ac:dyDescent="0.2">
      <c r="A42" s="7" t="s">
        <v>2349</v>
      </c>
      <c r="B42" s="7" t="s">
        <v>2253</v>
      </c>
      <c r="C42" s="205" t="s">
        <v>742</v>
      </c>
      <c r="D42" s="255" t="s">
        <v>2662</v>
      </c>
      <c r="E42" s="231">
        <v>35301.96</v>
      </c>
      <c r="F42" s="207"/>
      <c r="G42" s="251" t="s">
        <v>3128</v>
      </c>
      <c r="H42" s="3" t="s">
        <v>2693</v>
      </c>
      <c r="I42" s="2" t="s">
        <v>3087</v>
      </c>
      <c r="J42" s="2"/>
    </row>
    <row r="43" spans="1:10" outlineLevel="2" x14ac:dyDescent="0.2">
      <c r="A43" s="7" t="s">
        <v>2821</v>
      </c>
      <c r="B43" s="7" t="s">
        <v>2253</v>
      </c>
      <c r="C43" s="205" t="s">
        <v>2822</v>
      </c>
      <c r="D43" s="255" t="s">
        <v>2662</v>
      </c>
      <c r="E43" s="231">
        <v>28155.96</v>
      </c>
      <c r="F43" s="207"/>
      <c r="G43" s="251" t="s">
        <v>3128</v>
      </c>
      <c r="H43" s="3" t="s">
        <v>2885</v>
      </c>
      <c r="I43" s="7"/>
      <c r="J43" s="2"/>
    </row>
    <row r="44" spans="1:10" outlineLevel="2" x14ac:dyDescent="0.2">
      <c r="A44" s="7" t="s">
        <v>2823</v>
      </c>
      <c r="B44" s="7" t="s">
        <v>2253</v>
      </c>
      <c r="C44" s="202" t="s">
        <v>2824</v>
      </c>
      <c r="D44" s="255" t="s">
        <v>2661</v>
      </c>
      <c r="E44" s="231">
        <v>62744.04</v>
      </c>
      <c r="F44" s="207"/>
      <c r="G44" s="251" t="s">
        <v>3128</v>
      </c>
      <c r="H44" s="2" t="s">
        <v>2678</v>
      </c>
      <c r="I44" s="2"/>
      <c r="J44" s="2"/>
    </row>
    <row r="45" spans="1:10" outlineLevel="2" x14ac:dyDescent="0.2">
      <c r="A45" s="7" t="s">
        <v>2320</v>
      </c>
      <c r="B45" s="7" t="s">
        <v>2350</v>
      </c>
      <c r="C45" s="205" t="s">
        <v>2016</v>
      </c>
      <c r="D45" s="255" t="s">
        <v>2662</v>
      </c>
      <c r="E45" s="231">
        <v>24138</v>
      </c>
      <c r="F45" s="207"/>
      <c r="G45" s="251" t="s">
        <v>3128</v>
      </c>
      <c r="H45" s="2" t="s">
        <v>2797</v>
      </c>
      <c r="I45" s="2"/>
      <c r="J45" s="2"/>
    </row>
    <row r="46" spans="1:10" outlineLevel="2" x14ac:dyDescent="0.2">
      <c r="A46" s="7" t="s">
        <v>2368</v>
      </c>
      <c r="B46" s="7" t="s">
        <v>2470</v>
      </c>
      <c r="C46" s="202" t="s">
        <v>1296</v>
      </c>
      <c r="D46" s="255" t="s">
        <v>2661</v>
      </c>
      <c r="E46" s="231">
        <v>50600.14</v>
      </c>
      <c r="F46" s="207"/>
      <c r="G46" s="251" t="s">
        <v>3128</v>
      </c>
      <c r="H46" s="2" t="s">
        <v>2677</v>
      </c>
      <c r="I46" s="2"/>
      <c r="J46" s="2"/>
    </row>
    <row r="47" spans="1:10" outlineLevel="2" x14ac:dyDescent="0.2">
      <c r="A47" s="7" t="s">
        <v>2473</v>
      </c>
      <c r="B47" s="7" t="s">
        <v>2474</v>
      </c>
      <c r="C47" s="203" t="s">
        <v>1532</v>
      </c>
      <c r="D47" s="255" t="s">
        <v>2661</v>
      </c>
      <c r="E47" s="231">
        <v>36710.400000000001</v>
      </c>
      <c r="F47" s="207"/>
      <c r="G47" s="251" t="s">
        <v>3128</v>
      </c>
      <c r="H47" s="2" t="s">
        <v>2696</v>
      </c>
      <c r="I47" s="2" t="s">
        <v>2694</v>
      </c>
      <c r="J47" s="2"/>
    </row>
    <row r="48" spans="1:10" outlineLevel="2" x14ac:dyDescent="0.2">
      <c r="A48" s="7" t="s">
        <v>2514</v>
      </c>
      <c r="B48" s="7" t="s">
        <v>2358</v>
      </c>
      <c r="C48" s="202" t="s">
        <v>2784</v>
      </c>
      <c r="D48" s="255" t="s">
        <v>2661</v>
      </c>
      <c r="E48" s="231">
        <v>40271.879999999997</v>
      </c>
      <c r="F48" s="207"/>
      <c r="G48" s="251" t="s">
        <v>3128</v>
      </c>
      <c r="H48" s="2" t="s">
        <v>2797</v>
      </c>
      <c r="I48" s="2"/>
      <c r="J48" s="2"/>
    </row>
    <row r="49" spans="1:10" outlineLevel="2" x14ac:dyDescent="0.2">
      <c r="A49" s="7" t="s">
        <v>2357</v>
      </c>
      <c r="B49" s="7" t="s">
        <v>2358</v>
      </c>
      <c r="C49" s="205" t="s">
        <v>743</v>
      </c>
      <c r="D49" s="255" t="s">
        <v>2662</v>
      </c>
      <c r="E49" s="231">
        <v>24756</v>
      </c>
      <c r="F49" s="207"/>
      <c r="G49" s="251" t="s">
        <v>3128</v>
      </c>
      <c r="H49" s="3" t="s">
        <v>2885</v>
      </c>
      <c r="I49" s="2"/>
      <c r="J49" s="2"/>
    </row>
    <row r="50" spans="1:10" outlineLevel="2" x14ac:dyDescent="0.2">
      <c r="A50" s="7" t="s">
        <v>2490</v>
      </c>
      <c r="B50" s="7" t="s">
        <v>2257</v>
      </c>
      <c r="C50" s="202" t="s">
        <v>1536</v>
      </c>
      <c r="D50" s="255" t="s">
        <v>2661</v>
      </c>
      <c r="E50" s="231">
        <v>60861.120000000003</v>
      </c>
      <c r="F50" s="207"/>
      <c r="G50" s="251" t="s">
        <v>3128</v>
      </c>
      <c r="H50" s="2" t="s">
        <v>2677</v>
      </c>
      <c r="I50" s="2"/>
      <c r="J50" s="2"/>
    </row>
    <row r="51" spans="1:10" outlineLevel="2" x14ac:dyDescent="0.2">
      <c r="A51" s="7" t="s">
        <v>2348</v>
      </c>
      <c r="B51" s="7" t="s">
        <v>2263</v>
      </c>
      <c r="C51" s="205" t="s">
        <v>2202</v>
      </c>
      <c r="D51" s="255" t="s">
        <v>2662</v>
      </c>
      <c r="E51" s="231">
        <v>32649</v>
      </c>
      <c r="F51" s="207"/>
      <c r="G51" s="251" t="s">
        <v>3128</v>
      </c>
      <c r="H51" s="3" t="s">
        <v>2885</v>
      </c>
      <c r="I51" s="2"/>
      <c r="J51" s="2"/>
    </row>
    <row r="52" spans="1:10" outlineLevel="2" x14ac:dyDescent="0.2">
      <c r="A52" s="7" t="s">
        <v>2492</v>
      </c>
      <c r="B52" s="7" t="s">
        <v>2263</v>
      </c>
      <c r="C52" s="205" t="s">
        <v>744</v>
      </c>
      <c r="D52" s="255" t="s">
        <v>2661</v>
      </c>
      <c r="E52" s="231">
        <v>42788.04</v>
      </c>
      <c r="F52" s="207"/>
      <c r="G52" s="251" t="s">
        <v>3128</v>
      </c>
      <c r="H52" s="2" t="s">
        <v>2678</v>
      </c>
      <c r="I52" s="2"/>
      <c r="J52" s="2"/>
    </row>
    <row r="53" spans="1:10" outlineLevel="2" x14ac:dyDescent="0.2">
      <c r="A53" s="7" t="s">
        <v>2365</v>
      </c>
      <c r="B53" s="7" t="s">
        <v>2366</v>
      </c>
      <c r="C53" s="203" t="s">
        <v>1540</v>
      </c>
      <c r="D53" s="255" t="s">
        <v>2662</v>
      </c>
      <c r="E53" s="231">
        <v>27336</v>
      </c>
      <c r="F53" s="207"/>
      <c r="G53" s="251" t="s">
        <v>3128</v>
      </c>
      <c r="H53" s="2" t="s">
        <v>2697</v>
      </c>
      <c r="I53" s="2"/>
      <c r="J53" s="2"/>
    </row>
    <row r="54" spans="1:10" outlineLevel="2" x14ac:dyDescent="0.2">
      <c r="A54" s="7" t="s">
        <v>2618</v>
      </c>
      <c r="B54" s="7" t="s">
        <v>2619</v>
      </c>
      <c r="C54" s="156" t="s">
        <v>78</v>
      </c>
      <c r="D54" s="255" t="s">
        <v>2659</v>
      </c>
      <c r="E54" s="230">
        <v>73632</v>
      </c>
      <c r="F54" s="207"/>
      <c r="G54" s="251" t="s">
        <v>3128</v>
      </c>
      <c r="H54" s="2" t="s">
        <v>2677</v>
      </c>
      <c r="I54" s="2"/>
      <c r="J54" s="2"/>
    </row>
    <row r="55" spans="1:10" outlineLevel="2" x14ac:dyDescent="0.2">
      <c r="A55" s="7" t="s">
        <v>2373</v>
      </c>
      <c r="B55" s="7" t="s">
        <v>2374</v>
      </c>
      <c r="C55" s="203" t="s">
        <v>2295</v>
      </c>
      <c r="D55" s="255" t="s">
        <v>2662</v>
      </c>
      <c r="E55" s="231">
        <v>24960.959999999999</v>
      </c>
      <c r="F55" s="207"/>
      <c r="G55" s="251" t="s">
        <v>3128</v>
      </c>
      <c r="H55" s="2" t="s">
        <v>2697</v>
      </c>
      <c r="I55" s="2"/>
      <c r="J55" s="2"/>
    </row>
    <row r="56" spans="1:10" outlineLevel="2" x14ac:dyDescent="0.2">
      <c r="A56" s="7" t="s">
        <v>2502</v>
      </c>
      <c r="B56" s="7" t="s">
        <v>2503</v>
      </c>
      <c r="C56" s="202" t="s">
        <v>1546</v>
      </c>
      <c r="D56" s="255" t="s">
        <v>2661</v>
      </c>
      <c r="E56" s="231">
        <v>59081.16</v>
      </c>
      <c r="F56" s="207"/>
      <c r="G56" s="251" t="s">
        <v>3128</v>
      </c>
      <c r="H56" s="3" t="s">
        <v>2699</v>
      </c>
      <c r="I56" s="3"/>
      <c r="J56" s="2"/>
    </row>
    <row r="57" spans="1:10" outlineLevel="2" x14ac:dyDescent="0.2">
      <c r="A57" s="7" t="s">
        <v>2505</v>
      </c>
      <c r="B57" s="7" t="s">
        <v>2506</v>
      </c>
      <c r="C57" s="202" t="s">
        <v>745</v>
      </c>
      <c r="D57" s="255" t="s">
        <v>2661</v>
      </c>
      <c r="E57" s="231">
        <v>47471.28</v>
      </c>
      <c r="F57" s="207"/>
      <c r="G57" s="251" t="s">
        <v>3128</v>
      </c>
      <c r="H57" s="2" t="s">
        <v>2679</v>
      </c>
      <c r="I57" s="2"/>
      <c r="J57" s="2"/>
    </row>
    <row r="58" spans="1:10" outlineLevel="2" x14ac:dyDescent="0.2">
      <c r="A58" s="7" t="s">
        <v>2377</v>
      </c>
      <c r="B58" s="7" t="s">
        <v>2376</v>
      </c>
      <c r="C58" s="203" t="s">
        <v>44</v>
      </c>
      <c r="D58" s="255" t="s">
        <v>2662</v>
      </c>
      <c r="E58" s="231">
        <v>24960.959999999999</v>
      </c>
      <c r="F58" s="207"/>
      <c r="G58" s="251" t="s">
        <v>3128</v>
      </c>
      <c r="H58" s="2" t="s">
        <v>2697</v>
      </c>
      <c r="I58" s="2"/>
      <c r="J58" s="2"/>
    </row>
    <row r="59" spans="1:10" outlineLevel="2" x14ac:dyDescent="0.2">
      <c r="A59" s="7" t="s">
        <v>2375</v>
      </c>
      <c r="B59" s="7" t="s">
        <v>2376</v>
      </c>
      <c r="C59" s="205" t="s">
        <v>2884</v>
      </c>
      <c r="D59" s="255" t="s">
        <v>2662</v>
      </c>
      <c r="E59" s="231">
        <v>35725.26</v>
      </c>
      <c r="F59" s="207"/>
      <c r="G59" s="251" t="s">
        <v>3128</v>
      </c>
      <c r="H59" s="3" t="s">
        <v>2688</v>
      </c>
      <c r="I59" s="2"/>
      <c r="J59" s="2"/>
    </row>
    <row r="60" spans="1:10" outlineLevel="2" x14ac:dyDescent="0.2">
      <c r="A60" s="7" t="s">
        <v>2371</v>
      </c>
      <c r="B60" s="7" t="s">
        <v>2380</v>
      </c>
      <c r="C60" s="205" t="s">
        <v>1405</v>
      </c>
      <c r="D60" s="255" t="s">
        <v>2662</v>
      </c>
      <c r="E60" s="231">
        <v>35301.96</v>
      </c>
      <c r="F60" s="207"/>
      <c r="G60" s="251" t="s">
        <v>3128</v>
      </c>
      <c r="H60" s="2" t="s">
        <v>2797</v>
      </c>
      <c r="I60" s="2"/>
      <c r="J60" s="2"/>
    </row>
    <row r="61" spans="1:10" outlineLevel="2" x14ac:dyDescent="0.2">
      <c r="A61" s="7" t="s">
        <v>2511</v>
      </c>
      <c r="B61" s="7" t="s">
        <v>2512</v>
      </c>
      <c r="C61" s="202" t="s">
        <v>1392</v>
      </c>
      <c r="D61" s="255" t="s">
        <v>2661</v>
      </c>
      <c r="E61" s="231">
        <v>43954.2</v>
      </c>
      <c r="F61" s="207"/>
      <c r="G61" s="251" t="s">
        <v>3128</v>
      </c>
      <c r="H61" s="2" t="s">
        <v>2697</v>
      </c>
      <c r="I61" s="2"/>
      <c r="J61" s="2"/>
    </row>
    <row r="62" spans="1:10" outlineLevel="2" x14ac:dyDescent="0.2">
      <c r="A62" s="7" t="s">
        <v>2383</v>
      </c>
      <c r="B62" s="7" t="s">
        <v>2269</v>
      </c>
      <c r="C62" s="205" t="s">
        <v>1395</v>
      </c>
      <c r="D62" s="255" t="s">
        <v>2662</v>
      </c>
      <c r="E62" s="231">
        <v>26304</v>
      </c>
      <c r="F62" s="207"/>
      <c r="G62" s="251" t="s">
        <v>3128</v>
      </c>
      <c r="H62" s="3" t="s">
        <v>2885</v>
      </c>
      <c r="I62" s="2"/>
      <c r="J62" s="2"/>
    </row>
    <row r="63" spans="1:10" outlineLevel="2" x14ac:dyDescent="0.2">
      <c r="A63" s="7" t="s">
        <v>2524</v>
      </c>
      <c r="B63" s="7" t="s">
        <v>2525</v>
      </c>
      <c r="C63" s="202" t="s">
        <v>2409</v>
      </c>
      <c r="D63" s="255" t="s">
        <v>2661</v>
      </c>
      <c r="E63" s="231">
        <v>43577.04</v>
      </c>
      <c r="F63" s="207"/>
      <c r="G63" s="251" t="s">
        <v>3128</v>
      </c>
      <c r="H63" s="2" t="s">
        <v>2679</v>
      </c>
      <c r="I63" s="2"/>
      <c r="J63" s="2"/>
    </row>
    <row r="64" spans="1:10" outlineLevel="2" x14ac:dyDescent="0.2">
      <c r="A64" s="7" t="s">
        <v>2386</v>
      </c>
      <c r="B64" s="7" t="s">
        <v>2273</v>
      </c>
      <c r="C64" s="205" t="s">
        <v>1399</v>
      </c>
      <c r="D64" s="255" t="s">
        <v>2662</v>
      </c>
      <c r="E64" s="231">
        <v>41307.839999999997</v>
      </c>
      <c r="F64" s="207"/>
      <c r="G64" s="251" t="s">
        <v>3128</v>
      </c>
      <c r="H64" s="3" t="s">
        <v>2885</v>
      </c>
      <c r="I64" s="2"/>
      <c r="J64" s="2"/>
    </row>
    <row r="65" spans="1:10" outlineLevel="2" x14ac:dyDescent="0.2">
      <c r="A65" s="7" t="s">
        <v>2450</v>
      </c>
      <c r="B65" s="7" t="s">
        <v>2388</v>
      </c>
      <c r="C65" s="203" t="s">
        <v>1402</v>
      </c>
      <c r="D65" s="255" t="s">
        <v>2661</v>
      </c>
      <c r="E65" s="231">
        <v>46296.84</v>
      </c>
      <c r="F65" s="207"/>
      <c r="G65" s="251" t="s">
        <v>3128</v>
      </c>
      <c r="H65" s="3" t="s">
        <v>2699</v>
      </c>
      <c r="I65" s="3"/>
      <c r="J65" s="3"/>
    </row>
    <row r="66" spans="1:10" outlineLevel="2" x14ac:dyDescent="0.2">
      <c r="A66" s="7" t="s">
        <v>2391</v>
      </c>
      <c r="B66" s="7" t="s">
        <v>2392</v>
      </c>
      <c r="C66" s="203" t="s">
        <v>99</v>
      </c>
      <c r="D66" s="255" t="s">
        <v>2662</v>
      </c>
      <c r="E66" s="231">
        <v>25989.96</v>
      </c>
      <c r="F66" s="207"/>
      <c r="G66" s="251" t="s">
        <v>3128</v>
      </c>
      <c r="H66" s="2" t="s">
        <v>2697</v>
      </c>
      <c r="I66" s="2"/>
      <c r="J66" s="2"/>
    </row>
    <row r="67" spans="1:10" outlineLevel="2" x14ac:dyDescent="0.2">
      <c r="A67" s="7" t="s">
        <v>2522</v>
      </c>
      <c r="B67" s="7" t="s">
        <v>2393</v>
      </c>
      <c r="C67" s="205" t="s">
        <v>981</v>
      </c>
      <c r="D67" s="255" t="s">
        <v>2661</v>
      </c>
      <c r="E67" s="231">
        <v>50600.04</v>
      </c>
      <c r="F67" s="207"/>
      <c r="G67" s="251" t="s">
        <v>3128</v>
      </c>
      <c r="H67" s="2" t="s">
        <v>2677</v>
      </c>
      <c r="I67" s="343"/>
      <c r="J67" s="343"/>
    </row>
    <row r="68" spans="1:10" outlineLevel="2" x14ac:dyDescent="0.2">
      <c r="A68" s="7" t="s">
        <v>2518</v>
      </c>
      <c r="B68" s="7" t="s">
        <v>2538</v>
      </c>
      <c r="C68" s="202" t="s">
        <v>2019</v>
      </c>
      <c r="D68" s="255" t="s">
        <v>2661</v>
      </c>
      <c r="E68" s="231">
        <v>45960.959999999999</v>
      </c>
      <c r="F68" s="207"/>
      <c r="G68" s="251" t="s">
        <v>3128</v>
      </c>
      <c r="H68" s="2" t="s">
        <v>2797</v>
      </c>
      <c r="I68" s="2"/>
      <c r="J68" s="3"/>
    </row>
    <row r="69" spans="1:10" outlineLevel="2" x14ac:dyDescent="0.2">
      <c r="A69" s="7" t="s">
        <v>2383</v>
      </c>
      <c r="B69" s="7" t="s">
        <v>2831</v>
      </c>
      <c r="C69" s="205" t="s">
        <v>2832</v>
      </c>
      <c r="D69" s="255" t="s">
        <v>2662</v>
      </c>
      <c r="E69" s="231">
        <v>24756</v>
      </c>
      <c r="F69" s="207"/>
      <c r="G69" s="251" t="s">
        <v>3128</v>
      </c>
      <c r="H69" s="2" t="s">
        <v>2678</v>
      </c>
      <c r="I69" s="2"/>
      <c r="J69" s="2"/>
    </row>
    <row r="70" spans="1:10" outlineLevel="2" x14ac:dyDescent="0.2">
      <c r="A70" s="7" t="s">
        <v>2420</v>
      </c>
      <c r="B70" s="7" t="s">
        <v>2285</v>
      </c>
      <c r="C70" s="205" t="s">
        <v>2769</v>
      </c>
      <c r="D70" s="255" t="s">
        <v>2661</v>
      </c>
      <c r="E70" s="231">
        <v>40947.599999999999</v>
      </c>
      <c r="F70" s="207"/>
      <c r="G70" s="251" t="s">
        <v>3128</v>
      </c>
      <c r="H70" s="2" t="s">
        <v>2678</v>
      </c>
      <c r="I70" s="2"/>
      <c r="J70" s="2"/>
    </row>
    <row r="71" spans="1:10" outlineLevel="2" x14ac:dyDescent="0.2">
      <c r="A71" s="7" t="s">
        <v>2405</v>
      </c>
      <c r="B71" s="7" t="s">
        <v>2291</v>
      </c>
      <c r="C71" s="203" t="s">
        <v>203</v>
      </c>
      <c r="D71" s="255" t="s">
        <v>2662</v>
      </c>
      <c r="E71" s="231">
        <v>27336</v>
      </c>
      <c r="F71" s="207"/>
      <c r="G71" s="251" t="s">
        <v>3128</v>
      </c>
      <c r="H71" s="2" t="s">
        <v>2697</v>
      </c>
      <c r="I71" s="2"/>
      <c r="J71" s="2"/>
    </row>
    <row r="72" spans="1:10" outlineLevel="2" x14ac:dyDescent="0.2">
      <c r="A72" s="7" t="s">
        <v>2316</v>
      </c>
      <c r="B72" s="7" t="s">
        <v>2406</v>
      </c>
      <c r="C72" s="205" t="s">
        <v>490</v>
      </c>
      <c r="D72" s="255" t="s">
        <v>2662</v>
      </c>
      <c r="E72" s="231">
        <v>25580.04</v>
      </c>
      <c r="F72" s="207"/>
      <c r="G72" s="251" t="s">
        <v>3128</v>
      </c>
      <c r="H72" s="3" t="s">
        <v>2688</v>
      </c>
      <c r="I72" s="3"/>
      <c r="J72" s="3"/>
    </row>
    <row r="73" spans="1:10" outlineLevel="2" x14ac:dyDescent="0.2">
      <c r="A73" s="7" t="s">
        <v>2833</v>
      </c>
      <c r="B73" s="7" t="s">
        <v>2834</v>
      </c>
      <c r="C73" s="150" t="s">
        <v>2768</v>
      </c>
      <c r="D73" s="255" t="s">
        <v>2661</v>
      </c>
      <c r="E73" s="231">
        <v>41307.839999999997</v>
      </c>
      <c r="F73" s="207"/>
      <c r="G73" s="251" t="s">
        <v>3128</v>
      </c>
      <c r="H73" s="2" t="s">
        <v>2678</v>
      </c>
      <c r="I73" s="2"/>
      <c r="J73" s="2"/>
    </row>
    <row r="74" spans="1:10" ht="15.75" outlineLevel="1" x14ac:dyDescent="0.25">
      <c r="A74" s="7"/>
      <c r="B74" s="7"/>
      <c r="C74" s="205"/>
      <c r="D74" s="255"/>
      <c r="E74" s="231">
        <f>SUBTOTAL(9,E21:E73)</f>
        <v>2157593.12</v>
      </c>
      <c r="F74" s="207"/>
      <c r="G74" s="341" t="s">
        <v>3129</v>
      </c>
      <c r="H74" s="3"/>
      <c r="I74" s="2"/>
      <c r="J74" s="2"/>
    </row>
    <row r="75" spans="1:10" outlineLevel="2" x14ac:dyDescent="0.2">
      <c r="A75" s="7" t="s">
        <v>2483</v>
      </c>
      <c r="B75" s="7" t="s">
        <v>2484</v>
      </c>
      <c r="C75" s="203" t="s">
        <v>2201</v>
      </c>
      <c r="D75" s="255" t="s">
        <v>2661</v>
      </c>
      <c r="E75" s="231">
        <v>26508.959999999999</v>
      </c>
      <c r="F75" s="207"/>
      <c r="G75" s="251" t="s">
        <v>3088</v>
      </c>
      <c r="H75" s="2" t="s">
        <v>2689</v>
      </c>
      <c r="I75" s="2"/>
      <c r="J75" s="2"/>
    </row>
    <row r="76" spans="1:10" outlineLevel="2" x14ac:dyDescent="0.2">
      <c r="A76" s="7" t="s">
        <v>2426</v>
      </c>
      <c r="B76" s="7" t="s">
        <v>3030</v>
      </c>
      <c r="C76" s="338" t="s">
        <v>3031</v>
      </c>
      <c r="D76" s="255" t="s">
        <v>2661</v>
      </c>
      <c r="E76" s="206">
        <v>23932.959999999999</v>
      </c>
      <c r="F76" s="207"/>
      <c r="G76" s="251" t="s">
        <v>3088</v>
      </c>
      <c r="H76" s="3" t="s">
        <v>2690</v>
      </c>
      <c r="I76" s="2"/>
      <c r="J76" s="2"/>
    </row>
    <row r="77" spans="1:10" outlineLevel="2" x14ac:dyDescent="0.2">
      <c r="A77" s="7" t="s">
        <v>2787</v>
      </c>
      <c r="B77" s="7" t="s">
        <v>2578</v>
      </c>
      <c r="C77" s="203" t="s">
        <v>2762</v>
      </c>
      <c r="D77" s="255" t="s">
        <v>2658</v>
      </c>
      <c r="E77" s="231">
        <v>23729.040000000001</v>
      </c>
      <c r="F77" s="207"/>
      <c r="G77" s="251" t="s">
        <v>3088</v>
      </c>
      <c r="H77" s="3" t="s">
        <v>2690</v>
      </c>
      <c r="I77" s="3"/>
      <c r="J77" s="3"/>
    </row>
    <row r="78" spans="1:10" outlineLevel="2" x14ac:dyDescent="0.2">
      <c r="A78" s="7" t="s">
        <v>2233</v>
      </c>
      <c r="B78" s="7" t="s">
        <v>2289</v>
      </c>
      <c r="C78" s="202" t="s">
        <v>1349</v>
      </c>
      <c r="D78" s="255" t="s">
        <v>2661</v>
      </c>
      <c r="E78" s="231">
        <v>56070.48</v>
      </c>
      <c r="F78" s="207"/>
      <c r="G78" s="251" t="s">
        <v>3088</v>
      </c>
      <c r="H78" s="3" t="s">
        <v>2690</v>
      </c>
      <c r="I78" s="3"/>
      <c r="J78" s="3"/>
    </row>
    <row r="79" spans="1:10" outlineLevel="2" x14ac:dyDescent="0.2">
      <c r="A79" s="7" t="s">
        <v>3027</v>
      </c>
      <c r="B79" s="7" t="s">
        <v>3028</v>
      </c>
      <c r="C79" s="338" t="s">
        <v>3026</v>
      </c>
      <c r="D79" s="255" t="s">
        <v>2661</v>
      </c>
      <c r="E79" s="206">
        <v>20922</v>
      </c>
      <c r="F79" s="207"/>
      <c r="G79" s="251" t="s">
        <v>3088</v>
      </c>
      <c r="H79" s="3" t="s">
        <v>2690</v>
      </c>
      <c r="I79" s="2"/>
      <c r="J79" s="2"/>
    </row>
    <row r="80" spans="1:10" outlineLevel="2" x14ac:dyDescent="0.2">
      <c r="A80" s="7" t="s">
        <v>2318</v>
      </c>
      <c r="B80" s="7" t="s">
        <v>2367</v>
      </c>
      <c r="C80" s="203" t="s">
        <v>2219</v>
      </c>
      <c r="D80" s="255" t="s">
        <v>2662</v>
      </c>
      <c r="E80" s="231">
        <v>31409.040000000001</v>
      </c>
      <c r="F80" s="207"/>
      <c r="G80" s="251" t="s">
        <v>3088</v>
      </c>
      <c r="H80" s="3" t="s">
        <v>2690</v>
      </c>
      <c r="I80" s="2"/>
      <c r="J80" s="2"/>
    </row>
    <row r="81" spans="1:10" outlineLevel="2" x14ac:dyDescent="0.2">
      <c r="A81" s="7" t="s">
        <v>2302</v>
      </c>
      <c r="B81" s="7" t="s">
        <v>2242</v>
      </c>
      <c r="C81" s="203" t="s">
        <v>1897</v>
      </c>
      <c r="D81" s="255" t="s">
        <v>2662</v>
      </c>
      <c r="E81" s="231">
        <v>24552.959999999999</v>
      </c>
      <c r="F81" s="207"/>
      <c r="G81" s="251" t="s">
        <v>3088</v>
      </c>
      <c r="H81" s="3" t="s">
        <v>2690</v>
      </c>
      <c r="I81" s="3"/>
      <c r="J81" s="3"/>
    </row>
    <row r="82" spans="1:10" outlineLevel="2" x14ac:dyDescent="0.2">
      <c r="A82" s="7" t="s">
        <v>2463</v>
      </c>
      <c r="B82" s="7" t="s">
        <v>2630</v>
      </c>
      <c r="C82" s="149" t="s">
        <v>80</v>
      </c>
      <c r="D82" s="255" t="s">
        <v>2659</v>
      </c>
      <c r="E82" s="231">
        <v>46685</v>
      </c>
      <c r="F82" s="207"/>
      <c r="G82" s="251" t="s">
        <v>3088</v>
      </c>
      <c r="H82" s="2" t="s">
        <v>2949</v>
      </c>
      <c r="I82" s="2"/>
      <c r="J82" s="2"/>
    </row>
    <row r="83" spans="1:10" outlineLevel="2" x14ac:dyDescent="0.2">
      <c r="A83" s="7" t="s">
        <v>2454</v>
      </c>
      <c r="B83" s="7" t="s">
        <v>2455</v>
      </c>
      <c r="C83" s="202" t="s">
        <v>1464</v>
      </c>
      <c r="D83" s="255" t="s">
        <v>2661</v>
      </c>
      <c r="E83" s="231">
        <v>61251.12</v>
      </c>
      <c r="F83" s="207"/>
      <c r="G83" s="251" t="s">
        <v>3088</v>
      </c>
      <c r="H83" s="2" t="s">
        <v>2949</v>
      </c>
      <c r="I83" s="2" t="s">
        <v>2749</v>
      </c>
      <c r="J83" s="3"/>
    </row>
    <row r="84" spans="1:10" outlineLevel="2" x14ac:dyDescent="0.2">
      <c r="A84" s="7" t="s">
        <v>2378</v>
      </c>
      <c r="B84" s="7" t="s">
        <v>2379</v>
      </c>
      <c r="C84" s="205" t="s">
        <v>2018</v>
      </c>
      <c r="D84" s="255" t="s">
        <v>2662</v>
      </c>
      <c r="E84" s="231">
        <v>35835.96</v>
      </c>
      <c r="F84" s="207"/>
      <c r="G84" s="251" t="s">
        <v>3088</v>
      </c>
      <c r="H84" s="2" t="s">
        <v>2949</v>
      </c>
      <c r="I84" s="2" t="s">
        <v>2749</v>
      </c>
      <c r="J84" s="2"/>
    </row>
    <row r="85" spans="1:10" outlineLevel="2" x14ac:dyDescent="0.2">
      <c r="A85" s="7" t="s">
        <v>2509</v>
      </c>
      <c r="B85" s="7" t="s">
        <v>2245</v>
      </c>
      <c r="C85" s="149" t="s">
        <v>1292</v>
      </c>
      <c r="D85" s="255" t="s">
        <v>2659</v>
      </c>
      <c r="E85" s="230">
        <v>55974</v>
      </c>
      <c r="F85" s="207"/>
      <c r="G85" s="251" t="s">
        <v>3088</v>
      </c>
      <c r="H85" s="2" t="s">
        <v>2687</v>
      </c>
      <c r="I85" s="2"/>
      <c r="J85" s="2"/>
    </row>
    <row r="86" spans="1:10" outlineLevel="2" x14ac:dyDescent="0.2">
      <c r="A86" s="7" t="s">
        <v>2547</v>
      </c>
      <c r="B86" s="7" t="s">
        <v>2548</v>
      </c>
      <c r="C86" s="149" t="s">
        <v>1451</v>
      </c>
      <c r="D86" s="255" t="s">
        <v>2659</v>
      </c>
      <c r="E86" s="231">
        <v>50763</v>
      </c>
      <c r="F86" s="208"/>
      <c r="G86" s="251" t="s">
        <v>3088</v>
      </c>
      <c r="H86" s="2" t="s">
        <v>2687</v>
      </c>
      <c r="I86" s="3"/>
      <c r="J86" s="3"/>
    </row>
    <row r="87" spans="1:10" outlineLevel="2" x14ac:dyDescent="0.2">
      <c r="A87" s="7" t="s">
        <v>2549</v>
      </c>
      <c r="B87" s="7" t="s">
        <v>2550</v>
      </c>
      <c r="C87" s="149" t="s">
        <v>561</v>
      </c>
      <c r="D87" s="255" t="s">
        <v>2659</v>
      </c>
      <c r="E87" s="231">
        <v>43922</v>
      </c>
      <c r="F87" s="207"/>
      <c r="G87" s="251" t="s">
        <v>3088</v>
      </c>
      <c r="H87" s="2" t="s">
        <v>2687</v>
      </c>
      <c r="I87" s="2"/>
      <c r="J87" s="2"/>
    </row>
    <row r="88" spans="1:10" outlineLevel="2" x14ac:dyDescent="0.2">
      <c r="A88" s="7" t="s">
        <v>2266</v>
      </c>
      <c r="B88" s="7" t="s">
        <v>2551</v>
      </c>
      <c r="C88" s="149" t="s">
        <v>738</v>
      </c>
      <c r="D88" s="255" t="s">
        <v>2659</v>
      </c>
      <c r="E88" s="231">
        <v>40874</v>
      </c>
      <c r="F88" s="207"/>
      <c r="G88" s="251" t="s">
        <v>3088</v>
      </c>
      <c r="H88" s="2" t="s">
        <v>2687</v>
      </c>
      <c r="I88" s="2"/>
      <c r="J88" s="2"/>
    </row>
    <row r="89" spans="1:10" outlineLevel="2" x14ac:dyDescent="0.2">
      <c r="A89" s="7" t="s">
        <v>2557</v>
      </c>
      <c r="B89" s="7" t="s">
        <v>2558</v>
      </c>
      <c r="C89" s="149" t="s">
        <v>1454</v>
      </c>
      <c r="D89" s="255" t="s">
        <v>2659</v>
      </c>
      <c r="E89" s="230">
        <v>55224</v>
      </c>
      <c r="F89" s="207"/>
      <c r="G89" s="251" t="s">
        <v>3088</v>
      </c>
      <c r="H89" s="2" t="s">
        <v>2687</v>
      </c>
      <c r="I89" s="2"/>
      <c r="J89" s="2"/>
    </row>
    <row r="90" spans="1:10" outlineLevel="2" x14ac:dyDescent="0.2">
      <c r="A90" s="7" t="s">
        <v>2561</v>
      </c>
      <c r="B90" s="7" t="s">
        <v>2562</v>
      </c>
      <c r="C90" s="149" t="s">
        <v>1456</v>
      </c>
      <c r="D90" s="255" t="s">
        <v>2659</v>
      </c>
      <c r="E90" s="230">
        <v>51848</v>
      </c>
      <c r="F90" s="207"/>
      <c r="G90" s="251" t="s">
        <v>3088</v>
      </c>
      <c r="H90" s="2" t="s">
        <v>2687</v>
      </c>
      <c r="I90" s="2"/>
      <c r="J90" s="2"/>
    </row>
    <row r="91" spans="1:10" outlineLevel="2" x14ac:dyDescent="0.2">
      <c r="A91" s="7" t="s">
        <v>2564</v>
      </c>
      <c r="B91" s="7" t="s">
        <v>2565</v>
      </c>
      <c r="C91" s="149" t="s">
        <v>5</v>
      </c>
      <c r="D91" s="255" t="s">
        <v>2659</v>
      </c>
      <c r="E91" s="231">
        <v>48543</v>
      </c>
      <c r="F91" s="207"/>
      <c r="G91" s="251" t="s">
        <v>3088</v>
      </c>
      <c r="H91" s="2" t="s">
        <v>2687</v>
      </c>
      <c r="I91" s="2"/>
      <c r="J91" s="2"/>
    </row>
    <row r="92" spans="1:10" outlineLevel="2" x14ac:dyDescent="0.2">
      <c r="A92" s="7" t="s">
        <v>2805</v>
      </c>
      <c r="B92" s="7" t="s">
        <v>2567</v>
      </c>
      <c r="C92" s="147" t="s">
        <v>2804</v>
      </c>
      <c r="D92" s="255" t="s">
        <v>2659</v>
      </c>
      <c r="E92" s="231">
        <v>40874.04</v>
      </c>
      <c r="F92" s="207"/>
      <c r="G92" s="251" t="s">
        <v>3088</v>
      </c>
      <c r="H92" s="2" t="s">
        <v>2687</v>
      </c>
      <c r="I92" s="2"/>
      <c r="J92" s="2"/>
    </row>
    <row r="93" spans="1:10" outlineLevel="2" x14ac:dyDescent="0.2">
      <c r="A93" s="7" t="s">
        <v>2566</v>
      </c>
      <c r="B93" s="7" t="s">
        <v>2567</v>
      </c>
      <c r="C93" s="149" t="s">
        <v>1457</v>
      </c>
      <c r="D93" s="255" t="s">
        <v>2659</v>
      </c>
      <c r="E93" s="231">
        <v>50408</v>
      </c>
      <c r="F93" s="208"/>
      <c r="G93" s="251" t="s">
        <v>3088</v>
      </c>
      <c r="H93" s="2" t="s">
        <v>2687</v>
      </c>
      <c r="I93" s="3"/>
      <c r="J93" s="3"/>
    </row>
    <row r="94" spans="1:10" outlineLevel="2" x14ac:dyDescent="0.2">
      <c r="A94" s="7" t="s">
        <v>2568</v>
      </c>
      <c r="B94" s="7" t="s">
        <v>2569</v>
      </c>
      <c r="C94" s="149" t="s">
        <v>178</v>
      </c>
      <c r="D94" s="255" t="s">
        <v>2659</v>
      </c>
      <c r="E94" s="230">
        <v>61540</v>
      </c>
      <c r="F94" s="207"/>
      <c r="G94" s="251" t="s">
        <v>3088</v>
      </c>
      <c r="H94" s="2" t="s">
        <v>2687</v>
      </c>
      <c r="I94" s="2"/>
      <c r="J94" s="2"/>
    </row>
    <row r="95" spans="1:10" outlineLevel="2" x14ac:dyDescent="0.2">
      <c r="A95" s="7" t="s">
        <v>2570</v>
      </c>
      <c r="B95" s="7" t="s">
        <v>2230</v>
      </c>
      <c r="C95" s="149" t="s">
        <v>1458</v>
      </c>
      <c r="D95" s="255" t="s">
        <v>2659</v>
      </c>
      <c r="E95" s="231">
        <v>48410</v>
      </c>
      <c r="F95" s="207"/>
      <c r="G95" s="251" t="s">
        <v>3088</v>
      </c>
      <c r="H95" s="2" t="s">
        <v>2687</v>
      </c>
      <c r="I95" s="2"/>
      <c r="J95" s="2"/>
    </row>
    <row r="96" spans="1:10" outlineLevel="2" x14ac:dyDescent="0.2">
      <c r="A96" s="7" t="s">
        <v>2576</v>
      </c>
      <c r="B96" s="7" t="s">
        <v>2577</v>
      </c>
      <c r="C96" s="149" t="s">
        <v>204</v>
      </c>
      <c r="D96" s="255" t="s">
        <v>2659</v>
      </c>
      <c r="E96" s="231">
        <v>47095</v>
      </c>
      <c r="F96" s="232"/>
      <c r="G96" s="251" t="s">
        <v>3088</v>
      </c>
      <c r="H96" s="2" t="s">
        <v>2687</v>
      </c>
      <c r="I96" s="7"/>
      <c r="J96" s="7"/>
    </row>
    <row r="97" spans="1:10" outlineLevel="2" x14ac:dyDescent="0.2">
      <c r="A97" s="7" t="s">
        <v>2473</v>
      </c>
      <c r="B97" s="7" t="s">
        <v>2578</v>
      </c>
      <c r="C97" s="149" t="s">
        <v>6</v>
      </c>
      <c r="D97" s="255" t="s">
        <v>2659</v>
      </c>
      <c r="E97" s="231">
        <v>44592</v>
      </c>
      <c r="F97" s="232"/>
      <c r="G97" s="251" t="s">
        <v>3088</v>
      </c>
      <c r="H97" s="2" t="s">
        <v>2687</v>
      </c>
      <c r="I97" s="7"/>
      <c r="J97" s="7"/>
    </row>
    <row r="98" spans="1:10" outlineLevel="2" x14ac:dyDescent="0.2">
      <c r="A98" s="7" t="s">
        <v>2579</v>
      </c>
      <c r="B98" s="7" t="s">
        <v>2580</v>
      </c>
      <c r="C98" s="149" t="s">
        <v>1778</v>
      </c>
      <c r="D98" s="255" t="s">
        <v>2659</v>
      </c>
      <c r="E98" s="231">
        <v>44592</v>
      </c>
      <c r="F98" s="232"/>
      <c r="G98" s="251" t="s">
        <v>3088</v>
      </c>
      <c r="H98" s="2" t="s">
        <v>2687</v>
      </c>
      <c r="I98" s="2" t="s">
        <v>2692</v>
      </c>
      <c r="J98" s="7"/>
    </row>
    <row r="99" spans="1:10" outlineLevel="2" x14ac:dyDescent="0.2">
      <c r="A99" s="7" t="s">
        <v>2581</v>
      </c>
      <c r="B99" s="7" t="s">
        <v>2582</v>
      </c>
      <c r="C99" s="149" t="s">
        <v>1773</v>
      </c>
      <c r="D99" s="255" t="s">
        <v>2659</v>
      </c>
      <c r="E99" s="230">
        <v>47372</v>
      </c>
      <c r="F99" s="207"/>
      <c r="G99" s="251" t="s">
        <v>3088</v>
      </c>
      <c r="H99" s="2" t="s">
        <v>2687</v>
      </c>
      <c r="I99" s="2"/>
      <c r="J99" s="2"/>
    </row>
    <row r="100" spans="1:10" outlineLevel="2" x14ac:dyDescent="0.2">
      <c r="A100" s="7" t="s">
        <v>2583</v>
      </c>
      <c r="B100" s="7" t="s">
        <v>2584</v>
      </c>
      <c r="C100" s="149" t="s">
        <v>1462</v>
      </c>
      <c r="D100" s="255" t="s">
        <v>2659</v>
      </c>
      <c r="E100" s="231">
        <v>52966</v>
      </c>
      <c r="F100" s="207"/>
      <c r="G100" s="251" t="s">
        <v>3088</v>
      </c>
      <c r="H100" s="2" t="s">
        <v>2687</v>
      </c>
      <c r="I100" s="2"/>
      <c r="J100" s="2"/>
    </row>
    <row r="101" spans="1:10" outlineLevel="2" x14ac:dyDescent="0.2">
      <c r="A101" s="7" t="s">
        <v>2590</v>
      </c>
      <c r="B101" s="7" t="s">
        <v>2287</v>
      </c>
      <c r="C101" s="149" t="s">
        <v>2545</v>
      </c>
      <c r="D101" s="255" t="s">
        <v>2659</v>
      </c>
      <c r="E101" s="230">
        <v>50560</v>
      </c>
      <c r="F101" s="208"/>
      <c r="G101" s="251" t="s">
        <v>3088</v>
      </c>
      <c r="H101" s="2" t="s">
        <v>2687</v>
      </c>
      <c r="I101" s="3"/>
      <c r="J101" s="3"/>
    </row>
    <row r="102" spans="1:10" outlineLevel="2" x14ac:dyDescent="0.2">
      <c r="A102" s="7" t="s">
        <v>2587</v>
      </c>
      <c r="B102" s="7" t="s">
        <v>2588</v>
      </c>
      <c r="C102" s="149" t="s">
        <v>73</v>
      </c>
      <c r="D102" s="255" t="s">
        <v>2659</v>
      </c>
      <c r="E102" s="231">
        <v>46674</v>
      </c>
      <c r="F102" s="207"/>
      <c r="G102" s="251" t="s">
        <v>3088</v>
      </c>
      <c r="H102" s="2" t="s">
        <v>2687</v>
      </c>
      <c r="I102" s="2"/>
      <c r="J102" s="2"/>
    </row>
    <row r="103" spans="1:10" outlineLevel="2" x14ac:dyDescent="0.2">
      <c r="A103" s="7" t="s">
        <v>2589</v>
      </c>
      <c r="B103" s="7" t="s">
        <v>2588</v>
      </c>
      <c r="C103" s="149" t="s">
        <v>74</v>
      </c>
      <c r="D103" s="255" t="s">
        <v>2659</v>
      </c>
      <c r="E103" s="230">
        <v>55474</v>
      </c>
      <c r="F103" s="207"/>
      <c r="G103" s="251" t="s">
        <v>3088</v>
      </c>
      <c r="H103" s="2" t="s">
        <v>2687</v>
      </c>
      <c r="I103" s="2"/>
      <c r="J103" s="2"/>
    </row>
    <row r="104" spans="1:10" outlineLevel="2" x14ac:dyDescent="0.2">
      <c r="A104" s="7" t="s">
        <v>2648</v>
      </c>
      <c r="B104" s="7" t="s">
        <v>2466</v>
      </c>
      <c r="C104" s="149" t="s">
        <v>2542</v>
      </c>
      <c r="D104" s="255" t="s">
        <v>2659</v>
      </c>
      <c r="E104" s="231">
        <v>39534</v>
      </c>
      <c r="F104" s="207"/>
      <c r="G104" s="251" t="s">
        <v>3088</v>
      </c>
      <c r="H104" s="2" t="s">
        <v>2687</v>
      </c>
      <c r="I104" s="2"/>
      <c r="J104" s="2"/>
    </row>
    <row r="105" spans="1:10" outlineLevel="2" x14ac:dyDescent="0.2">
      <c r="A105" s="7" t="s">
        <v>2595</v>
      </c>
      <c r="B105" s="7" t="s">
        <v>2596</v>
      </c>
      <c r="C105" s="149" t="s">
        <v>8</v>
      </c>
      <c r="D105" s="255" t="s">
        <v>2659</v>
      </c>
      <c r="E105" s="230">
        <v>46412</v>
      </c>
      <c r="F105" s="207"/>
      <c r="G105" s="251" t="s">
        <v>3088</v>
      </c>
      <c r="H105" s="2" t="s">
        <v>2687</v>
      </c>
      <c r="I105" s="2"/>
      <c r="J105" s="2"/>
    </row>
    <row r="106" spans="1:10" outlineLevel="2" x14ac:dyDescent="0.2">
      <c r="A106" s="7" t="s">
        <v>2418</v>
      </c>
      <c r="B106" s="7" t="s">
        <v>2253</v>
      </c>
      <c r="C106" s="149" t="s">
        <v>1468</v>
      </c>
      <c r="D106" s="255" t="s">
        <v>2659</v>
      </c>
      <c r="E106" s="231">
        <v>51723</v>
      </c>
      <c r="F106" s="208"/>
      <c r="G106" s="251" t="s">
        <v>3088</v>
      </c>
      <c r="H106" s="2" t="s">
        <v>2687</v>
      </c>
      <c r="I106" s="3"/>
      <c r="J106" s="3"/>
    </row>
    <row r="107" spans="1:10" outlineLevel="2" x14ac:dyDescent="0.2">
      <c r="A107" s="7" t="s">
        <v>2597</v>
      </c>
      <c r="B107" s="7" t="s">
        <v>2598</v>
      </c>
      <c r="C107" s="149" t="s">
        <v>1469</v>
      </c>
      <c r="D107" s="255" t="s">
        <v>2659</v>
      </c>
      <c r="E107" s="231">
        <v>54186</v>
      </c>
      <c r="F107" s="207"/>
      <c r="G107" s="251" t="s">
        <v>3088</v>
      </c>
      <c r="H107" s="2" t="s">
        <v>2687</v>
      </c>
      <c r="I107" s="251"/>
      <c r="J107" s="251"/>
    </row>
    <row r="108" spans="1:10" outlineLevel="2" x14ac:dyDescent="0.2">
      <c r="A108" s="7" t="s">
        <v>2599</v>
      </c>
      <c r="B108" s="7" t="s">
        <v>2600</v>
      </c>
      <c r="C108" s="149" t="s">
        <v>1470</v>
      </c>
      <c r="D108" s="255" t="s">
        <v>2659</v>
      </c>
      <c r="E108" s="231">
        <v>48910</v>
      </c>
      <c r="F108" s="207"/>
      <c r="G108" s="251" t="s">
        <v>3088</v>
      </c>
      <c r="H108" s="2" t="s">
        <v>2687</v>
      </c>
      <c r="I108" s="2"/>
      <c r="J108" s="2"/>
    </row>
    <row r="109" spans="1:10" outlineLevel="2" x14ac:dyDescent="0.2">
      <c r="A109" s="7" t="s">
        <v>2601</v>
      </c>
      <c r="B109" s="7" t="s">
        <v>2602</v>
      </c>
      <c r="C109" s="149" t="s">
        <v>1471</v>
      </c>
      <c r="D109" s="255" t="s">
        <v>2659</v>
      </c>
      <c r="E109" s="231">
        <v>52133</v>
      </c>
      <c r="F109" s="207"/>
      <c r="G109" s="251" t="s">
        <v>3088</v>
      </c>
      <c r="H109" s="2" t="s">
        <v>2687</v>
      </c>
      <c r="I109" s="2"/>
      <c r="J109" s="2"/>
    </row>
    <row r="110" spans="1:10" outlineLevel="2" x14ac:dyDescent="0.2">
      <c r="A110" s="7" t="s">
        <v>2603</v>
      </c>
      <c r="B110" s="7" t="s">
        <v>2604</v>
      </c>
      <c r="C110" s="149" t="s">
        <v>37</v>
      </c>
      <c r="D110" s="255" t="s">
        <v>2659</v>
      </c>
      <c r="E110" s="231">
        <v>47930</v>
      </c>
      <c r="F110" s="207"/>
      <c r="G110" s="251" t="s">
        <v>3088</v>
      </c>
      <c r="H110" s="2" t="s">
        <v>2687</v>
      </c>
      <c r="I110" s="2"/>
      <c r="J110" s="2"/>
    </row>
    <row r="111" spans="1:10" outlineLevel="2" x14ac:dyDescent="0.2">
      <c r="A111" s="7" t="s">
        <v>2266</v>
      </c>
      <c r="B111" s="7" t="s">
        <v>2605</v>
      </c>
      <c r="C111" s="149" t="s">
        <v>1472</v>
      </c>
      <c r="D111" s="255" t="s">
        <v>2659</v>
      </c>
      <c r="E111" s="231">
        <v>55279</v>
      </c>
      <c r="F111" s="207"/>
      <c r="G111" s="251" t="s">
        <v>3088</v>
      </c>
      <c r="H111" s="2" t="s">
        <v>2687</v>
      </c>
      <c r="I111" s="2"/>
      <c r="J111" s="2"/>
    </row>
    <row r="112" spans="1:10" outlineLevel="2" x14ac:dyDescent="0.2">
      <c r="A112" s="7" t="s">
        <v>2537</v>
      </c>
      <c r="B112" s="7" t="s">
        <v>2606</v>
      </c>
      <c r="C112" s="149" t="s">
        <v>1473</v>
      </c>
      <c r="D112" s="255" t="s">
        <v>2659</v>
      </c>
      <c r="E112" s="230">
        <v>49035</v>
      </c>
      <c r="F112" s="207"/>
      <c r="G112" s="251" t="s">
        <v>3088</v>
      </c>
      <c r="H112" s="2" t="s">
        <v>2687</v>
      </c>
      <c r="I112" s="2"/>
      <c r="J112" s="2"/>
    </row>
    <row r="113" spans="1:10" outlineLevel="2" x14ac:dyDescent="0.2">
      <c r="A113" s="7" t="s">
        <v>2607</v>
      </c>
      <c r="B113" s="7" t="s">
        <v>2608</v>
      </c>
      <c r="C113" s="149" t="s">
        <v>1474</v>
      </c>
      <c r="D113" s="255" t="s">
        <v>2659</v>
      </c>
      <c r="E113" s="230">
        <v>56224</v>
      </c>
      <c r="F113" s="207"/>
      <c r="G113" s="251" t="s">
        <v>3088</v>
      </c>
      <c r="H113" s="2" t="s">
        <v>2687</v>
      </c>
      <c r="I113" s="2"/>
      <c r="J113" s="2"/>
    </row>
    <row r="114" spans="1:10" outlineLevel="2" x14ac:dyDescent="0.2">
      <c r="A114" s="7" t="s">
        <v>2609</v>
      </c>
      <c r="B114" s="7" t="s">
        <v>2358</v>
      </c>
      <c r="C114" s="149" t="s">
        <v>654</v>
      </c>
      <c r="D114" s="255" t="s">
        <v>2659</v>
      </c>
      <c r="E114" s="231">
        <v>45262</v>
      </c>
      <c r="F114" s="207"/>
      <c r="G114" s="251" t="s">
        <v>3088</v>
      </c>
      <c r="H114" s="2" t="s">
        <v>2687</v>
      </c>
      <c r="I114" s="2"/>
      <c r="J114" s="2"/>
    </row>
    <row r="115" spans="1:10" outlineLevel="2" x14ac:dyDescent="0.2">
      <c r="A115" s="7" t="s">
        <v>2480</v>
      </c>
      <c r="B115" s="7" t="s">
        <v>2481</v>
      </c>
      <c r="C115" s="147" t="s">
        <v>1127</v>
      </c>
      <c r="D115" s="255" t="s">
        <v>2659</v>
      </c>
      <c r="E115" s="231">
        <v>55270</v>
      </c>
      <c r="F115" s="207"/>
      <c r="G115" s="251" t="s">
        <v>3088</v>
      </c>
      <c r="H115" s="2" t="s">
        <v>2687</v>
      </c>
      <c r="I115" s="2"/>
      <c r="J115" s="2"/>
    </row>
    <row r="116" spans="1:10" outlineLevel="2" x14ac:dyDescent="0.2">
      <c r="A116" s="7" t="s">
        <v>2610</v>
      </c>
      <c r="B116" s="7" t="s">
        <v>2611</v>
      </c>
      <c r="C116" s="149" t="s">
        <v>77</v>
      </c>
      <c r="D116" s="255" t="s">
        <v>2659</v>
      </c>
      <c r="E116" s="230">
        <v>56567</v>
      </c>
      <c r="F116" s="207"/>
      <c r="G116" s="251" t="s">
        <v>3088</v>
      </c>
      <c r="H116" s="2" t="s">
        <v>2687</v>
      </c>
      <c r="I116" s="2"/>
      <c r="J116" s="2"/>
    </row>
    <row r="117" spans="1:10" outlineLevel="2" x14ac:dyDescent="0.2">
      <c r="A117" s="7" t="s">
        <v>2614</v>
      </c>
      <c r="B117" s="7" t="s">
        <v>2263</v>
      </c>
      <c r="C117" s="149" t="s">
        <v>1476</v>
      </c>
      <c r="D117" s="255" t="s">
        <v>2659</v>
      </c>
      <c r="E117" s="231">
        <v>55224</v>
      </c>
      <c r="F117" s="207"/>
      <c r="G117" s="251" t="s">
        <v>3088</v>
      </c>
      <c r="H117" s="2" t="s">
        <v>2687</v>
      </c>
      <c r="I117" s="2"/>
      <c r="J117" s="2"/>
    </row>
    <row r="118" spans="1:10" outlineLevel="2" x14ac:dyDescent="0.2">
      <c r="A118" s="7" t="s">
        <v>2324</v>
      </c>
      <c r="B118" s="7" t="s">
        <v>2616</v>
      </c>
      <c r="C118" s="149" t="s">
        <v>1477</v>
      </c>
      <c r="D118" s="255" t="s">
        <v>2659</v>
      </c>
      <c r="E118" s="230">
        <v>61915</v>
      </c>
      <c r="F118" s="207"/>
      <c r="G118" s="251" t="s">
        <v>3088</v>
      </c>
      <c r="H118" s="2" t="s">
        <v>2687</v>
      </c>
      <c r="I118" s="2"/>
      <c r="J118" s="2"/>
    </row>
    <row r="119" spans="1:10" outlineLevel="2" x14ac:dyDescent="0.2">
      <c r="A119" s="7" t="s">
        <v>2276</v>
      </c>
      <c r="B119" s="7" t="s">
        <v>2617</v>
      </c>
      <c r="C119" s="149" t="s">
        <v>655</v>
      </c>
      <c r="D119" s="255" t="s">
        <v>2659</v>
      </c>
      <c r="E119" s="231">
        <v>47372</v>
      </c>
      <c r="F119" s="207"/>
      <c r="G119" s="251" t="s">
        <v>3088</v>
      </c>
      <c r="H119" s="2" t="s">
        <v>2687</v>
      </c>
      <c r="I119" s="2"/>
      <c r="J119" s="2"/>
    </row>
    <row r="120" spans="1:10" outlineLevel="2" x14ac:dyDescent="0.2">
      <c r="A120" s="7" t="s">
        <v>2499</v>
      </c>
      <c r="B120" s="7" t="s">
        <v>2364</v>
      </c>
      <c r="C120" s="149" t="s">
        <v>1545</v>
      </c>
      <c r="D120" s="255" t="s">
        <v>2659</v>
      </c>
      <c r="E120" s="231">
        <v>47345.04</v>
      </c>
      <c r="F120" s="207"/>
      <c r="G120" s="251" t="s">
        <v>3088</v>
      </c>
      <c r="H120" s="2" t="s">
        <v>2687</v>
      </c>
      <c r="I120" s="2"/>
      <c r="J120" s="2"/>
    </row>
    <row r="121" spans="1:10" outlineLevel="2" x14ac:dyDescent="0.2">
      <c r="A121" s="7" t="s">
        <v>2622</v>
      </c>
      <c r="B121" s="7" t="s">
        <v>2510</v>
      </c>
      <c r="C121" s="149" t="s">
        <v>1270</v>
      </c>
      <c r="D121" s="255" t="s">
        <v>2659</v>
      </c>
      <c r="E121" s="231">
        <v>45932</v>
      </c>
      <c r="F121" s="232"/>
      <c r="G121" s="251" t="s">
        <v>3088</v>
      </c>
      <c r="H121" s="2" t="s">
        <v>2687</v>
      </c>
      <c r="I121" s="7"/>
      <c r="J121" s="7"/>
    </row>
    <row r="122" spans="1:10" outlineLevel="2" x14ac:dyDescent="0.2">
      <c r="A122" s="7" t="s">
        <v>2357</v>
      </c>
      <c r="B122" s="7" t="s">
        <v>2623</v>
      </c>
      <c r="C122" s="149" t="s">
        <v>79</v>
      </c>
      <c r="D122" s="255" t="s">
        <v>2659</v>
      </c>
      <c r="E122" s="230">
        <v>45262</v>
      </c>
      <c r="F122" s="207"/>
      <c r="G122" s="251" t="s">
        <v>3088</v>
      </c>
      <c r="H122" s="2" t="s">
        <v>2687</v>
      </c>
      <c r="I122" s="2"/>
      <c r="J122" s="2"/>
    </row>
    <row r="123" spans="1:10" outlineLevel="2" x14ac:dyDescent="0.2">
      <c r="A123" s="7" t="s">
        <v>2624</v>
      </c>
      <c r="B123" s="7" t="s">
        <v>2625</v>
      </c>
      <c r="C123" s="149" t="s">
        <v>2023</v>
      </c>
      <c r="D123" s="255" t="s">
        <v>2659</v>
      </c>
      <c r="E123" s="231">
        <v>44179</v>
      </c>
      <c r="F123" s="207"/>
      <c r="G123" s="251" t="s">
        <v>3088</v>
      </c>
      <c r="H123" s="2" t="s">
        <v>2687</v>
      </c>
      <c r="I123" s="2"/>
      <c r="J123" s="2"/>
    </row>
    <row r="124" spans="1:10" outlineLevel="2" x14ac:dyDescent="0.2">
      <c r="A124" s="7" t="s">
        <v>2363</v>
      </c>
      <c r="B124" s="7" t="s">
        <v>2380</v>
      </c>
      <c r="C124" s="149" t="s">
        <v>656</v>
      </c>
      <c r="D124" s="255" t="s">
        <v>2659</v>
      </c>
      <c r="E124" s="231">
        <v>44592</v>
      </c>
      <c r="F124" s="207"/>
      <c r="G124" s="251" t="s">
        <v>3088</v>
      </c>
      <c r="H124" s="2" t="s">
        <v>2687</v>
      </c>
      <c r="I124" s="2"/>
      <c r="J124" s="2"/>
    </row>
    <row r="125" spans="1:10" outlineLevel="2" x14ac:dyDescent="0.2">
      <c r="A125" s="7" t="s">
        <v>2626</v>
      </c>
      <c r="B125" s="7" t="s">
        <v>2627</v>
      </c>
      <c r="C125" s="149" t="s">
        <v>2544</v>
      </c>
      <c r="D125" s="255" t="s">
        <v>2659</v>
      </c>
      <c r="E125" s="230">
        <v>46412</v>
      </c>
      <c r="F125" s="207"/>
      <c r="G125" s="251" t="s">
        <v>3088</v>
      </c>
      <c r="H125" s="2" t="s">
        <v>2687</v>
      </c>
      <c r="I125" s="2"/>
      <c r="J125" s="2"/>
    </row>
    <row r="126" spans="1:10" outlineLevel="2" x14ac:dyDescent="0.2">
      <c r="A126" s="7" t="s">
        <v>2633</v>
      </c>
      <c r="B126" s="7" t="s">
        <v>2634</v>
      </c>
      <c r="C126" s="149" t="s">
        <v>658</v>
      </c>
      <c r="D126" s="255" t="s">
        <v>2659</v>
      </c>
      <c r="E126" s="231">
        <v>45387</v>
      </c>
      <c r="F126" s="208"/>
      <c r="G126" s="251" t="s">
        <v>3088</v>
      </c>
      <c r="H126" s="2" t="s">
        <v>2687</v>
      </c>
      <c r="I126" s="3"/>
      <c r="J126" s="3"/>
    </row>
    <row r="127" spans="1:10" outlineLevel="2" x14ac:dyDescent="0.2">
      <c r="A127" s="7" t="s">
        <v>2842</v>
      </c>
      <c r="B127" s="7" t="s">
        <v>2523</v>
      </c>
      <c r="C127" s="149" t="s">
        <v>2838</v>
      </c>
      <c r="D127" s="255" t="s">
        <v>2659</v>
      </c>
      <c r="E127" s="275">
        <v>44592</v>
      </c>
      <c r="F127" s="207"/>
      <c r="G127" s="251" t="s">
        <v>3088</v>
      </c>
      <c r="H127" s="2" t="s">
        <v>2687</v>
      </c>
      <c r="I127" s="2"/>
      <c r="J127" s="2"/>
    </row>
    <row r="128" spans="1:10" outlineLevel="2" x14ac:dyDescent="0.2">
      <c r="A128" s="7" t="s">
        <v>2426</v>
      </c>
      <c r="B128" s="7" t="s">
        <v>2636</v>
      </c>
      <c r="C128" s="149" t="s">
        <v>1322</v>
      </c>
      <c r="D128" s="255" t="s">
        <v>2659</v>
      </c>
      <c r="E128" s="231">
        <v>48332</v>
      </c>
      <c r="F128" s="208"/>
      <c r="G128" s="251" t="s">
        <v>3088</v>
      </c>
      <c r="H128" s="2" t="s">
        <v>2687</v>
      </c>
      <c r="I128" s="3"/>
      <c r="J128" s="3"/>
    </row>
    <row r="129" spans="1:10" outlineLevel="2" x14ac:dyDescent="0.2">
      <c r="A129" s="7" t="s">
        <v>2637</v>
      </c>
      <c r="B129" s="7" t="s">
        <v>2638</v>
      </c>
      <c r="C129" s="149" t="s">
        <v>1323</v>
      </c>
      <c r="D129" s="255" t="s">
        <v>2659</v>
      </c>
      <c r="E129" s="231">
        <v>46892</v>
      </c>
      <c r="F129" s="208"/>
      <c r="G129" s="251" t="s">
        <v>3088</v>
      </c>
      <c r="H129" s="2" t="s">
        <v>2687</v>
      </c>
      <c r="I129" s="3"/>
      <c r="J129" s="3"/>
    </row>
    <row r="130" spans="1:10" outlineLevel="2" x14ac:dyDescent="0.2">
      <c r="A130" s="7" t="s">
        <v>2639</v>
      </c>
      <c r="B130" s="7" t="s">
        <v>2640</v>
      </c>
      <c r="C130" s="149" t="s">
        <v>1324</v>
      </c>
      <c r="D130" s="255" t="s">
        <v>2659</v>
      </c>
      <c r="E130" s="231">
        <v>53372</v>
      </c>
      <c r="F130" s="207"/>
      <c r="G130" s="251" t="s">
        <v>3088</v>
      </c>
      <c r="H130" s="2" t="s">
        <v>2687</v>
      </c>
      <c r="I130" s="2"/>
      <c r="J130" s="2"/>
    </row>
    <row r="131" spans="1:10" outlineLevel="2" x14ac:dyDescent="0.2">
      <c r="A131" s="7" t="s">
        <v>2641</v>
      </c>
      <c r="B131" s="7" t="s">
        <v>2642</v>
      </c>
      <c r="C131" s="149" t="s">
        <v>1326</v>
      </c>
      <c r="D131" s="255" t="s">
        <v>2659</v>
      </c>
      <c r="E131" s="230">
        <v>51368</v>
      </c>
      <c r="F131" s="207"/>
      <c r="G131" s="251" t="s">
        <v>3088</v>
      </c>
      <c r="H131" s="2" t="s">
        <v>2687</v>
      </c>
      <c r="I131" s="2"/>
      <c r="J131" s="2"/>
    </row>
    <row r="132" spans="1:10" outlineLevel="2" x14ac:dyDescent="0.2">
      <c r="A132" s="7" t="s">
        <v>2645</v>
      </c>
      <c r="B132" s="7" t="s">
        <v>2646</v>
      </c>
      <c r="C132" s="149" t="s">
        <v>659</v>
      </c>
      <c r="D132" s="255" t="s">
        <v>2659</v>
      </c>
      <c r="E132" s="231">
        <v>45637</v>
      </c>
      <c r="F132" s="207"/>
      <c r="G132" s="251" t="s">
        <v>3088</v>
      </c>
      <c r="H132" s="2" t="s">
        <v>2687</v>
      </c>
      <c r="I132" s="2"/>
      <c r="J132" s="2"/>
    </row>
    <row r="133" spans="1:10" outlineLevel="2" x14ac:dyDescent="0.2">
      <c r="A133" s="7" t="s">
        <v>2649</v>
      </c>
      <c r="B133" s="7" t="s">
        <v>2650</v>
      </c>
      <c r="C133" s="149" t="s">
        <v>1328</v>
      </c>
      <c r="D133" s="255" t="s">
        <v>2659</v>
      </c>
      <c r="E133" s="231">
        <v>50783</v>
      </c>
      <c r="F133" s="208"/>
      <c r="G133" s="251" t="s">
        <v>3088</v>
      </c>
      <c r="H133" s="2" t="s">
        <v>2687</v>
      </c>
      <c r="I133" s="3"/>
      <c r="J133" s="3"/>
    </row>
    <row r="134" spans="1:10" outlineLevel="2" x14ac:dyDescent="0.2">
      <c r="A134" s="7" t="s">
        <v>2652</v>
      </c>
      <c r="B134" s="7" t="s">
        <v>2651</v>
      </c>
      <c r="C134" s="149" t="s">
        <v>1330</v>
      </c>
      <c r="D134" s="255" t="s">
        <v>2659</v>
      </c>
      <c r="E134" s="231">
        <v>51598</v>
      </c>
      <c r="F134" s="208"/>
      <c r="G134" s="251" t="s">
        <v>3088</v>
      </c>
      <c r="H134" s="2" t="s">
        <v>2687</v>
      </c>
      <c r="I134" s="3"/>
      <c r="J134" s="3"/>
    </row>
    <row r="135" spans="1:10" outlineLevel="2" x14ac:dyDescent="0.2">
      <c r="A135" s="7" t="s">
        <v>2653</v>
      </c>
      <c r="B135" s="7" t="s">
        <v>2654</v>
      </c>
      <c r="C135" s="149" t="s">
        <v>1331</v>
      </c>
      <c r="D135" s="255" t="s">
        <v>2659</v>
      </c>
      <c r="E135" s="230">
        <v>61790</v>
      </c>
      <c r="F135" s="207"/>
      <c r="G135" s="251" t="s">
        <v>3088</v>
      </c>
      <c r="H135" s="2" t="s">
        <v>2687</v>
      </c>
      <c r="I135" s="2"/>
      <c r="J135" s="2"/>
    </row>
    <row r="136" spans="1:10" outlineLevel="2" x14ac:dyDescent="0.2">
      <c r="A136" s="7" t="s">
        <v>2266</v>
      </c>
      <c r="B136" s="7" t="s">
        <v>2655</v>
      </c>
      <c r="C136" s="149" t="s">
        <v>1286</v>
      </c>
      <c r="D136" s="255" t="s">
        <v>2659</v>
      </c>
      <c r="E136" s="230">
        <v>48410</v>
      </c>
      <c r="F136" s="207"/>
      <c r="G136" s="251" t="s">
        <v>3088</v>
      </c>
      <c r="H136" s="2" t="s">
        <v>2687</v>
      </c>
      <c r="I136" s="2"/>
      <c r="J136" s="2"/>
    </row>
    <row r="137" spans="1:10" outlineLevel="2" x14ac:dyDescent="0.2">
      <c r="A137" s="7" t="s">
        <v>2416</v>
      </c>
      <c r="B137" s="7" t="s">
        <v>2417</v>
      </c>
      <c r="C137" s="149" t="s">
        <v>2211</v>
      </c>
      <c r="D137" s="255" t="s">
        <v>2658</v>
      </c>
      <c r="E137" s="231">
        <v>40203.96</v>
      </c>
      <c r="F137" s="207"/>
      <c r="G137" s="251" t="s">
        <v>3088</v>
      </c>
      <c r="H137" s="2" t="s">
        <v>2687</v>
      </c>
      <c r="I137" s="2"/>
      <c r="J137" s="2"/>
    </row>
    <row r="138" spans="1:10" outlineLevel="2" x14ac:dyDescent="0.2">
      <c r="A138" s="7" t="s">
        <v>2422</v>
      </c>
      <c r="B138" s="7" t="s">
        <v>2423</v>
      </c>
      <c r="C138" s="152" t="s">
        <v>227</v>
      </c>
      <c r="D138" s="255" t="s">
        <v>2661</v>
      </c>
      <c r="E138" s="206">
        <v>21134.04</v>
      </c>
      <c r="F138" s="207"/>
      <c r="G138" s="251" t="s">
        <v>3088</v>
      </c>
      <c r="H138" s="2" t="s">
        <v>2687</v>
      </c>
      <c r="I138" s="2"/>
      <c r="J138" s="2"/>
    </row>
    <row r="139" spans="1:10" outlineLevel="2" x14ac:dyDescent="0.2">
      <c r="A139" s="7" t="s">
        <v>2283</v>
      </c>
      <c r="B139" s="7" t="s">
        <v>2477</v>
      </c>
      <c r="C139" s="149" t="s">
        <v>2200</v>
      </c>
      <c r="D139" s="255" t="s">
        <v>2658</v>
      </c>
      <c r="E139" s="231">
        <v>42884.01</v>
      </c>
      <c r="F139" s="207"/>
      <c r="G139" s="251" t="s">
        <v>3088</v>
      </c>
      <c r="H139" s="2" t="s">
        <v>2687</v>
      </c>
      <c r="I139" s="2"/>
      <c r="J139" s="2"/>
    </row>
    <row r="140" spans="1:10" outlineLevel="2" x14ac:dyDescent="0.2">
      <c r="A140" s="7" t="s">
        <v>2440</v>
      </c>
      <c r="B140" s="7" t="s">
        <v>2441</v>
      </c>
      <c r="C140" s="149" t="s">
        <v>2414</v>
      </c>
      <c r="D140" s="255" t="s">
        <v>2658</v>
      </c>
      <c r="E140" s="231">
        <v>54123</v>
      </c>
      <c r="F140" s="207"/>
      <c r="G140" s="251" t="s">
        <v>3088</v>
      </c>
      <c r="H140" s="2" t="s">
        <v>2687</v>
      </c>
      <c r="I140" s="2" t="s">
        <v>2797</v>
      </c>
      <c r="J140" s="3"/>
    </row>
    <row r="141" spans="1:10" outlineLevel="2" x14ac:dyDescent="0.2">
      <c r="A141" s="7" t="s">
        <v>2443</v>
      </c>
      <c r="B141" s="7" t="s">
        <v>2444</v>
      </c>
      <c r="C141" s="147" t="s">
        <v>4</v>
      </c>
      <c r="D141" s="255" t="s">
        <v>2658</v>
      </c>
      <c r="E141" s="230">
        <v>43922.04</v>
      </c>
      <c r="F141" s="207"/>
      <c r="G141" s="251" t="s">
        <v>3088</v>
      </c>
      <c r="H141" s="2" t="s">
        <v>2687</v>
      </c>
      <c r="I141" s="7"/>
      <c r="J141" s="7"/>
    </row>
    <row r="142" spans="1:10" outlineLevel="2" x14ac:dyDescent="0.2">
      <c r="A142" s="7" t="s">
        <v>2446</v>
      </c>
      <c r="B142" s="7" t="s">
        <v>2447</v>
      </c>
      <c r="C142" s="147" t="s">
        <v>7</v>
      </c>
      <c r="D142" s="255" t="s">
        <v>2658</v>
      </c>
      <c r="E142" s="230">
        <v>53542</v>
      </c>
      <c r="F142" s="207"/>
      <c r="G142" s="251" t="s">
        <v>3088</v>
      </c>
      <c r="H142" s="2" t="s">
        <v>2687</v>
      </c>
      <c r="I142" s="3"/>
      <c r="J142" s="3"/>
    </row>
    <row r="143" spans="1:10" outlineLevel="2" x14ac:dyDescent="0.2">
      <c r="A143" s="7" t="s">
        <v>2452</v>
      </c>
      <c r="B143" s="7" t="s">
        <v>2453</v>
      </c>
      <c r="C143" s="147" t="s">
        <v>1353</v>
      </c>
      <c r="D143" s="255" t="s">
        <v>2658</v>
      </c>
      <c r="E143" s="231">
        <v>51883</v>
      </c>
      <c r="F143" s="207"/>
      <c r="G143" s="251" t="s">
        <v>3088</v>
      </c>
      <c r="H143" s="2" t="s">
        <v>2687</v>
      </c>
      <c r="I143" s="3"/>
      <c r="J143" s="3"/>
    </row>
    <row r="144" spans="1:10" outlineLevel="2" x14ac:dyDescent="0.2">
      <c r="A144" s="7" t="s">
        <v>2992</v>
      </c>
      <c r="B144" s="7" t="s">
        <v>2993</v>
      </c>
      <c r="C144" s="149" t="s">
        <v>2994</v>
      </c>
      <c r="D144" s="255" t="s">
        <v>2658</v>
      </c>
      <c r="E144" s="206">
        <v>38193.96</v>
      </c>
      <c r="F144" s="208"/>
      <c r="G144" s="251" t="s">
        <v>3088</v>
      </c>
      <c r="H144" s="2" t="s">
        <v>2687</v>
      </c>
      <c r="I144" s="3"/>
      <c r="J144" s="3"/>
    </row>
    <row r="145" spans="1:10" outlineLevel="2" x14ac:dyDescent="0.2">
      <c r="A145" s="7" t="s">
        <v>2465</v>
      </c>
      <c r="B145" s="7" t="s">
        <v>2466</v>
      </c>
      <c r="C145" s="147" t="s">
        <v>786</v>
      </c>
      <c r="D145" s="255" t="s">
        <v>2658</v>
      </c>
      <c r="E145" s="231">
        <v>42582</v>
      </c>
      <c r="F145" s="207"/>
      <c r="G145" s="251" t="s">
        <v>3088</v>
      </c>
      <c r="H145" s="2" t="s">
        <v>2687</v>
      </c>
      <c r="I145" s="2"/>
      <c r="J145" s="2"/>
    </row>
    <row r="146" spans="1:10" outlineLevel="2" x14ac:dyDescent="0.2">
      <c r="A146" s="7" t="s">
        <v>2475</v>
      </c>
      <c r="B146" s="7" t="s">
        <v>2476</v>
      </c>
      <c r="C146" s="147" t="s">
        <v>427</v>
      </c>
      <c r="D146" s="255" t="s">
        <v>2658</v>
      </c>
      <c r="E146" s="231">
        <v>51814</v>
      </c>
      <c r="F146" s="207"/>
      <c r="G146" s="251" t="s">
        <v>3088</v>
      </c>
      <c r="H146" s="2" t="s">
        <v>2687</v>
      </c>
      <c r="I146" s="2"/>
      <c r="J146" s="2"/>
    </row>
    <row r="147" spans="1:10" outlineLevel="2" x14ac:dyDescent="0.2">
      <c r="A147" s="7" t="s">
        <v>3042</v>
      </c>
      <c r="B147" s="7" t="s">
        <v>3043</v>
      </c>
      <c r="C147" s="149" t="s">
        <v>3044</v>
      </c>
      <c r="D147" s="255" t="s">
        <v>2658</v>
      </c>
      <c r="E147" s="206">
        <v>37389.599999999999</v>
      </c>
      <c r="F147" s="207"/>
      <c r="G147" s="251" t="s">
        <v>3088</v>
      </c>
      <c r="H147" s="2" t="s">
        <v>2687</v>
      </c>
      <c r="I147" s="2"/>
      <c r="J147" s="2"/>
    </row>
    <row r="148" spans="1:10" outlineLevel="2" x14ac:dyDescent="0.2">
      <c r="A148" s="7" t="s">
        <v>2482</v>
      </c>
      <c r="B148" s="7" t="s">
        <v>2257</v>
      </c>
      <c r="C148" s="202" t="s">
        <v>2214</v>
      </c>
      <c r="D148" s="255" t="s">
        <v>2661</v>
      </c>
      <c r="E148" s="231">
        <v>53413.32</v>
      </c>
      <c r="F148" s="207"/>
      <c r="G148" s="251" t="s">
        <v>3088</v>
      </c>
      <c r="H148" s="2" t="s">
        <v>2687</v>
      </c>
      <c r="I148" s="2"/>
      <c r="J148" s="2"/>
    </row>
    <row r="149" spans="1:10" outlineLevel="2" x14ac:dyDescent="0.2">
      <c r="A149" s="7" t="s">
        <v>2791</v>
      </c>
      <c r="B149" s="7" t="s">
        <v>2257</v>
      </c>
      <c r="C149" s="147" t="s">
        <v>2763</v>
      </c>
      <c r="D149" s="255" t="s">
        <v>2658</v>
      </c>
      <c r="E149" s="231">
        <v>39690.239999999998</v>
      </c>
      <c r="F149" s="207"/>
      <c r="G149" s="251" t="s">
        <v>3088</v>
      </c>
      <c r="H149" s="2" t="s">
        <v>2687</v>
      </c>
      <c r="I149" s="2"/>
      <c r="J149" s="2"/>
    </row>
    <row r="150" spans="1:10" outlineLevel="2" x14ac:dyDescent="0.2">
      <c r="A150" s="7" t="s">
        <v>2226</v>
      </c>
      <c r="B150" s="7" t="s">
        <v>2491</v>
      </c>
      <c r="C150" s="147" t="s">
        <v>1189</v>
      </c>
      <c r="D150" s="255" t="s">
        <v>2658</v>
      </c>
      <c r="E150" s="231">
        <v>42582</v>
      </c>
      <c r="F150" s="207"/>
      <c r="G150" s="251" t="s">
        <v>3088</v>
      </c>
      <c r="H150" s="2" t="s">
        <v>2687</v>
      </c>
      <c r="I150" s="2"/>
      <c r="J150" s="2"/>
    </row>
    <row r="151" spans="1:10" outlineLevel="2" x14ac:dyDescent="0.2">
      <c r="A151" s="7" t="s">
        <v>2509</v>
      </c>
      <c r="B151" s="7" t="s">
        <v>2510</v>
      </c>
      <c r="C151" s="147" t="s">
        <v>2022</v>
      </c>
      <c r="D151" s="255" t="s">
        <v>2658</v>
      </c>
      <c r="E151" s="231">
        <v>53460.959999999999</v>
      </c>
      <c r="F151" s="207"/>
      <c r="G151" s="251" t="s">
        <v>3088</v>
      </c>
      <c r="H151" s="2" t="s">
        <v>2687</v>
      </c>
      <c r="I151" s="2"/>
      <c r="J151" s="2"/>
    </row>
    <row r="152" spans="1:10" outlineLevel="2" x14ac:dyDescent="0.2">
      <c r="A152" s="7" t="s">
        <v>2436</v>
      </c>
      <c r="B152" s="7" t="s">
        <v>2380</v>
      </c>
      <c r="C152" s="147" t="s">
        <v>2778</v>
      </c>
      <c r="D152" s="255" t="s">
        <v>2658</v>
      </c>
      <c r="E152" s="231">
        <v>42893.04</v>
      </c>
      <c r="F152" s="207"/>
      <c r="G152" s="251" t="s">
        <v>3088</v>
      </c>
      <c r="H152" s="2" t="s">
        <v>2687</v>
      </c>
      <c r="I152" s="2"/>
      <c r="J152" s="2"/>
    </row>
    <row r="153" spans="1:10" outlineLevel="2" x14ac:dyDescent="0.2">
      <c r="A153" s="7" t="s">
        <v>2782</v>
      </c>
      <c r="B153" s="7" t="s">
        <v>2783</v>
      </c>
      <c r="C153" s="203" t="s">
        <v>2765</v>
      </c>
      <c r="D153" s="255" t="s">
        <v>2658</v>
      </c>
      <c r="E153" s="231">
        <v>19938.96</v>
      </c>
      <c r="F153" s="207"/>
      <c r="G153" s="251" t="s">
        <v>3088</v>
      </c>
      <c r="H153" s="2" t="s">
        <v>2687</v>
      </c>
      <c r="I153" s="3"/>
      <c r="J153" s="2"/>
    </row>
    <row r="154" spans="1:10" outlineLevel="2" x14ac:dyDescent="0.2">
      <c r="A154" s="7" t="s">
        <v>2515</v>
      </c>
      <c r="B154" s="7" t="s">
        <v>2516</v>
      </c>
      <c r="C154" s="202" t="s">
        <v>604</v>
      </c>
      <c r="D154" s="255" t="s">
        <v>2661</v>
      </c>
      <c r="E154" s="231">
        <v>42213.96</v>
      </c>
      <c r="F154" s="207"/>
      <c r="G154" s="251" t="s">
        <v>3088</v>
      </c>
      <c r="H154" s="2" t="s">
        <v>2687</v>
      </c>
      <c r="I154" s="2"/>
      <c r="J154" s="2"/>
    </row>
    <row r="155" spans="1:10" outlineLevel="2" x14ac:dyDescent="0.2">
      <c r="A155" s="7" t="s">
        <v>2518</v>
      </c>
      <c r="B155" s="7" t="s">
        <v>2519</v>
      </c>
      <c r="C155" s="147" t="s">
        <v>1283</v>
      </c>
      <c r="D155" s="255" t="s">
        <v>2658</v>
      </c>
      <c r="E155" s="230">
        <v>45261.96</v>
      </c>
      <c r="F155" s="207"/>
      <c r="G155" s="251" t="s">
        <v>3088</v>
      </c>
      <c r="H155" s="2" t="s">
        <v>2687</v>
      </c>
      <c r="I155" s="2"/>
      <c r="J155" s="2"/>
    </row>
    <row r="156" spans="1:10" outlineLevel="2" x14ac:dyDescent="0.2">
      <c r="A156" s="7" t="s">
        <v>2520</v>
      </c>
      <c r="B156" s="7" t="s">
        <v>2222</v>
      </c>
      <c r="C156" s="152" t="s">
        <v>787</v>
      </c>
      <c r="D156" s="255" t="s">
        <v>2661</v>
      </c>
      <c r="E156" s="231">
        <v>16349.62</v>
      </c>
      <c r="F156" s="207"/>
      <c r="G156" s="251" t="s">
        <v>3088</v>
      </c>
      <c r="H156" s="2" t="s">
        <v>2687</v>
      </c>
      <c r="I156" s="2"/>
      <c r="J156" s="2"/>
    </row>
    <row r="157" spans="1:10" outlineLevel="2" x14ac:dyDescent="0.2">
      <c r="A157" s="7" t="s">
        <v>2531</v>
      </c>
      <c r="B157" s="7" t="s">
        <v>2532</v>
      </c>
      <c r="C157" s="149" t="s">
        <v>1285</v>
      </c>
      <c r="D157" s="255" t="s">
        <v>2658</v>
      </c>
      <c r="E157" s="230">
        <v>44592.03</v>
      </c>
      <c r="F157" s="207"/>
      <c r="G157" s="251" t="s">
        <v>3088</v>
      </c>
      <c r="H157" s="2" t="s">
        <v>2687</v>
      </c>
      <c r="I157" s="3"/>
      <c r="J157" s="3"/>
    </row>
    <row r="158" spans="1:10" outlineLevel="2" x14ac:dyDescent="0.2">
      <c r="A158" s="7" t="s">
        <v>2403</v>
      </c>
      <c r="B158" s="7" t="s">
        <v>2319</v>
      </c>
      <c r="C158" s="147" t="s">
        <v>2212</v>
      </c>
      <c r="D158" s="255" t="s">
        <v>2658</v>
      </c>
      <c r="E158" s="231">
        <v>40203.96</v>
      </c>
      <c r="F158" s="207"/>
      <c r="G158" s="251" t="s">
        <v>3088</v>
      </c>
      <c r="H158" s="2" t="s">
        <v>2687</v>
      </c>
      <c r="I158" s="3" t="s">
        <v>2799</v>
      </c>
      <c r="J158" s="3"/>
    </row>
    <row r="159" spans="1:10" outlineLevel="2" x14ac:dyDescent="0.2">
      <c r="A159" s="7" t="s">
        <v>2539</v>
      </c>
      <c r="B159" s="7" t="s">
        <v>2540</v>
      </c>
      <c r="C159" s="147" t="s">
        <v>429</v>
      </c>
      <c r="D159" s="255" t="s">
        <v>2658</v>
      </c>
      <c r="E159" s="230">
        <v>43252</v>
      </c>
      <c r="F159" s="207"/>
      <c r="G159" s="251" t="s">
        <v>3088</v>
      </c>
      <c r="H159" s="2" t="s">
        <v>2687</v>
      </c>
      <c r="I159" s="3"/>
      <c r="J159" s="3"/>
    </row>
    <row r="160" spans="1:10" outlineLevel="2" x14ac:dyDescent="0.2">
      <c r="A160" s="7" t="s">
        <v>2844</v>
      </c>
      <c r="B160" s="7" t="s">
        <v>2837</v>
      </c>
      <c r="C160" s="149" t="s">
        <v>2843</v>
      </c>
      <c r="D160" s="255" t="s">
        <v>2658</v>
      </c>
      <c r="E160" s="206">
        <v>41544</v>
      </c>
      <c r="F160" s="207"/>
      <c r="G160" s="251" t="s">
        <v>3088</v>
      </c>
      <c r="H160" s="2" t="s">
        <v>2687</v>
      </c>
      <c r="I160" s="2"/>
      <c r="J160" s="2"/>
    </row>
    <row r="161" spans="1:10" outlineLevel="2" x14ac:dyDescent="0.2">
      <c r="A161" s="7" t="s">
        <v>2785</v>
      </c>
      <c r="B161" s="7" t="s">
        <v>2786</v>
      </c>
      <c r="C161" s="147" t="s">
        <v>2774</v>
      </c>
      <c r="D161" s="255" t="s">
        <v>2658</v>
      </c>
      <c r="E161" s="231">
        <v>43577.04</v>
      </c>
      <c r="F161" s="207"/>
      <c r="G161" s="251" t="s">
        <v>3088</v>
      </c>
      <c r="H161" s="7" t="s">
        <v>2764</v>
      </c>
      <c r="I161" s="2"/>
      <c r="J161" s="2"/>
    </row>
    <row r="162" spans="1:10" ht="15.75" outlineLevel="1" x14ac:dyDescent="0.25">
      <c r="A162" s="7"/>
      <c r="B162" s="7"/>
      <c r="C162" s="147"/>
      <c r="D162" s="255"/>
      <c r="E162" s="231">
        <f>SUBTOTAL(9,E75:E161)</f>
        <v>3980106.3</v>
      </c>
      <c r="F162" s="207"/>
      <c r="G162" s="341" t="s">
        <v>3104</v>
      </c>
      <c r="H162" s="7"/>
      <c r="I162" s="2"/>
      <c r="J162" s="2"/>
    </row>
    <row r="163" spans="1:10" outlineLevel="2" x14ac:dyDescent="0.2">
      <c r="A163" s="7" t="s">
        <v>3045</v>
      </c>
      <c r="B163" s="7" t="s">
        <v>3046</v>
      </c>
      <c r="C163" s="148" t="s">
        <v>3047</v>
      </c>
      <c r="D163" s="255" t="s">
        <v>2658</v>
      </c>
      <c r="E163" s="206">
        <v>51958</v>
      </c>
      <c r="F163" s="207"/>
      <c r="G163" s="251" t="s">
        <v>3089</v>
      </c>
      <c r="H163" s="3" t="s">
        <v>3037</v>
      </c>
      <c r="I163" s="2"/>
      <c r="J163" s="2"/>
    </row>
    <row r="164" spans="1:10" outlineLevel="2" x14ac:dyDescent="0.2">
      <c r="A164" s="7" t="s">
        <v>3034</v>
      </c>
      <c r="B164" s="7" t="s">
        <v>3035</v>
      </c>
      <c r="C164" s="205" t="s">
        <v>3036</v>
      </c>
      <c r="D164" s="255" t="s">
        <v>2662</v>
      </c>
      <c r="E164" s="206">
        <v>25169</v>
      </c>
      <c r="F164" s="207"/>
      <c r="G164" s="251" t="s">
        <v>3089</v>
      </c>
      <c r="H164" s="3" t="s">
        <v>3037</v>
      </c>
      <c r="I164" s="2"/>
      <c r="J164" s="2"/>
    </row>
    <row r="165" spans="1:10" outlineLevel="2" x14ac:dyDescent="0.2">
      <c r="A165" s="7" t="s">
        <v>2631</v>
      </c>
      <c r="B165" s="7" t="s">
        <v>2632</v>
      </c>
      <c r="C165" s="149" t="s">
        <v>81</v>
      </c>
      <c r="D165" s="255" t="s">
        <v>2659</v>
      </c>
      <c r="E165" s="231">
        <v>72500</v>
      </c>
      <c r="F165" s="208"/>
      <c r="G165" s="251" t="s">
        <v>3089</v>
      </c>
      <c r="H165" s="7" t="s">
        <v>2971</v>
      </c>
      <c r="I165" s="7" t="s">
        <v>2695</v>
      </c>
      <c r="J165" s="3"/>
    </row>
    <row r="166" spans="1:10" outlineLevel="2" x14ac:dyDescent="0.2">
      <c r="A166" s="7" t="s">
        <v>2882</v>
      </c>
      <c r="B166" s="7" t="s">
        <v>2883</v>
      </c>
      <c r="C166" s="274" t="s">
        <v>2801</v>
      </c>
      <c r="D166" s="255" t="s">
        <v>2662</v>
      </c>
      <c r="E166" s="231">
        <v>25169.040000000001</v>
      </c>
      <c r="F166" s="207"/>
      <c r="G166" s="251" t="s">
        <v>3089</v>
      </c>
      <c r="H166" s="7" t="s">
        <v>2971</v>
      </c>
      <c r="I166" s="3"/>
      <c r="J166" s="3"/>
    </row>
    <row r="167" spans="1:10" outlineLevel="2" x14ac:dyDescent="0.2">
      <c r="A167" s="7" t="s">
        <v>2347</v>
      </c>
      <c r="B167" s="7" t="s">
        <v>2253</v>
      </c>
      <c r="C167" s="205" t="s">
        <v>1531</v>
      </c>
      <c r="D167" s="255" t="s">
        <v>2662</v>
      </c>
      <c r="E167" s="231">
        <v>27951</v>
      </c>
      <c r="F167" s="207"/>
      <c r="G167" s="251" t="s">
        <v>3089</v>
      </c>
      <c r="H167" s="7" t="s">
        <v>2971</v>
      </c>
      <c r="I167" s="7" t="s">
        <v>2695</v>
      </c>
      <c r="J167" s="2"/>
    </row>
    <row r="168" spans="1:10" outlineLevel="2" x14ac:dyDescent="0.2">
      <c r="A168" s="7" t="s">
        <v>2355</v>
      </c>
      <c r="B168" s="7" t="s">
        <v>2356</v>
      </c>
      <c r="C168" s="205" t="s">
        <v>1533</v>
      </c>
      <c r="D168" s="255" t="s">
        <v>2662</v>
      </c>
      <c r="E168" s="231">
        <v>42811.68</v>
      </c>
      <c r="F168" s="207"/>
      <c r="G168" s="251" t="s">
        <v>3089</v>
      </c>
      <c r="H168" s="7" t="s">
        <v>2971</v>
      </c>
      <c r="I168" s="2"/>
      <c r="J168" s="2"/>
    </row>
    <row r="169" spans="1:10" ht="15.75" outlineLevel="1" x14ac:dyDescent="0.25">
      <c r="A169" s="7"/>
      <c r="B169" s="7"/>
      <c r="C169" s="205"/>
      <c r="D169" s="255"/>
      <c r="E169" s="231">
        <f>SUBTOTAL(9,E163:E168)</f>
        <v>245558.72</v>
      </c>
      <c r="F169" s="207"/>
      <c r="G169" s="341" t="s">
        <v>3105</v>
      </c>
      <c r="H169" s="7"/>
      <c r="I169" s="2"/>
      <c r="J169" s="2"/>
    </row>
    <row r="170" spans="1:10" outlineLevel="2" x14ac:dyDescent="0.2">
      <c r="A170" s="7" t="s">
        <v>2478</v>
      </c>
      <c r="B170" s="7" t="s">
        <v>2479</v>
      </c>
      <c r="C170" s="202" t="s">
        <v>354</v>
      </c>
      <c r="D170" s="255" t="s">
        <v>2661</v>
      </c>
      <c r="E170" s="231">
        <v>58985.4</v>
      </c>
      <c r="F170" s="207"/>
      <c r="G170" s="251" t="s">
        <v>3090</v>
      </c>
      <c r="H170" s="2" t="s">
        <v>3078</v>
      </c>
      <c r="I170" s="2"/>
      <c r="J170" s="2"/>
    </row>
    <row r="171" spans="1:10" outlineLevel="2" x14ac:dyDescent="0.2">
      <c r="A171" s="7" t="s">
        <v>2473</v>
      </c>
      <c r="B171" s="7" t="s">
        <v>2647</v>
      </c>
      <c r="C171" s="156" t="s">
        <v>83</v>
      </c>
      <c r="D171" s="255" t="s">
        <v>2659</v>
      </c>
      <c r="E171" s="230">
        <v>75089</v>
      </c>
      <c r="F171" s="207"/>
      <c r="G171" s="251" t="s">
        <v>3090</v>
      </c>
      <c r="H171" s="2" t="s">
        <v>2951</v>
      </c>
      <c r="I171" s="2"/>
      <c r="J171" s="2"/>
    </row>
    <row r="172" spans="1:10" outlineLevel="2" x14ac:dyDescent="0.2">
      <c r="A172" s="7" t="s">
        <v>3054</v>
      </c>
      <c r="B172" s="7" t="s">
        <v>2280</v>
      </c>
      <c r="C172" s="205" t="s">
        <v>3055</v>
      </c>
      <c r="D172" s="255" t="s">
        <v>2662</v>
      </c>
      <c r="E172" s="206">
        <v>12276</v>
      </c>
      <c r="F172" s="207"/>
      <c r="G172" s="251" t="s">
        <v>3090</v>
      </c>
      <c r="H172" s="2" t="s">
        <v>2951</v>
      </c>
      <c r="I172" s="2"/>
      <c r="J172" s="2"/>
    </row>
    <row r="173" spans="1:10" outlineLevel="2" x14ac:dyDescent="0.2">
      <c r="A173" s="7" t="s">
        <v>2330</v>
      </c>
      <c r="B173" s="7" t="s">
        <v>2535</v>
      </c>
      <c r="C173" s="202" t="s">
        <v>982</v>
      </c>
      <c r="D173" s="255" t="s">
        <v>2661</v>
      </c>
      <c r="E173" s="231">
        <v>62841.84</v>
      </c>
      <c r="F173" s="207"/>
      <c r="G173" s="251" t="s">
        <v>3090</v>
      </c>
      <c r="H173" s="3" t="s">
        <v>3080</v>
      </c>
      <c r="I173" s="3"/>
      <c r="J173" s="3"/>
    </row>
    <row r="174" spans="1:10" outlineLevel="2" x14ac:dyDescent="0.2">
      <c r="A174" s="7" t="s">
        <v>2811</v>
      </c>
      <c r="B174" s="7" t="s">
        <v>2812</v>
      </c>
      <c r="C174" s="202" t="s">
        <v>1539</v>
      </c>
      <c r="D174" s="255" t="s">
        <v>2661</v>
      </c>
      <c r="E174" s="231">
        <v>53981.88</v>
      </c>
      <c r="F174" s="207"/>
      <c r="G174" s="251" t="s">
        <v>3090</v>
      </c>
      <c r="H174" s="2" t="s">
        <v>2685</v>
      </c>
      <c r="I174" s="2"/>
      <c r="J174" s="2"/>
    </row>
    <row r="175" spans="1:10" outlineLevel="2" x14ac:dyDescent="0.2">
      <c r="A175" s="7" t="s">
        <v>2341</v>
      </c>
      <c r="B175" s="7" t="s">
        <v>2244</v>
      </c>
      <c r="C175" s="205" t="s">
        <v>597</v>
      </c>
      <c r="D175" s="255" t="s">
        <v>2662</v>
      </c>
      <c r="E175" s="231">
        <v>26508.959999999999</v>
      </c>
      <c r="F175" s="207"/>
      <c r="G175" s="251" t="s">
        <v>2972</v>
      </c>
      <c r="H175" s="7" t="s">
        <v>2971</v>
      </c>
      <c r="I175" s="2"/>
      <c r="J175" s="2"/>
    </row>
    <row r="176" spans="1:10" ht="15.75" outlineLevel="1" x14ac:dyDescent="0.25">
      <c r="A176" s="7"/>
      <c r="B176" s="7"/>
      <c r="C176" s="205"/>
      <c r="D176" s="255"/>
      <c r="E176" s="231">
        <f>SUBTOTAL(9,E170:E175)</f>
        <v>289683.08</v>
      </c>
      <c r="F176" s="207"/>
      <c r="G176" s="341" t="s">
        <v>3106</v>
      </c>
      <c r="H176" s="2"/>
      <c r="I176" s="2"/>
      <c r="J176" s="2"/>
    </row>
    <row r="177" spans="1:10" outlineLevel="2" x14ac:dyDescent="0.2">
      <c r="A177" s="7" t="s">
        <v>3050</v>
      </c>
      <c r="B177" s="7" t="s">
        <v>2277</v>
      </c>
      <c r="C177" s="148" t="s">
        <v>3051</v>
      </c>
      <c r="D177" s="255" t="s">
        <v>2658</v>
      </c>
      <c r="E177" s="206">
        <v>50921</v>
      </c>
      <c r="F177" s="207"/>
      <c r="G177" s="251" t="s">
        <v>3091</v>
      </c>
      <c r="H177" s="3" t="s">
        <v>2979</v>
      </c>
      <c r="I177" s="2"/>
      <c r="J177" s="2"/>
    </row>
    <row r="178" spans="1:10" outlineLevel="2" x14ac:dyDescent="0.2">
      <c r="A178" s="7" t="s">
        <v>2306</v>
      </c>
      <c r="B178" s="7" t="s">
        <v>2289</v>
      </c>
      <c r="C178" s="205" t="s">
        <v>489</v>
      </c>
      <c r="D178" s="255" t="s">
        <v>2662</v>
      </c>
      <c r="E178" s="231">
        <v>25580.04</v>
      </c>
      <c r="F178" s="207"/>
      <c r="G178" s="251" t="s">
        <v>3091</v>
      </c>
      <c r="H178" s="3" t="s">
        <v>2979</v>
      </c>
      <c r="I178" s="3"/>
      <c r="J178" s="3"/>
    </row>
    <row r="179" spans="1:10" outlineLevel="2" x14ac:dyDescent="0.2">
      <c r="A179" s="7" t="s">
        <v>2555</v>
      </c>
      <c r="B179" s="7" t="s">
        <v>2556</v>
      </c>
      <c r="C179" s="151" t="s">
        <v>2546</v>
      </c>
      <c r="D179" s="255" t="s">
        <v>2659</v>
      </c>
      <c r="E179" s="231">
        <v>83391</v>
      </c>
      <c r="F179" s="232"/>
      <c r="G179" s="251" t="s">
        <v>3091</v>
      </c>
      <c r="H179" s="7" t="s">
        <v>2971</v>
      </c>
      <c r="I179" s="7" t="s">
        <v>2695</v>
      </c>
      <c r="J179" s="7"/>
    </row>
    <row r="180" spans="1:10" outlineLevel="2" x14ac:dyDescent="0.2">
      <c r="A180" s="7" t="s">
        <v>2448</v>
      </c>
      <c r="B180" s="7" t="s">
        <v>2449</v>
      </c>
      <c r="C180" s="205" t="s">
        <v>533</v>
      </c>
      <c r="D180" s="255" t="s">
        <v>2661</v>
      </c>
      <c r="E180" s="231">
        <v>50600.04</v>
      </c>
      <c r="F180" s="207"/>
      <c r="G180" s="251" t="s">
        <v>3091</v>
      </c>
      <c r="H180" s="7" t="s">
        <v>2971</v>
      </c>
      <c r="I180" s="3"/>
      <c r="J180" s="3"/>
    </row>
    <row r="181" spans="1:10" outlineLevel="2" x14ac:dyDescent="0.2">
      <c r="A181" s="7" t="s">
        <v>2343</v>
      </c>
      <c r="B181" s="7" t="s">
        <v>2250</v>
      </c>
      <c r="C181" s="205" t="s">
        <v>2298</v>
      </c>
      <c r="D181" s="255" t="s">
        <v>2662</v>
      </c>
      <c r="E181" s="231">
        <v>25989.96</v>
      </c>
      <c r="F181" s="207"/>
      <c r="G181" s="251" t="s">
        <v>3091</v>
      </c>
      <c r="H181" s="7" t="s">
        <v>2971</v>
      </c>
      <c r="I181" s="7" t="s">
        <v>2695</v>
      </c>
      <c r="J181" s="251"/>
    </row>
    <row r="182" spans="1:10" outlineLevel="2" x14ac:dyDescent="0.2">
      <c r="A182" s="7" t="s">
        <v>2369</v>
      </c>
      <c r="B182" s="7" t="s">
        <v>2370</v>
      </c>
      <c r="C182" s="205" t="s">
        <v>2296</v>
      </c>
      <c r="D182" s="255" t="s">
        <v>2662</v>
      </c>
      <c r="E182" s="231">
        <v>25989.96</v>
      </c>
      <c r="F182" s="207"/>
      <c r="G182" s="251" t="s">
        <v>3091</v>
      </c>
      <c r="H182" s="7" t="s">
        <v>2971</v>
      </c>
      <c r="I182" s="2"/>
      <c r="J182" s="2"/>
    </row>
    <row r="183" spans="1:10" ht="15.75" outlineLevel="1" x14ac:dyDescent="0.25">
      <c r="A183" s="7"/>
      <c r="B183" s="7"/>
      <c r="C183" s="205"/>
      <c r="D183" s="255"/>
      <c r="E183" s="231">
        <f>SUBTOTAL(9,E177:E182)</f>
        <v>262472</v>
      </c>
      <c r="F183" s="207"/>
      <c r="G183" s="341" t="s">
        <v>3107</v>
      </c>
      <c r="H183" s="7"/>
      <c r="I183" s="2"/>
      <c r="J183" s="2"/>
    </row>
    <row r="184" spans="1:10" outlineLevel="2" x14ac:dyDescent="0.2">
      <c r="A184" s="7" t="s">
        <v>2482</v>
      </c>
      <c r="B184" s="7" t="s">
        <v>2249</v>
      </c>
      <c r="C184" s="151" t="s">
        <v>1528</v>
      </c>
      <c r="D184" s="255" t="s">
        <v>2659</v>
      </c>
      <c r="E184" s="231">
        <v>103524</v>
      </c>
      <c r="F184" s="207"/>
      <c r="G184" s="251" t="s">
        <v>1653</v>
      </c>
      <c r="H184" s="3" t="s">
        <v>2675</v>
      </c>
      <c r="I184" s="7"/>
      <c r="J184" s="2"/>
    </row>
    <row r="185" spans="1:10" outlineLevel="2" x14ac:dyDescent="0.2">
      <c r="A185" s="7" t="s">
        <v>2384</v>
      </c>
      <c r="B185" s="7" t="s">
        <v>2385</v>
      </c>
      <c r="C185" s="205" t="s">
        <v>1397</v>
      </c>
      <c r="D185" s="255" t="s">
        <v>2662</v>
      </c>
      <c r="E185" s="231">
        <v>46805.04</v>
      </c>
      <c r="F185" s="207"/>
      <c r="G185" s="251" t="s">
        <v>1653</v>
      </c>
      <c r="H185" s="2" t="s">
        <v>2675</v>
      </c>
      <c r="I185" s="3"/>
      <c r="J185" s="2"/>
    </row>
    <row r="186" spans="1:10" ht="15.75" outlineLevel="1" x14ac:dyDescent="0.25">
      <c r="A186" s="7"/>
      <c r="B186" s="7"/>
      <c r="C186" s="205"/>
      <c r="D186" s="255"/>
      <c r="E186" s="231">
        <f>SUBTOTAL(9,E184:E185)</f>
        <v>150329.04</v>
      </c>
      <c r="F186" s="207"/>
      <c r="G186" s="341" t="s">
        <v>3108</v>
      </c>
      <c r="H186" s="2"/>
      <c r="I186" s="3"/>
      <c r="J186" s="2"/>
    </row>
    <row r="187" spans="1:10" outlineLevel="2" x14ac:dyDescent="0.2">
      <c r="A187" s="7" t="s">
        <v>2340</v>
      </c>
      <c r="B187" s="7" t="s">
        <v>2313</v>
      </c>
      <c r="C187" s="151" t="s">
        <v>1452</v>
      </c>
      <c r="D187" s="255" t="s">
        <v>2659</v>
      </c>
      <c r="E187" s="230">
        <v>93524</v>
      </c>
      <c r="F187" s="207"/>
      <c r="G187" s="251" t="s">
        <v>3092</v>
      </c>
      <c r="H187" s="2" t="s">
        <v>2948</v>
      </c>
      <c r="I187" s="2"/>
      <c r="J187" s="2"/>
    </row>
    <row r="188" spans="1:10" outlineLevel="2" x14ac:dyDescent="0.2">
      <c r="A188" s="7" t="s">
        <v>2329</v>
      </c>
      <c r="B188" s="7" t="s">
        <v>2242</v>
      </c>
      <c r="C188" s="205" t="s">
        <v>1893</v>
      </c>
      <c r="D188" s="255" t="s">
        <v>2662</v>
      </c>
      <c r="E188" s="231">
        <v>40640.04</v>
      </c>
      <c r="F188" s="207"/>
      <c r="G188" s="251" t="s">
        <v>3092</v>
      </c>
      <c r="H188" s="2" t="s">
        <v>2948</v>
      </c>
      <c r="I188" s="2" t="s">
        <v>2857</v>
      </c>
      <c r="J188" s="3"/>
    </row>
    <row r="189" spans="1:10" outlineLevel="2" x14ac:dyDescent="0.2">
      <c r="A189" s="7" t="s">
        <v>2415</v>
      </c>
      <c r="B189" s="7" t="s">
        <v>2245</v>
      </c>
      <c r="C189" s="161" t="s">
        <v>1334</v>
      </c>
      <c r="D189" s="255" t="s">
        <v>2660</v>
      </c>
      <c r="E189" s="230">
        <v>66407.039999999994</v>
      </c>
      <c r="F189" s="207"/>
      <c r="G189" s="251" t="s">
        <v>3092</v>
      </c>
      <c r="H189" s="2" t="s">
        <v>2683</v>
      </c>
      <c r="I189" s="2"/>
      <c r="J189" s="2"/>
    </row>
    <row r="190" spans="1:10" outlineLevel="2" x14ac:dyDescent="0.2">
      <c r="A190" s="7" t="s">
        <v>2487</v>
      </c>
      <c r="B190" s="7" t="s">
        <v>2488</v>
      </c>
      <c r="C190" s="203" t="s">
        <v>1535</v>
      </c>
      <c r="D190" s="255" t="s">
        <v>2661</v>
      </c>
      <c r="E190" s="231">
        <v>37362.959999999999</v>
      </c>
      <c r="F190" s="207"/>
      <c r="G190" s="251" t="s">
        <v>3092</v>
      </c>
      <c r="H190" s="2" t="s">
        <v>2683</v>
      </c>
      <c r="I190" s="2"/>
      <c r="J190" s="2"/>
    </row>
    <row r="191" spans="1:10" outlineLevel="2" x14ac:dyDescent="0.2">
      <c r="A191" s="7" t="s">
        <v>2434</v>
      </c>
      <c r="B191" s="7" t="s">
        <v>2497</v>
      </c>
      <c r="C191" s="203" t="s">
        <v>2042</v>
      </c>
      <c r="D191" s="255" t="s">
        <v>2661</v>
      </c>
      <c r="E191" s="231">
        <v>41741.040000000001</v>
      </c>
      <c r="F191" s="207"/>
      <c r="G191" s="251" t="s">
        <v>3092</v>
      </c>
      <c r="H191" s="2" t="s">
        <v>2683</v>
      </c>
      <c r="I191" s="2"/>
      <c r="J191" s="2"/>
    </row>
    <row r="192" spans="1:10" outlineLevel="2" x14ac:dyDescent="0.2">
      <c r="A192" s="7" t="s">
        <v>2507</v>
      </c>
      <c r="B192" s="7" t="s">
        <v>2508</v>
      </c>
      <c r="C192" s="203" t="s">
        <v>1547</v>
      </c>
      <c r="D192" s="255" t="s">
        <v>2661</v>
      </c>
      <c r="E192" s="231">
        <v>52947</v>
      </c>
      <c r="F192" s="207"/>
      <c r="G192" s="251" t="s">
        <v>3092</v>
      </c>
      <c r="H192" s="2" t="s">
        <v>2683</v>
      </c>
      <c r="I192" s="2"/>
      <c r="J192" s="2"/>
    </row>
    <row r="193" spans="1:10" outlineLevel="2" x14ac:dyDescent="0.2">
      <c r="A193" s="7" t="s">
        <v>2471</v>
      </c>
      <c r="B193" s="7" t="s">
        <v>2472</v>
      </c>
      <c r="C193" s="203" t="s">
        <v>353</v>
      </c>
      <c r="D193" s="255" t="s">
        <v>2661</v>
      </c>
      <c r="E193" s="231">
        <v>31287</v>
      </c>
      <c r="F193" s="207"/>
      <c r="G193" s="251" t="s">
        <v>3092</v>
      </c>
      <c r="H193" s="2" t="s">
        <v>2686</v>
      </c>
      <c r="I193" s="3" t="s">
        <v>2690</v>
      </c>
      <c r="J193" s="2"/>
    </row>
    <row r="194" spans="1:10" outlineLevel="2" x14ac:dyDescent="0.2">
      <c r="A194" s="7" t="s">
        <v>2283</v>
      </c>
      <c r="B194" s="7" t="s">
        <v>2526</v>
      </c>
      <c r="C194" s="202" t="s">
        <v>100</v>
      </c>
      <c r="D194" s="255" t="s">
        <v>2661</v>
      </c>
      <c r="E194" s="231">
        <v>55200.959999999999</v>
      </c>
      <c r="F194" s="207"/>
      <c r="G194" s="251" t="s">
        <v>3092</v>
      </c>
      <c r="H194" s="2" t="s">
        <v>2686</v>
      </c>
      <c r="I194" s="2"/>
      <c r="J194" s="2"/>
    </row>
    <row r="195" spans="1:10" outlineLevel="2" x14ac:dyDescent="0.2">
      <c r="A195" s="7"/>
      <c r="B195" s="7"/>
      <c r="C195" s="203" t="s">
        <v>3072</v>
      </c>
      <c r="D195" s="255" t="s">
        <v>2662</v>
      </c>
      <c r="E195" s="231">
        <v>31554</v>
      </c>
      <c r="F195" s="207"/>
      <c r="G195" s="251" t="s">
        <v>3092</v>
      </c>
      <c r="H195" s="2" t="s">
        <v>2686</v>
      </c>
      <c r="I195" s="2"/>
      <c r="J195" s="2"/>
    </row>
    <row r="196" spans="1:10" outlineLevel="2" x14ac:dyDescent="0.2">
      <c r="A196" s="7" t="s">
        <v>2318</v>
      </c>
      <c r="B196" s="7" t="s">
        <v>2342</v>
      </c>
      <c r="C196" s="203" t="s">
        <v>1124</v>
      </c>
      <c r="D196" s="255" t="s">
        <v>2662</v>
      </c>
      <c r="E196" s="231">
        <v>31059</v>
      </c>
      <c r="F196" s="207"/>
      <c r="G196" s="251" t="s">
        <v>3092</v>
      </c>
      <c r="H196" s="2" t="s">
        <v>2686</v>
      </c>
      <c r="I196" s="251"/>
      <c r="J196" s="251"/>
    </row>
    <row r="197" spans="1:10" outlineLevel="2" x14ac:dyDescent="0.2">
      <c r="A197" s="7" t="s">
        <v>2504</v>
      </c>
      <c r="B197" s="7" t="s">
        <v>2323</v>
      </c>
      <c r="C197" s="203" t="s">
        <v>2041</v>
      </c>
      <c r="D197" s="255" t="s">
        <v>2658</v>
      </c>
      <c r="E197" s="231">
        <v>24999.96</v>
      </c>
      <c r="F197" s="207"/>
      <c r="G197" s="251" t="s">
        <v>3092</v>
      </c>
      <c r="H197" s="2" t="s">
        <v>3077</v>
      </c>
      <c r="I197" s="2"/>
      <c r="J197" s="2"/>
    </row>
    <row r="198" spans="1:10" outlineLevel="2" x14ac:dyDescent="0.2">
      <c r="A198" s="7" t="s">
        <v>2408</v>
      </c>
      <c r="B198" s="7" t="s">
        <v>2273</v>
      </c>
      <c r="C198" s="203" t="s">
        <v>2294</v>
      </c>
      <c r="D198" s="255" t="s">
        <v>2662</v>
      </c>
      <c r="E198" s="231">
        <v>26238</v>
      </c>
      <c r="F198" s="207"/>
      <c r="G198" s="251" t="s">
        <v>3092</v>
      </c>
      <c r="H198" s="2" t="s">
        <v>3077</v>
      </c>
      <c r="I198" s="2" t="s">
        <v>2985</v>
      </c>
      <c r="J198" s="2"/>
    </row>
    <row r="199" spans="1:10" outlineLevel="2" x14ac:dyDescent="0.2">
      <c r="A199" s="7"/>
      <c r="B199" s="7"/>
      <c r="C199" s="203" t="s">
        <v>3073</v>
      </c>
      <c r="D199" s="255" t="s">
        <v>2662</v>
      </c>
      <c r="E199" s="231">
        <v>26028.04</v>
      </c>
      <c r="F199" s="207"/>
      <c r="G199" s="251" t="s">
        <v>3092</v>
      </c>
      <c r="H199" s="2" t="s">
        <v>3077</v>
      </c>
      <c r="I199" s="7"/>
      <c r="J199" s="2"/>
    </row>
    <row r="200" spans="1:10" outlineLevel="2" x14ac:dyDescent="0.2">
      <c r="A200" s="7" t="s">
        <v>2431</v>
      </c>
      <c r="B200" s="7" t="s">
        <v>2432</v>
      </c>
      <c r="C200" s="203" t="s">
        <v>421</v>
      </c>
      <c r="D200" s="255" t="s">
        <v>2661</v>
      </c>
      <c r="E200" s="231">
        <v>28155.96</v>
      </c>
      <c r="F200" s="207"/>
      <c r="G200" s="251" t="s">
        <v>3092</v>
      </c>
      <c r="H200" s="3" t="s">
        <v>2681</v>
      </c>
      <c r="I200" s="3"/>
      <c r="J200" s="3"/>
    </row>
    <row r="201" spans="1:10" outlineLevel="2" x14ac:dyDescent="0.2">
      <c r="A201" s="7" t="s">
        <v>2390</v>
      </c>
      <c r="B201" s="7" t="s">
        <v>2445</v>
      </c>
      <c r="C201" s="202" t="s">
        <v>1352</v>
      </c>
      <c r="D201" s="255" t="s">
        <v>2661</v>
      </c>
      <c r="E201" s="231">
        <v>56990.28</v>
      </c>
      <c r="F201" s="207"/>
      <c r="G201" s="251" t="s">
        <v>3092</v>
      </c>
      <c r="H201" s="3" t="s">
        <v>2681</v>
      </c>
      <c r="I201" s="2" t="s">
        <v>2694</v>
      </c>
      <c r="J201" s="3"/>
    </row>
    <row r="202" spans="1:10" outlineLevel="2" x14ac:dyDescent="0.2">
      <c r="A202" s="7" t="s">
        <v>2360</v>
      </c>
      <c r="B202" s="7" t="s">
        <v>2263</v>
      </c>
      <c r="C202" s="203" t="s">
        <v>1012</v>
      </c>
      <c r="D202" s="255" t="s">
        <v>2662</v>
      </c>
      <c r="E202" s="231">
        <v>29187</v>
      </c>
      <c r="F202" s="207"/>
      <c r="G202" s="251" t="s">
        <v>3092</v>
      </c>
      <c r="H202" s="3" t="s">
        <v>2681</v>
      </c>
      <c r="I202" s="2"/>
      <c r="J202" s="2"/>
    </row>
    <row r="203" spans="1:10" outlineLevel="2" x14ac:dyDescent="0.2">
      <c r="A203" s="7" t="s">
        <v>2427</v>
      </c>
      <c r="B203" s="7" t="s">
        <v>2428</v>
      </c>
      <c r="C203" s="164" t="s">
        <v>1204</v>
      </c>
      <c r="D203" s="255" t="s">
        <v>2661</v>
      </c>
      <c r="E203" s="231">
        <v>40479.96</v>
      </c>
      <c r="F203" s="207"/>
      <c r="G203" s="251" t="s">
        <v>3092</v>
      </c>
      <c r="H203" s="2" t="s">
        <v>3081</v>
      </c>
      <c r="I203" s="2"/>
      <c r="J203" s="2"/>
    </row>
    <row r="204" spans="1:10" outlineLevel="2" x14ac:dyDescent="0.2">
      <c r="A204" s="7" t="s">
        <v>2339</v>
      </c>
      <c r="B204" s="7" t="s">
        <v>2244</v>
      </c>
      <c r="C204" s="222" t="s">
        <v>1358</v>
      </c>
      <c r="D204" s="255" t="s">
        <v>2662</v>
      </c>
      <c r="E204" s="231">
        <v>28982.04</v>
      </c>
      <c r="F204" s="207"/>
      <c r="G204" s="251" t="s">
        <v>3092</v>
      </c>
      <c r="H204" s="2" t="s">
        <v>3081</v>
      </c>
      <c r="I204" s="2"/>
      <c r="J204" s="2"/>
    </row>
    <row r="205" spans="1:10" outlineLevel="2" x14ac:dyDescent="0.2">
      <c r="A205" s="7" t="s">
        <v>2387</v>
      </c>
      <c r="B205" s="7" t="s">
        <v>2388</v>
      </c>
      <c r="C205" s="205" t="s">
        <v>1400</v>
      </c>
      <c r="D205" s="255" t="s">
        <v>2662</v>
      </c>
      <c r="E205" s="231">
        <v>27951</v>
      </c>
      <c r="F205" s="207"/>
      <c r="G205" s="251" t="s">
        <v>3092</v>
      </c>
      <c r="H205" s="2" t="s">
        <v>3082</v>
      </c>
      <c r="I205" s="2"/>
      <c r="J205" s="2"/>
    </row>
    <row r="206" spans="1:10" outlineLevel="2" x14ac:dyDescent="0.2">
      <c r="A206" s="7" t="s">
        <v>2433</v>
      </c>
      <c r="B206" s="7" t="s">
        <v>2335</v>
      </c>
      <c r="C206" s="228" t="s">
        <v>1206</v>
      </c>
      <c r="D206" s="255" t="s">
        <v>2661</v>
      </c>
      <c r="E206" s="231">
        <v>38496.120000000003</v>
      </c>
      <c r="F206" s="207"/>
      <c r="G206" s="251" t="s">
        <v>3092</v>
      </c>
      <c r="H206" s="3" t="s">
        <v>3083</v>
      </c>
      <c r="I206" s="3"/>
      <c r="J206" s="3"/>
    </row>
    <row r="207" spans="1:10" outlineLevel="2" x14ac:dyDescent="0.2">
      <c r="A207" s="7" t="s">
        <v>2346</v>
      </c>
      <c r="B207" s="7" t="s">
        <v>2249</v>
      </c>
      <c r="C207" s="228" t="s">
        <v>1529</v>
      </c>
      <c r="D207" s="255" t="s">
        <v>2662</v>
      </c>
      <c r="E207" s="231">
        <v>26291.200000000001</v>
      </c>
      <c r="F207" s="207"/>
      <c r="G207" s="251" t="s">
        <v>3092</v>
      </c>
      <c r="H207" s="3" t="s">
        <v>3083</v>
      </c>
      <c r="I207" s="3"/>
      <c r="J207" s="3"/>
    </row>
    <row r="208" spans="1:10" outlineLevel="2" x14ac:dyDescent="0.2">
      <c r="A208" s="7" t="s">
        <v>2308</v>
      </c>
      <c r="B208" s="7" t="s">
        <v>2309</v>
      </c>
      <c r="C208" s="202" t="s">
        <v>1289</v>
      </c>
      <c r="D208" s="255" t="s">
        <v>2662</v>
      </c>
      <c r="E208" s="231">
        <v>35492.04</v>
      </c>
      <c r="F208" s="207"/>
      <c r="G208" s="251" t="s">
        <v>3092</v>
      </c>
      <c r="H208" s="2" t="s">
        <v>2702</v>
      </c>
      <c r="I208" s="2" t="s">
        <v>2800</v>
      </c>
      <c r="J208" s="2"/>
    </row>
    <row r="209" spans="1:10" outlineLevel="2" x14ac:dyDescent="0.2">
      <c r="A209" s="7" t="s">
        <v>2316</v>
      </c>
      <c r="B209" s="7" t="s">
        <v>2317</v>
      </c>
      <c r="C209" s="202" t="s">
        <v>1205</v>
      </c>
      <c r="D209" s="255" t="s">
        <v>2662</v>
      </c>
      <c r="E209" s="231">
        <v>34917</v>
      </c>
      <c r="F209" s="207"/>
      <c r="G209" s="251" t="s">
        <v>3092</v>
      </c>
      <c r="H209" s="2" t="s">
        <v>2702</v>
      </c>
      <c r="I209" s="3" t="s">
        <v>3084</v>
      </c>
      <c r="J209" s="7"/>
    </row>
    <row r="210" spans="1:10" outlineLevel="2" x14ac:dyDescent="0.2">
      <c r="A210" s="7" t="s">
        <v>2266</v>
      </c>
      <c r="B210" s="7" t="s">
        <v>2325</v>
      </c>
      <c r="C210" s="202" t="s">
        <v>1351</v>
      </c>
      <c r="D210" s="255" t="s">
        <v>2662</v>
      </c>
      <c r="E210" s="231">
        <v>43366.92</v>
      </c>
      <c r="F210" s="207"/>
      <c r="G210" s="251" t="s">
        <v>3092</v>
      </c>
      <c r="H210" s="2" t="s">
        <v>2702</v>
      </c>
      <c r="I210" s="3"/>
      <c r="J210" s="3"/>
    </row>
    <row r="211" spans="1:10" outlineLevel="2" x14ac:dyDescent="0.2">
      <c r="A211" s="7" t="s">
        <v>2489</v>
      </c>
      <c r="B211" s="7" t="s">
        <v>2263</v>
      </c>
      <c r="C211" s="202" t="s">
        <v>1542</v>
      </c>
      <c r="D211" s="255" t="s">
        <v>2661</v>
      </c>
      <c r="E211" s="231">
        <v>57744.72</v>
      </c>
      <c r="F211" s="207"/>
      <c r="G211" s="251" t="s">
        <v>3092</v>
      </c>
      <c r="H211" s="3" t="s">
        <v>2792</v>
      </c>
      <c r="I211" s="3"/>
      <c r="J211" s="3"/>
    </row>
    <row r="212" spans="1:10" outlineLevel="2" x14ac:dyDescent="0.2">
      <c r="A212" s="7" t="s">
        <v>2231</v>
      </c>
      <c r="B212" s="7" t="s">
        <v>2232</v>
      </c>
      <c r="C212" s="228" t="s">
        <v>2221</v>
      </c>
      <c r="D212" s="255" t="s">
        <v>2663</v>
      </c>
      <c r="E212" s="231">
        <v>25292.799999999999</v>
      </c>
      <c r="F212" s="207"/>
      <c r="G212" s="251" t="s">
        <v>3092</v>
      </c>
      <c r="H212" s="2" t="s">
        <v>2703</v>
      </c>
      <c r="I212" s="2"/>
      <c r="J212" s="2"/>
    </row>
    <row r="213" spans="1:10" outlineLevel="2" x14ac:dyDescent="0.2">
      <c r="A213" s="7" t="s">
        <v>2235</v>
      </c>
      <c r="B213" s="7" t="s">
        <v>2236</v>
      </c>
      <c r="C213" s="222" t="s">
        <v>1210</v>
      </c>
      <c r="D213" s="255" t="s">
        <v>2663</v>
      </c>
      <c r="E213" s="231">
        <v>42452.800000000003</v>
      </c>
      <c r="F213" s="207"/>
      <c r="G213" s="251" t="s">
        <v>3092</v>
      </c>
      <c r="H213" s="2" t="s">
        <v>2703</v>
      </c>
      <c r="I213" s="3"/>
      <c r="J213" s="3"/>
    </row>
    <row r="214" spans="1:10" outlineLevel="2" x14ac:dyDescent="0.2">
      <c r="A214" s="7" t="s">
        <v>2286</v>
      </c>
      <c r="B214" s="7" t="s">
        <v>2287</v>
      </c>
      <c r="C214" s="228" t="s">
        <v>2207</v>
      </c>
      <c r="D214" s="255" t="s">
        <v>2663</v>
      </c>
      <c r="E214" s="231">
        <v>29224</v>
      </c>
      <c r="F214" s="207"/>
      <c r="G214" s="251" t="s">
        <v>3092</v>
      </c>
      <c r="H214" s="2" t="s">
        <v>2703</v>
      </c>
      <c r="I214" s="3"/>
      <c r="J214" s="3"/>
    </row>
    <row r="215" spans="1:10" outlineLevel="2" x14ac:dyDescent="0.2">
      <c r="A215" s="7" t="s">
        <v>2243</v>
      </c>
      <c r="B215" s="7" t="s">
        <v>2244</v>
      </c>
      <c r="C215" s="228" t="s">
        <v>1357</v>
      </c>
      <c r="D215" s="255" t="s">
        <v>2663</v>
      </c>
      <c r="E215" s="231">
        <v>25292.799999999999</v>
      </c>
      <c r="F215" s="207"/>
      <c r="G215" s="251" t="s">
        <v>3092</v>
      </c>
      <c r="H215" s="2" t="s">
        <v>2703</v>
      </c>
      <c r="I215" s="2"/>
      <c r="J215" s="2"/>
    </row>
    <row r="216" spans="1:10" outlineLevel="2" x14ac:dyDescent="0.2">
      <c r="A216" s="7" t="s">
        <v>2245</v>
      </c>
      <c r="B216" s="7" t="s">
        <v>2246</v>
      </c>
      <c r="C216" s="228" t="s">
        <v>1125</v>
      </c>
      <c r="D216" s="255" t="s">
        <v>2663</v>
      </c>
      <c r="E216" s="231">
        <v>26291.200000000001</v>
      </c>
      <c r="F216" s="207"/>
      <c r="G216" s="251" t="s">
        <v>3092</v>
      </c>
      <c r="H216" s="2" t="s">
        <v>2703</v>
      </c>
      <c r="I216" s="251"/>
      <c r="J216" s="251"/>
    </row>
    <row r="217" spans="1:10" outlineLevel="2" x14ac:dyDescent="0.2">
      <c r="A217" s="7" t="s">
        <v>2992</v>
      </c>
      <c r="B217" s="7" t="s">
        <v>3048</v>
      </c>
      <c r="C217" s="164" t="s">
        <v>3049</v>
      </c>
      <c r="D217" s="255" t="s">
        <v>2663</v>
      </c>
      <c r="E217" s="206">
        <v>28475.200000000001</v>
      </c>
      <c r="F217" s="207"/>
      <c r="G217" s="251" t="s">
        <v>3092</v>
      </c>
      <c r="H217" s="2" t="s">
        <v>2703</v>
      </c>
      <c r="I217" s="2"/>
      <c r="J217" s="2"/>
    </row>
    <row r="218" spans="1:10" outlineLevel="2" x14ac:dyDescent="0.2">
      <c r="A218" s="7" t="s">
        <v>2227</v>
      </c>
      <c r="B218" s="7" t="s">
        <v>2228</v>
      </c>
      <c r="C218" s="222" t="s">
        <v>2206</v>
      </c>
      <c r="D218" s="255" t="s">
        <v>2663</v>
      </c>
      <c r="E218" s="231">
        <v>23025.119999999999</v>
      </c>
      <c r="F218" s="207"/>
      <c r="G218" s="251" t="s">
        <v>3092</v>
      </c>
      <c r="H218" s="2" t="s">
        <v>2703</v>
      </c>
      <c r="I218" s="3"/>
      <c r="J218" s="3"/>
    </row>
    <row r="219" spans="1:10" outlineLevel="2" x14ac:dyDescent="0.2">
      <c r="A219" s="7" t="s">
        <v>2278</v>
      </c>
      <c r="B219" s="7" t="s">
        <v>2222</v>
      </c>
      <c r="C219" s="168" t="s">
        <v>1284</v>
      </c>
      <c r="D219" s="255" t="s">
        <v>2663</v>
      </c>
      <c r="E219" s="231">
        <v>27331.200000000001</v>
      </c>
      <c r="F219" s="207"/>
      <c r="G219" s="251" t="s">
        <v>3092</v>
      </c>
      <c r="H219" s="2" t="s">
        <v>2703</v>
      </c>
      <c r="I219" s="2"/>
      <c r="J219" s="2"/>
    </row>
    <row r="220" spans="1:10" outlineLevel="2" x14ac:dyDescent="0.2">
      <c r="A220" s="7"/>
      <c r="B220" s="7"/>
      <c r="C220" s="164" t="s">
        <v>3068</v>
      </c>
      <c r="D220" s="255" t="s">
        <v>2663</v>
      </c>
      <c r="E220" s="206">
        <v>40000</v>
      </c>
      <c r="F220" s="207"/>
      <c r="G220" s="251" t="s">
        <v>3092</v>
      </c>
      <c r="H220" s="2" t="s">
        <v>2703</v>
      </c>
      <c r="I220" s="2"/>
      <c r="J220" s="2"/>
    </row>
    <row r="221" spans="1:10" outlineLevel="2" x14ac:dyDescent="0.2">
      <c r="A221" s="7" t="s">
        <v>2229</v>
      </c>
      <c r="B221" s="7" t="s">
        <v>2230</v>
      </c>
      <c r="C221" s="228" t="s">
        <v>1612</v>
      </c>
      <c r="D221" s="255" t="s">
        <v>2663</v>
      </c>
      <c r="E221" s="231">
        <v>22734.400000000001</v>
      </c>
      <c r="F221" s="207"/>
      <c r="G221" s="251" t="s">
        <v>3092</v>
      </c>
      <c r="H221" s="252" t="s">
        <v>2704</v>
      </c>
      <c r="I221" s="2"/>
      <c r="J221" s="2"/>
    </row>
    <row r="222" spans="1:10" outlineLevel="2" x14ac:dyDescent="0.2">
      <c r="A222" s="7" t="s">
        <v>2233</v>
      </c>
      <c r="B222" s="7" t="s">
        <v>2234</v>
      </c>
      <c r="C222" s="228" t="s">
        <v>1207</v>
      </c>
      <c r="D222" s="255" t="s">
        <v>2663</v>
      </c>
      <c r="E222" s="231">
        <v>22734.400000000001</v>
      </c>
      <c r="F222" s="207"/>
      <c r="G222" s="251" t="s">
        <v>3092</v>
      </c>
      <c r="H222" s="252" t="s">
        <v>2704</v>
      </c>
      <c r="I222" s="2"/>
      <c r="J222" s="2"/>
    </row>
    <row r="223" spans="1:10" outlineLevel="2" x14ac:dyDescent="0.2">
      <c r="A223" s="7" t="s">
        <v>2237</v>
      </c>
      <c r="B223" s="7" t="s">
        <v>2238</v>
      </c>
      <c r="C223" s="228" t="s">
        <v>1348</v>
      </c>
      <c r="D223" s="255" t="s">
        <v>2663</v>
      </c>
      <c r="E223" s="231">
        <v>22734.400000000001</v>
      </c>
      <c r="F223" s="207"/>
      <c r="G223" s="251" t="s">
        <v>3092</v>
      </c>
      <c r="H223" s="252" t="s">
        <v>2704</v>
      </c>
      <c r="I223" s="3"/>
      <c r="J223" s="3"/>
    </row>
    <row r="224" spans="1:10" outlineLevel="2" x14ac:dyDescent="0.2">
      <c r="A224" s="7" t="s">
        <v>2288</v>
      </c>
      <c r="B224" s="7" t="s">
        <v>2289</v>
      </c>
      <c r="C224" s="228" t="s">
        <v>2204</v>
      </c>
      <c r="D224" s="255" t="s">
        <v>2663</v>
      </c>
      <c r="E224" s="231">
        <v>22505.599999999999</v>
      </c>
      <c r="F224" s="207"/>
      <c r="G224" s="251" t="s">
        <v>3092</v>
      </c>
      <c r="H224" s="252" t="s">
        <v>2704</v>
      </c>
      <c r="I224" s="2"/>
      <c r="J224" s="2"/>
    </row>
    <row r="225" spans="1:10" outlineLevel="2" x14ac:dyDescent="0.2">
      <c r="A225" s="7" t="s">
        <v>2240</v>
      </c>
      <c r="B225" s="7" t="s">
        <v>2239</v>
      </c>
      <c r="C225" s="228" t="s">
        <v>1294</v>
      </c>
      <c r="D225" s="255" t="s">
        <v>2663</v>
      </c>
      <c r="E225" s="231">
        <v>22214.400000000001</v>
      </c>
      <c r="F225" s="207"/>
      <c r="G225" s="251" t="s">
        <v>3092</v>
      </c>
      <c r="H225" s="252" t="s">
        <v>2704</v>
      </c>
      <c r="I225" s="251"/>
      <c r="J225" s="251"/>
    </row>
    <row r="226" spans="1:10" outlineLevel="2" x14ac:dyDescent="0.2">
      <c r="A226" s="7" t="s">
        <v>2247</v>
      </c>
      <c r="B226" s="7" t="s">
        <v>2246</v>
      </c>
      <c r="C226" s="168" t="s">
        <v>352</v>
      </c>
      <c r="D226" s="255" t="s">
        <v>2663</v>
      </c>
      <c r="E226" s="231">
        <v>22734.400000000001</v>
      </c>
      <c r="F226" s="207"/>
      <c r="G226" s="251" t="s">
        <v>3092</v>
      </c>
      <c r="H226" s="252" t="s">
        <v>2704</v>
      </c>
      <c r="I226" s="2"/>
      <c r="J226" s="2"/>
    </row>
    <row r="227" spans="1:10" outlineLevel="2" x14ac:dyDescent="0.2">
      <c r="A227" s="7" t="s">
        <v>2252</v>
      </c>
      <c r="B227" s="7" t="s">
        <v>2253</v>
      </c>
      <c r="C227" s="168" t="s">
        <v>36</v>
      </c>
      <c r="D227" s="255" t="s">
        <v>2663</v>
      </c>
      <c r="E227" s="231">
        <v>23025.119999999999</v>
      </c>
      <c r="F227" s="207"/>
      <c r="G227" s="251" t="s">
        <v>3092</v>
      </c>
      <c r="H227" s="252" t="s">
        <v>2704</v>
      </c>
      <c r="I227" s="2"/>
      <c r="J227" s="2"/>
    </row>
    <row r="228" spans="1:10" outlineLevel="2" x14ac:dyDescent="0.2">
      <c r="A228" s="7" t="s">
        <v>2254</v>
      </c>
      <c r="B228" s="7" t="s">
        <v>2255</v>
      </c>
      <c r="C228" s="168" t="s">
        <v>1534</v>
      </c>
      <c r="D228" s="255" t="s">
        <v>2663</v>
      </c>
      <c r="E228" s="231">
        <v>22734.400000000001</v>
      </c>
      <c r="F228" s="207"/>
      <c r="G228" s="251" t="s">
        <v>3092</v>
      </c>
      <c r="H228" s="252" t="s">
        <v>2704</v>
      </c>
      <c r="I228" s="2"/>
      <c r="J228" s="2"/>
    </row>
    <row r="229" spans="1:10" outlineLevel="2" x14ac:dyDescent="0.2">
      <c r="A229" s="7" t="s">
        <v>2260</v>
      </c>
      <c r="B229" s="7" t="s">
        <v>2261</v>
      </c>
      <c r="C229" s="168" t="s">
        <v>312</v>
      </c>
      <c r="D229" s="255" t="s">
        <v>2663</v>
      </c>
      <c r="E229" s="231">
        <v>22734.400000000001</v>
      </c>
      <c r="F229" s="207"/>
      <c r="G229" s="251" t="s">
        <v>3092</v>
      </c>
      <c r="H229" s="252" t="s">
        <v>2704</v>
      </c>
      <c r="I229" s="2"/>
      <c r="J229" s="2"/>
    </row>
    <row r="230" spans="1:10" outlineLevel="2" x14ac:dyDescent="0.2">
      <c r="A230" s="7"/>
      <c r="B230" s="7"/>
      <c r="C230" s="168" t="s">
        <v>3071</v>
      </c>
      <c r="D230" s="255" t="s">
        <v>2663</v>
      </c>
      <c r="E230" s="231">
        <v>22214.400000000001</v>
      </c>
      <c r="F230" s="207"/>
      <c r="G230" s="251" t="s">
        <v>3092</v>
      </c>
      <c r="H230" s="252" t="s">
        <v>2704</v>
      </c>
      <c r="I230" s="2"/>
      <c r="J230" s="2"/>
    </row>
    <row r="231" spans="1:10" outlineLevel="2" x14ac:dyDescent="0.2">
      <c r="A231" s="7" t="s">
        <v>2826</v>
      </c>
      <c r="B231" s="7" t="s">
        <v>2263</v>
      </c>
      <c r="C231" s="168" t="s">
        <v>2825</v>
      </c>
      <c r="D231" s="255" t="s">
        <v>2663</v>
      </c>
      <c r="E231" s="231">
        <v>22214.400000000001</v>
      </c>
      <c r="F231" s="207"/>
      <c r="G231" s="251" t="s">
        <v>3092</v>
      </c>
      <c r="H231" s="252" t="s">
        <v>2704</v>
      </c>
      <c r="I231" s="2"/>
      <c r="J231" s="2"/>
    </row>
    <row r="232" spans="1:10" outlineLevel="2" x14ac:dyDescent="0.2">
      <c r="A232" s="7" t="s">
        <v>2264</v>
      </c>
      <c r="B232" s="7" t="s">
        <v>2265</v>
      </c>
      <c r="C232" s="169" t="s">
        <v>759</v>
      </c>
      <c r="D232" s="255" t="s">
        <v>2663</v>
      </c>
      <c r="E232" s="231">
        <v>22214.400000000001</v>
      </c>
      <c r="F232" s="207"/>
      <c r="G232" s="251" t="s">
        <v>3092</v>
      </c>
      <c r="H232" s="252" t="s">
        <v>2704</v>
      </c>
      <c r="I232" s="2"/>
      <c r="J232" s="2"/>
    </row>
    <row r="233" spans="1:10" outlineLevel="2" x14ac:dyDescent="0.2">
      <c r="A233" s="7" t="s">
        <v>2270</v>
      </c>
      <c r="B233" s="7" t="s">
        <v>2271</v>
      </c>
      <c r="C233" s="168" t="s">
        <v>1398</v>
      </c>
      <c r="D233" s="255" t="s">
        <v>2663</v>
      </c>
      <c r="E233" s="231">
        <v>27331.200000000001</v>
      </c>
      <c r="F233" s="207"/>
      <c r="G233" s="251" t="s">
        <v>3092</v>
      </c>
      <c r="H233" s="252" t="s">
        <v>2704</v>
      </c>
      <c r="I233" s="2"/>
      <c r="J233" s="2"/>
    </row>
    <row r="234" spans="1:10" outlineLevel="2" x14ac:dyDescent="0.2">
      <c r="A234" s="7" t="s">
        <v>2251</v>
      </c>
      <c r="B234" s="7" t="s">
        <v>2273</v>
      </c>
      <c r="C234" s="168" t="s">
        <v>2205</v>
      </c>
      <c r="D234" s="255" t="s">
        <v>2663</v>
      </c>
      <c r="E234" s="231">
        <v>22734.400000000001</v>
      </c>
      <c r="F234" s="207"/>
      <c r="G234" s="251" t="s">
        <v>3092</v>
      </c>
      <c r="H234" s="252" t="s">
        <v>2704</v>
      </c>
      <c r="I234" s="2"/>
      <c r="J234" s="2"/>
    </row>
    <row r="235" spans="1:10" outlineLevel="2" x14ac:dyDescent="0.2">
      <c r="A235" s="7" t="s">
        <v>2292</v>
      </c>
      <c r="B235" s="7" t="s">
        <v>2277</v>
      </c>
      <c r="C235" s="168" t="s">
        <v>1403</v>
      </c>
      <c r="D235" s="255" t="s">
        <v>2663</v>
      </c>
      <c r="E235" s="231">
        <v>27476.799999999999</v>
      </c>
      <c r="F235" s="207"/>
      <c r="G235" s="251" t="s">
        <v>3092</v>
      </c>
      <c r="H235" s="252" t="s">
        <v>2704</v>
      </c>
      <c r="I235" s="2"/>
      <c r="J235" s="2"/>
    </row>
    <row r="236" spans="1:10" outlineLevel="2" x14ac:dyDescent="0.2">
      <c r="A236" s="7" t="s">
        <v>2281</v>
      </c>
      <c r="B236" s="7" t="s">
        <v>2282</v>
      </c>
      <c r="C236" s="168" t="s">
        <v>1777</v>
      </c>
      <c r="D236" s="255" t="s">
        <v>2663</v>
      </c>
      <c r="E236" s="231">
        <v>22734.400000000001</v>
      </c>
      <c r="F236" s="207"/>
      <c r="G236" s="251" t="s">
        <v>3092</v>
      </c>
      <c r="H236" s="252" t="s">
        <v>2704</v>
      </c>
      <c r="I236" s="2"/>
      <c r="J236" s="2"/>
    </row>
    <row r="237" spans="1:10" outlineLevel="2" x14ac:dyDescent="0.2">
      <c r="A237" s="7" t="s">
        <v>2266</v>
      </c>
      <c r="B237" s="7" t="s">
        <v>2267</v>
      </c>
      <c r="C237" s="168" t="s">
        <v>2203</v>
      </c>
      <c r="D237" s="255" t="s">
        <v>2663</v>
      </c>
      <c r="E237" s="231">
        <v>27331.200000000001</v>
      </c>
      <c r="F237" s="207"/>
      <c r="G237" s="251" t="s">
        <v>3092</v>
      </c>
      <c r="H237" s="252" t="s">
        <v>2704</v>
      </c>
      <c r="I237" s="2"/>
      <c r="J237" s="2"/>
    </row>
    <row r="238" spans="1:10" outlineLevel="2" x14ac:dyDescent="0.2">
      <c r="A238" s="7" t="s">
        <v>2283</v>
      </c>
      <c r="B238" s="7" t="s">
        <v>2284</v>
      </c>
      <c r="C238" s="168" t="s">
        <v>1409</v>
      </c>
      <c r="D238" s="255" t="s">
        <v>2663</v>
      </c>
      <c r="E238" s="231">
        <v>22214.400000000001</v>
      </c>
      <c r="F238" s="207"/>
      <c r="G238" s="251" t="s">
        <v>3092</v>
      </c>
      <c r="H238" s="252" t="s">
        <v>2704</v>
      </c>
      <c r="I238" s="2"/>
      <c r="J238" s="2"/>
    </row>
    <row r="239" spans="1:10" outlineLevel="2" x14ac:dyDescent="0.2">
      <c r="A239" s="7" t="s">
        <v>2224</v>
      </c>
      <c r="B239" s="7" t="s">
        <v>2225</v>
      </c>
      <c r="C239" s="228" t="s">
        <v>1129</v>
      </c>
      <c r="D239" s="255" t="s">
        <v>2663</v>
      </c>
      <c r="E239" s="231">
        <v>25292.799999999999</v>
      </c>
      <c r="F239" s="207"/>
      <c r="G239" s="251" t="s">
        <v>3092</v>
      </c>
      <c r="H239" s="252" t="s">
        <v>2705</v>
      </c>
      <c r="I239" s="252"/>
      <c r="J239" s="252"/>
    </row>
    <row r="240" spans="1:10" outlineLevel="2" x14ac:dyDescent="0.2">
      <c r="A240" s="7" t="s">
        <v>2245</v>
      </c>
      <c r="B240" s="7" t="s">
        <v>3052</v>
      </c>
      <c r="C240" s="168" t="s">
        <v>3053</v>
      </c>
      <c r="D240" s="255" t="s">
        <v>2663</v>
      </c>
      <c r="E240" s="206">
        <v>25292.799999999999</v>
      </c>
      <c r="F240" s="207"/>
      <c r="G240" s="251" t="s">
        <v>3092</v>
      </c>
      <c r="H240" s="252" t="s">
        <v>2705</v>
      </c>
      <c r="I240" s="2"/>
      <c r="J240" s="2"/>
    </row>
    <row r="241" spans="1:10" outlineLevel="2" x14ac:dyDescent="0.2">
      <c r="A241" s="7" t="s">
        <v>2231</v>
      </c>
      <c r="B241" s="7" t="s">
        <v>2285</v>
      </c>
      <c r="C241" s="168" t="s">
        <v>1265</v>
      </c>
      <c r="D241" s="255" t="s">
        <v>2663</v>
      </c>
      <c r="E241" s="231">
        <v>23379.200000000001</v>
      </c>
      <c r="F241" s="207"/>
      <c r="G241" s="251" t="s">
        <v>3092</v>
      </c>
      <c r="H241" s="252" t="s">
        <v>2705</v>
      </c>
      <c r="I241" s="2"/>
      <c r="J241" s="2"/>
    </row>
    <row r="242" spans="1:10" outlineLevel="2" x14ac:dyDescent="0.2">
      <c r="A242" s="7" t="s">
        <v>2290</v>
      </c>
      <c r="B242" s="7" t="s">
        <v>2291</v>
      </c>
      <c r="C242" s="168" t="s">
        <v>2220</v>
      </c>
      <c r="D242" s="255" t="s">
        <v>2663</v>
      </c>
      <c r="E242" s="231">
        <v>22214.400000000001</v>
      </c>
      <c r="F242" s="207"/>
      <c r="G242" s="251" t="s">
        <v>3092</v>
      </c>
      <c r="H242" s="252" t="s">
        <v>2705</v>
      </c>
      <c r="I242" s="2"/>
      <c r="J242" s="2"/>
    </row>
    <row r="243" spans="1:10" outlineLevel="2" x14ac:dyDescent="0.2">
      <c r="A243" s="7" t="s">
        <v>2258</v>
      </c>
      <c r="B243" s="7" t="s">
        <v>2259</v>
      </c>
      <c r="C243" s="220" t="s">
        <v>1538</v>
      </c>
      <c r="D243" s="255" t="s">
        <v>2663</v>
      </c>
      <c r="E243" s="231">
        <v>17708.64</v>
      </c>
      <c r="F243" s="207"/>
      <c r="G243" s="251" t="s">
        <v>3092</v>
      </c>
      <c r="H243" s="2" t="s">
        <v>2708</v>
      </c>
      <c r="I243" s="2"/>
      <c r="J243" s="2"/>
    </row>
    <row r="244" spans="1:10" outlineLevel="2" x14ac:dyDescent="0.2">
      <c r="A244" s="7" t="s">
        <v>2337</v>
      </c>
      <c r="B244" s="7" t="s">
        <v>2338</v>
      </c>
      <c r="C244" s="228" t="s">
        <v>1356</v>
      </c>
      <c r="D244" s="255" t="s">
        <v>2662</v>
      </c>
      <c r="E244" s="231">
        <v>29391.96</v>
      </c>
      <c r="F244" s="207"/>
      <c r="G244" s="251" t="s">
        <v>3092</v>
      </c>
      <c r="H244" s="3" t="s">
        <v>2706</v>
      </c>
      <c r="I244" s="3"/>
      <c r="J244" s="3"/>
    </row>
    <row r="245" spans="1:10" outlineLevel="2" x14ac:dyDescent="0.2">
      <c r="A245" s="7" t="s">
        <v>2340</v>
      </c>
      <c r="B245" s="7" t="s">
        <v>2244</v>
      </c>
      <c r="C245" s="202" t="s">
        <v>1359</v>
      </c>
      <c r="D245" s="255" t="s">
        <v>2662</v>
      </c>
      <c r="E245" s="231">
        <v>35684.160000000003</v>
      </c>
      <c r="F245" s="207"/>
      <c r="G245" s="251" t="s">
        <v>3092</v>
      </c>
      <c r="H245" s="3" t="s">
        <v>2706</v>
      </c>
      <c r="I245" s="2"/>
      <c r="J245" s="2"/>
    </row>
    <row r="246" spans="1:10" outlineLevel="2" x14ac:dyDescent="0.2">
      <c r="A246" s="7" t="s">
        <v>2248</v>
      </c>
      <c r="B246" s="7" t="s">
        <v>2249</v>
      </c>
      <c r="C246" s="168" t="s">
        <v>1530</v>
      </c>
      <c r="D246" s="255" t="s">
        <v>2663</v>
      </c>
      <c r="E246" s="231">
        <v>15789.6</v>
      </c>
      <c r="F246" s="207"/>
      <c r="G246" s="251" t="s">
        <v>3092</v>
      </c>
      <c r="H246" s="3" t="s">
        <v>2706</v>
      </c>
      <c r="I246" s="3"/>
      <c r="J246" s="3"/>
    </row>
    <row r="247" spans="1:10" outlineLevel="2" x14ac:dyDescent="0.2">
      <c r="A247" s="7" t="s">
        <v>2256</v>
      </c>
      <c r="B247" s="7" t="s">
        <v>2257</v>
      </c>
      <c r="C247" s="168" t="s">
        <v>1128</v>
      </c>
      <c r="D247" s="255" t="s">
        <v>2663</v>
      </c>
      <c r="E247" s="231">
        <v>15558.4</v>
      </c>
      <c r="F247" s="207"/>
      <c r="G247" s="251" t="s">
        <v>3092</v>
      </c>
      <c r="H247" s="3" t="s">
        <v>2706</v>
      </c>
      <c r="I247" s="2"/>
      <c r="J247" s="2"/>
    </row>
    <row r="248" spans="1:10" outlineLevel="2" x14ac:dyDescent="0.2">
      <c r="A248" s="7" t="s">
        <v>2279</v>
      </c>
      <c r="B248" s="7" t="s">
        <v>2280</v>
      </c>
      <c r="C248" s="168" t="s">
        <v>1404</v>
      </c>
      <c r="D248" s="255" t="s">
        <v>2663</v>
      </c>
      <c r="E248" s="231">
        <v>17312.759999999998</v>
      </c>
      <c r="F248" s="207"/>
      <c r="G248" s="251" t="s">
        <v>3092</v>
      </c>
      <c r="H248" s="3" t="s">
        <v>2706</v>
      </c>
      <c r="I248" s="2"/>
      <c r="J248" s="2"/>
    </row>
    <row r="249" spans="1:10" ht="15.75" outlineLevel="1" x14ac:dyDescent="0.25">
      <c r="A249" s="7"/>
      <c r="B249" s="7"/>
      <c r="C249" s="168"/>
      <c r="D249" s="255"/>
      <c r="E249" s="231">
        <f>SUBTOTAL(9,E187:E248)</f>
        <v>1922670.24</v>
      </c>
      <c r="F249" s="207"/>
      <c r="G249" s="341" t="s">
        <v>3109</v>
      </c>
      <c r="H249" s="3"/>
      <c r="I249" s="2"/>
      <c r="J249" s="2"/>
    </row>
    <row r="250" spans="1:10" outlineLevel="2" x14ac:dyDescent="0.2">
      <c r="A250" s="7" t="s">
        <v>2400</v>
      </c>
      <c r="B250" s="7" t="s">
        <v>2401</v>
      </c>
      <c r="C250" s="205" t="s">
        <v>202</v>
      </c>
      <c r="D250" s="255" t="s">
        <v>2662</v>
      </c>
      <c r="E250" s="231">
        <v>27125.040000000001</v>
      </c>
      <c r="F250" s="207"/>
      <c r="G250" s="251" t="s">
        <v>3093</v>
      </c>
      <c r="H250" s="3" t="s">
        <v>2815</v>
      </c>
      <c r="I250" s="2"/>
      <c r="J250" s="2"/>
    </row>
    <row r="251" spans="1:10" outlineLevel="2" x14ac:dyDescent="0.2">
      <c r="A251" s="7" t="s">
        <v>2397</v>
      </c>
      <c r="B251" s="7" t="s">
        <v>2398</v>
      </c>
      <c r="C251" s="205" t="s">
        <v>2293</v>
      </c>
      <c r="D251" s="255" t="s">
        <v>2662</v>
      </c>
      <c r="E251" s="231">
        <v>24756</v>
      </c>
      <c r="F251" s="207"/>
      <c r="G251" s="251" t="s">
        <v>3093</v>
      </c>
      <c r="H251" s="2" t="s">
        <v>2691</v>
      </c>
      <c r="I251" s="2"/>
      <c r="J251" s="2"/>
    </row>
    <row r="252" spans="1:10" outlineLevel="2" x14ac:dyDescent="0.2">
      <c r="A252" s="7" t="s">
        <v>2814</v>
      </c>
      <c r="B252" s="7" t="s">
        <v>2323</v>
      </c>
      <c r="C252" s="205" t="s">
        <v>2813</v>
      </c>
      <c r="D252" s="255" t="s">
        <v>2662</v>
      </c>
      <c r="E252" s="231">
        <v>31095</v>
      </c>
      <c r="F252" s="207"/>
      <c r="G252" s="251" t="s">
        <v>3093</v>
      </c>
      <c r="H252" s="3" t="s">
        <v>2985</v>
      </c>
      <c r="I252" s="2"/>
      <c r="J252" s="2"/>
    </row>
    <row r="253" spans="1:10" outlineLevel="2" x14ac:dyDescent="0.2">
      <c r="A253" s="7" t="s">
        <v>2830</v>
      </c>
      <c r="B253" s="7" t="s">
        <v>2831</v>
      </c>
      <c r="C253" s="205" t="s">
        <v>2829</v>
      </c>
      <c r="D253" s="255" t="s">
        <v>2662</v>
      </c>
      <c r="E253" s="231">
        <v>23729.040000000001</v>
      </c>
      <c r="F253" s="207"/>
      <c r="G253" s="251" t="s">
        <v>3093</v>
      </c>
      <c r="H253" s="2" t="s">
        <v>2771</v>
      </c>
      <c r="I253" s="2"/>
      <c r="J253" s="2"/>
    </row>
    <row r="254" spans="1:10" outlineLevel="2" x14ac:dyDescent="0.2">
      <c r="A254" s="7" t="s">
        <v>2331</v>
      </c>
      <c r="B254" s="7" t="s">
        <v>2367</v>
      </c>
      <c r="C254" s="202" t="s">
        <v>1267</v>
      </c>
      <c r="D254" s="255" t="s">
        <v>2661</v>
      </c>
      <c r="E254" s="231">
        <v>56041.32</v>
      </c>
      <c r="F254" s="207"/>
      <c r="G254" s="251" t="s">
        <v>3093</v>
      </c>
      <c r="H254" s="2" t="s">
        <v>2771</v>
      </c>
      <c r="I254" s="2" t="s">
        <v>2677</v>
      </c>
      <c r="J254" s="7"/>
    </row>
    <row r="255" spans="1:10" outlineLevel="2" x14ac:dyDescent="0.2">
      <c r="A255" s="7" t="s">
        <v>2231</v>
      </c>
      <c r="B255" s="7" t="s">
        <v>2462</v>
      </c>
      <c r="C255" s="202" t="s">
        <v>1295</v>
      </c>
      <c r="D255" s="255" t="s">
        <v>2661</v>
      </c>
      <c r="E255" s="231">
        <v>70858.2</v>
      </c>
      <c r="F255" s="207"/>
      <c r="G255" s="251" t="s">
        <v>3093</v>
      </c>
      <c r="H255" s="2" t="s">
        <v>2964</v>
      </c>
      <c r="I255" s="2" t="s">
        <v>2771</v>
      </c>
      <c r="J255" s="2"/>
    </row>
    <row r="256" spans="1:10" outlineLevel="2" x14ac:dyDescent="0.2">
      <c r="A256" s="7" t="s">
        <v>2320</v>
      </c>
      <c r="B256" s="7" t="s">
        <v>2321</v>
      </c>
      <c r="C256" s="205" t="s">
        <v>349</v>
      </c>
      <c r="D256" s="255" t="s">
        <v>2662</v>
      </c>
      <c r="E256" s="231">
        <v>35480.04</v>
      </c>
      <c r="F256" s="207"/>
      <c r="G256" s="251" t="s">
        <v>3093</v>
      </c>
      <c r="H256" s="2" t="s">
        <v>2964</v>
      </c>
      <c r="I256" s="2"/>
      <c r="J256" s="2"/>
    </row>
    <row r="257" spans="1:10" outlineLevel="2" x14ac:dyDescent="0.2">
      <c r="A257" s="7" t="s">
        <v>2403</v>
      </c>
      <c r="B257" s="7" t="s">
        <v>2404</v>
      </c>
      <c r="C257" s="205" t="s">
        <v>602</v>
      </c>
      <c r="D257" s="255" t="s">
        <v>2662</v>
      </c>
      <c r="E257" s="231">
        <v>26094.959999999999</v>
      </c>
      <c r="F257" s="207"/>
      <c r="G257" s="251" t="s">
        <v>3093</v>
      </c>
      <c r="H257" s="2" t="s">
        <v>2964</v>
      </c>
      <c r="I257" s="3" t="s">
        <v>2699</v>
      </c>
      <c r="J257" s="2"/>
    </row>
    <row r="258" spans="1:10" outlineLevel="2" x14ac:dyDescent="0.2">
      <c r="A258" s="7" t="s">
        <v>2559</v>
      </c>
      <c r="B258" s="7" t="s">
        <v>2560</v>
      </c>
      <c r="C258" s="153" t="s">
        <v>1455</v>
      </c>
      <c r="D258" s="255" t="s">
        <v>2659</v>
      </c>
      <c r="E258" s="230">
        <v>59273</v>
      </c>
      <c r="F258" s="207"/>
      <c r="G258" s="251" t="s">
        <v>3093</v>
      </c>
      <c r="H258" s="2" t="s">
        <v>2692</v>
      </c>
      <c r="I258" s="2"/>
      <c r="J258" s="2"/>
    </row>
    <row r="259" spans="1:10" outlineLevel="2" x14ac:dyDescent="0.2">
      <c r="A259" s="7" t="s">
        <v>2355</v>
      </c>
      <c r="B259" s="7" t="s">
        <v>2563</v>
      </c>
      <c r="C259" s="153" t="s">
        <v>1070</v>
      </c>
      <c r="D259" s="255" t="s">
        <v>2659</v>
      </c>
      <c r="E259" s="231">
        <v>48299</v>
      </c>
      <c r="F259" s="207"/>
      <c r="G259" s="251" t="s">
        <v>3093</v>
      </c>
      <c r="H259" s="2" t="s">
        <v>2692</v>
      </c>
      <c r="I259" s="2"/>
      <c r="J259" s="2"/>
    </row>
    <row r="260" spans="1:10" outlineLevel="2" x14ac:dyDescent="0.2">
      <c r="A260" s="7" t="s">
        <v>2573</v>
      </c>
      <c r="B260" s="7" t="s">
        <v>2574</v>
      </c>
      <c r="C260" s="155" t="s">
        <v>740</v>
      </c>
      <c r="D260" s="255" t="s">
        <v>2659</v>
      </c>
      <c r="E260" s="230">
        <v>80548</v>
      </c>
      <c r="F260" s="207"/>
      <c r="G260" s="251" t="s">
        <v>3093</v>
      </c>
      <c r="H260" s="2" t="s">
        <v>2692</v>
      </c>
      <c r="I260" s="2"/>
      <c r="J260" s="2"/>
    </row>
    <row r="261" spans="1:10" outlineLevel="2" x14ac:dyDescent="0.2">
      <c r="A261" s="7" t="s">
        <v>2557</v>
      </c>
      <c r="B261" s="7" t="s">
        <v>2575</v>
      </c>
      <c r="C261" s="153" t="s">
        <v>1460</v>
      </c>
      <c r="D261" s="255" t="s">
        <v>2659</v>
      </c>
      <c r="E261" s="231">
        <v>68017</v>
      </c>
      <c r="F261" s="207"/>
      <c r="G261" s="251" t="s">
        <v>3093</v>
      </c>
      <c r="H261" s="2" t="s">
        <v>2692</v>
      </c>
      <c r="I261" s="2"/>
      <c r="J261" s="2"/>
    </row>
    <row r="262" spans="1:10" outlineLevel="2" x14ac:dyDescent="0.2">
      <c r="A262" s="7" t="s">
        <v>2473</v>
      </c>
      <c r="B262" s="7" t="s">
        <v>2242</v>
      </c>
      <c r="C262" s="153" t="s">
        <v>1461</v>
      </c>
      <c r="D262" s="255" t="s">
        <v>2659</v>
      </c>
      <c r="E262" s="231">
        <v>52558</v>
      </c>
      <c r="F262" s="207"/>
      <c r="G262" s="251" t="s">
        <v>3093</v>
      </c>
      <c r="H262" s="2" t="s">
        <v>2692</v>
      </c>
      <c r="I262" s="2"/>
      <c r="J262" s="2"/>
    </row>
    <row r="263" spans="1:10" outlineLevel="2" x14ac:dyDescent="0.2">
      <c r="A263" s="7" t="s">
        <v>2344</v>
      </c>
      <c r="B263" s="7" t="s">
        <v>2586</v>
      </c>
      <c r="C263" s="153" t="s">
        <v>1463</v>
      </c>
      <c r="D263" s="255" t="s">
        <v>2659</v>
      </c>
      <c r="E263" s="231">
        <v>57759</v>
      </c>
      <c r="F263" s="207"/>
      <c r="G263" s="251" t="s">
        <v>3093</v>
      </c>
      <c r="H263" s="2" t="s">
        <v>2692</v>
      </c>
      <c r="I263" s="2"/>
      <c r="J263" s="2"/>
    </row>
    <row r="264" spans="1:10" outlineLevel="2" x14ac:dyDescent="0.2">
      <c r="A264" s="7" t="s">
        <v>2340</v>
      </c>
      <c r="B264" s="7" t="s">
        <v>2287</v>
      </c>
      <c r="C264" s="152" t="s">
        <v>1467</v>
      </c>
      <c r="D264" s="255" t="s">
        <v>2659</v>
      </c>
      <c r="E264" s="231">
        <v>52106</v>
      </c>
      <c r="F264" s="207"/>
      <c r="G264" s="251" t="s">
        <v>3093</v>
      </c>
      <c r="H264" s="2" t="s">
        <v>2692</v>
      </c>
      <c r="I264" s="2"/>
      <c r="J264" s="2"/>
    </row>
    <row r="265" spans="1:10" outlineLevel="2" x14ac:dyDescent="0.2">
      <c r="A265" s="7" t="s">
        <v>2591</v>
      </c>
      <c r="B265" s="7" t="s">
        <v>2592</v>
      </c>
      <c r="C265" s="152" t="s">
        <v>75</v>
      </c>
      <c r="D265" s="255" t="s">
        <v>2659</v>
      </c>
      <c r="E265" s="230">
        <v>100558</v>
      </c>
      <c r="F265" s="208"/>
      <c r="G265" s="251" t="s">
        <v>3093</v>
      </c>
      <c r="H265" s="2" t="s">
        <v>2692</v>
      </c>
      <c r="I265" s="3"/>
      <c r="J265" s="3"/>
    </row>
    <row r="266" spans="1:10" outlineLevel="2" x14ac:dyDescent="0.2">
      <c r="A266" s="7" t="s">
        <v>2593</v>
      </c>
      <c r="B266" s="7" t="s">
        <v>2594</v>
      </c>
      <c r="C266" s="152" t="s">
        <v>76</v>
      </c>
      <c r="D266" s="255" t="s">
        <v>2659</v>
      </c>
      <c r="E266" s="230">
        <v>85841</v>
      </c>
      <c r="F266" s="207"/>
      <c r="G266" s="251" t="s">
        <v>3093</v>
      </c>
      <c r="H266" s="2" t="s">
        <v>2692</v>
      </c>
      <c r="I266" s="2"/>
      <c r="J266" s="2"/>
    </row>
    <row r="267" spans="1:10" outlineLevel="2" x14ac:dyDescent="0.2">
      <c r="A267" s="7" t="s">
        <v>2612</v>
      </c>
      <c r="B267" s="7" t="s">
        <v>2613</v>
      </c>
      <c r="C267" s="157" t="s">
        <v>1475</v>
      </c>
      <c r="D267" s="255" t="s">
        <v>2659</v>
      </c>
      <c r="E267" s="230">
        <v>57060</v>
      </c>
      <c r="F267" s="207"/>
      <c r="G267" s="251" t="s">
        <v>3093</v>
      </c>
      <c r="H267" s="2" t="s">
        <v>2692</v>
      </c>
      <c r="I267" s="2"/>
      <c r="J267" s="2"/>
    </row>
    <row r="268" spans="1:10" outlineLevel="2" x14ac:dyDescent="0.2">
      <c r="A268" s="7" t="s">
        <v>2615</v>
      </c>
      <c r="B268" s="7" t="s">
        <v>2616</v>
      </c>
      <c r="C268" s="152" t="s">
        <v>1478</v>
      </c>
      <c r="D268" s="255" t="s">
        <v>2659</v>
      </c>
      <c r="E268" s="230">
        <v>49390</v>
      </c>
      <c r="F268" s="207"/>
      <c r="G268" s="251" t="s">
        <v>3093</v>
      </c>
      <c r="H268" s="2" t="s">
        <v>2692</v>
      </c>
      <c r="I268" s="2"/>
      <c r="J268" s="2"/>
    </row>
    <row r="269" spans="1:10" outlineLevel="2" x14ac:dyDescent="0.2">
      <c r="A269" s="7" t="s">
        <v>2450</v>
      </c>
      <c r="B269" s="7" t="s">
        <v>2380</v>
      </c>
      <c r="C269" s="153" t="s">
        <v>1320</v>
      </c>
      <c r="D269" s="255" t="s">
        <v>2659</v>
      </c>
      <c r="E269" s="231">
        <v>47930</v>
      </c>
      <c r="F269" s="207"/>
      <c r="G269" s="251" t="s">
        <v>3093</v>
      </c>
      <c r="H269" s="2" t="s">
        <v>2692</v>
      </c>
      <c r="I269" s="2"/>
      <c r="J269" s="2"/>
    </row>
    <row r="270" spans="1:10" outlineLevel="2" x14ac:dyDescent="0.2">
      <c r="A270" s="7" t="s">
        <v>2628</v>
      </c>
      <c r="B270" s="7" t="s">
        <v>2629</v>
      </c>
      <c r="C270" s="152" t="s">
        <v>2543</v>
      </c>
      <c r="D270" s="255" t="s">
        <v>2659</v>
      </c>
      <c r="E270" s="231">
        <v>47220</v>
      </c>
      <c r="F270" s="207"/>
      <c r="G270" s="251" t="s">
        <v>3093</v>
      </c>
      <c r="H270" s="2" t="s">
        <v>2692</v>
      </c>
      <c r="I270" s="2"/>
      <c r="J270" s="2"/>
    </row>
    <row r="271" spans="1:10" outlineLevel="2" x14ac:dyDescent="0.2">
      <c r="A271" s="7" t="s">
        <v>2557</v>
      </c>
      <c r="B271" s="7" t="s">
        <v>2385</v>
      </c>
      <c r="C271" s="152" t="s">
        <v>562</v>
      </c>
      <c r="D271" s="255" t="s">
        <v>2659</v>
      </c>
      <c r="E271" s="231">
        <v>57060</v>
      </c>
      <c r="F271" s="207"/>
      <c r="G271" s="251" t="s">
        <v>3093</v>
      </c>
      <c r="H271" s="2" t="s">
        <v>2692</v>
      </c>
      <c r="I271" s="2"/>
      <c r="J271" s="2"/>
    </row>
    <row r="272" spans="1:10" outlineLevel="2" x14ac:dyDescent="0.2">
      <c r="A272" s="7" t="s">
        <v>2482</v>
      </c>
      <c r="B272" s="7" t="s">
        <v>2430</v>
      </c>
      <c r="C272" s="149" t="s">
        <v>657</v>
      </c>
      <c r="D272" s="255" t="s">
        <v>2659</v>
      </c>
      <c r="E272" s="231">
        <v>45262</v>
      </c>
      <c r="F272" s="207"/>
      <c r="G272" s="251" t="s">
        <v>3093</v>
      </c>
      <c r="H272" s="2" t="s">
        <v>2692</v>
      </c>
      <c r="I272" s="2"/>
      <c r="J272" s="2"/>
    </row>
    <row r="273" spans="1:10" outlineLevel="2" x14ac:dyDescent="0.2">
      <c r="A273" s="257" t="s">
        <v>2327</v>
      </c>
      <c r="B273" s="257" t="s">
        <v>2651</v>
      </c>
      <c r="C273" s="152" t="s">
        <v>1329</v>
      </c>
      <c r="D273" s="255" t="s">
        <v>2659</v>
      </c>
      <c r="E273" s="230">
        <v>64979</v>
      </c>
      <c r="F273" s="209"/>
      <c r="G273" s="251" t="s">
        <v>3093</v>
      </c>
      <c r="H273" s="2" t="s">
        <v>2692</v>
      </c>
      <c r="I273" s="257"/>
      <c r="J273" s="257"/>
    </row>
    <row r="274" spans="1:10" outlineLevel="2" x14ac:dyDescent="0.2">
      <c r="A274" s="7" t="s">
        <v>2420</v>
      </c>
      <c r="B274" s="7" t="s">
        <v>2223</v>
      </c>
      <c r="C274" s="162" t="s">
        <v>2210</v>
      </c>
      <c r="D274" s="255" t="s">
        <v>2661</v>
      </c>
      <c r="E274" s="231">
        <v>47147.519999999997</v>
      </c>
      <c r="F274" s="207"/>
      <c r="G274" s="251" t="s">
        <v>3093</v>
      </c>
      <c r="H274" s="2" t="s">
        <v>2692</v>
      </c>
      <c r="I274" s="3"/>
      <c r="J274" s="3"/>
    </row>
    <row r="275" spans="1:10" outlineLevel="2" x14ac:dyDescent="0.2">
      <c r="A275" s="7" t="s">
        <v>2231</v>
      </c>
      <c r="B275" s="7" t="s">
        <v>2309</v>
      </c>
      <c r="C275" s="152" t="s">
        <v>532</v>
      </c>
      <c r="D275" s="255" t="s">
        <v>2661</v>
      </c>
      <c r="E275" s="231">
        <v>37743.96</v>
      </c>
      <c r="F275" s="207"/>
      <c r="G275" s="251" t="s">
        <v>3093</v>
      </c>
      <c r="H275" s="2" t="s">
        <v>2692</v>
      </c>
      <c r="I275" s="2"/>
      <c r="J275" s="2"/>
    </row>
    <row r="276" spans="1:10" outlineLevel="2" x14ac:dyDescent="0.2">
      <c r="A276" s="7" t="s">
        <v>2473</v>
      </c>
      <c r="B276" s="7" t="s">
        <v>2780</v>
      </c>
      <c r="C276" s="148" t="s">
        <v>2779</v>
      </c>
      <c r="D276" s="255" t="s">
        <v>2661</v>
      </c>
      <c r="E276" s="231">
        <v>44702.01</v>
      </c>
      <c r="F276" s="207"/>
      <c r="G276" s="251" t="s">
        <v>3093</v>
      </c>
      <c r="H276" s="2" t="s">
        <v>2692</v>
      </c>
      <c r="I276" s="2"/>
      <c r="J276" s="2"/>
    </row>
    <row r="277" spans="1:10" outlineLevel="2" x14ac:dyDescent="0.2">
      <c r="A277" s="7" t="s">
        <v>2337</v>
      </c>
      <c r="B277" s="7" t="s">
        <v>2429</v>
      </c>
      <c r="C277" s="152" t="s">
        <v>2013</v>
      </c>
      <c r="D277" s="255" t="s">
        <v>2661</v>
      </c>
      <c r="E277" s="231">
        <v>40874</v>
      </c>
      <c r="F277" s="207"/>
      <c r="G277" s="251" t="s">
        <v>3093</v>
      </c>
      <c r="H277" s="2" t="s">
        <v>2692</v>
      </c>
      <c r="I277" s="2"/>
      <c r="J277" s="2"/>
    </row>
    <row r="278" spans="1:10" outlineLevel="2" x14ac:dyDescent="0.2">
      <c r="A278" s="7" t="s">
        <v>2790</v>
      </c>
      <c r="B278" s="7" t="s">
        <v>2287</v>
      </c>
      <c r="C278" s="202" t="s">
        <v>2760</v>
      </c>
      <c r="D278" s="255" t="s">
        <v>2658</v>
      </c>
      <c r="E278" s="230">
        <v>35783</v>
      </c>
      <c r="F278" s="207"/>
      <c r="G278" s="251" t="s">
        <v>3093</v>
      </c>
      <c r="H278" s="2" t="s">
        <v>2692</v>
      </c>
      <c r="I278" s="3" t="s">
        <v>2698</v>
      </c>
      <c r="J278" s="3"/>
    </row>
    <row r="279" spans="1:10" outlineLevel="2" x14ac:dyDescent="0.2">
      <c r="A279" s="7" t="s">
        <v>2458</v>
      </c>
      <c r="B279" s="7" t="s">
        <v>2287</v>
      </c>
      <c r="C279" s="152" t="s">
        <v>2025</v>
      </c>
      <c r="D279" s="255" t="s">
        <v>2661</v>
      </c>
      <c r="E279" s="230">
        <v>68952</v>
      </c>
      <c r="F279" s="207"/>
      <c r="G279" s="251" t="s">
        <v>3093</v>
      </c>
      <c r="H279" s="2" t="s">
        <v>2692</v>
      </c>
      <c r="I279" s="2"/>
      <c r="J279" s="2"/>
    </row>
    <row r="280" spans="1:10" outlineLevel="2" x14ac:dyDescent="0.2">
      <c r="A280" s="7" t="s">
        <v>2371</v>
      </c>
      <c r="B280" s="7" t="s">
        <v>2287</v>
      </c>
      <c r="C280" s="152" t="s">
        <v>1188</v>
      </c>
      <c r="D280" s="255" t="s">
        <v>2661</v>
      </c>
      <c r="E280" s="231">
        <v>67410</v>
      </c>
      <c r="F280" s="207"/>
      <c r="G280" s="251" t="s">
        <v>3093</v>
      </c>
      <c r="H280" s="2" t="s">
        <v>2692</v>
      </c>
      <c r="I280" s="2"/>
      <c r="J280" s="2"/>
    </row>
    <row r="281" spans="1:10" outlineLevel="2" x14ac:dyDescent="0.2">
      <c r="A281" s="7" t="s">
        <v>2463</v>
      </c>
      <c r="B281" s="7" t="s">
        <v>2464</v>
      </c>
      <c r="C281" s="152" t="s">
        <v>1126</v>
      </c>
      <c r="D281" s="255" t="s">
        <v>2661</v>
      </c>
      <c r="E281" s="231">
        <v>42590.04</v>
      </c>
      <c r="F281" s="207"/>
      <c r="G281" s="251" t="s">
        <v>3093</v>
      </c>
      <c r="H281" s="2" t="s">
        <v>2692</v>
      </c>
      <c r="I281" s="2" t="s">
        <v>2694</v>
      </c>
      <c r="J281" s="2"/>
    </row>
    <row r="282" spans="1:10" outlineLevel="2" x14ac:dyDescent="0.2">
      <c r="A282" s="7" t="s">
        <v>2467</v>
      </c>
      <c r="B282" s="7" t="s">
        <v>2468</v>
      </c>
      <c r="C282" s="152" t="s">
        <v>2021</v>
      </c>
      <c r="D282" s="255" t="s">
        <v>2661</v>
      </c>
      <c r="E282" s="231">
        <v>43544.04</v>
      </c>
      <c r="F282" s="207"/>
      <c r="G282" s="251" t="s">
        <v>3093</v>
      </c>
      <c r="H282" s="2" t="s">
        <v>2692</v>
      </c>
      <c r="I282" s="2"/>
      <c r="J282" s="2"/>
    </row>
    <row r="283" spans="1:10" outlineLevel="2" x14ac:dyDescent="0.2">
      <c r="A283" s="7" t="s">
        <v>2485</v>
      </c>
      <c r="B283" s="7" t="s">
        <v>2486</v>
      </c>
      <c r="C283" s="152" t="s">
        <v>1268</v>
      </c>
      <c r="D283" s="255" t="s">
        <v>2661</v>
      </c>
      <c r="E283" s="231">
        <v>54372.959999999999</v>
      </c>
      <c r="F283" s="207"/>
      <c r="G283" s="251" t="s">
        <v>3093</v>
      </c>
      <c r="H283" s="2" t="s">
        <v>2692</v>
      </c>
      <c r="I283" s="2"/>
      <c r="J283" s="2"/>
    </row>
    <row r="284" spans="1:10" outlineLevel="2" x14ac:dyDescent="0.2">
      <c r="A284" s="7" t="s">
        <v>2489</v>
      </c>
      <c r="B284" s="7" t="s">
        <v>2257</v>
      </c>
      <c r="C284" s="152" t="s">
        <v>428</v>
      </c>
      <c r="D284" s="255" t="s">
        <v>2661</v>
      </c>
      <c r="E284" s="231">
        <v>37619.040000000001</v>
      </c>
      <c r="F284" s="207"/>
      <c r="G284" s="251" t="s">
        <v>3093</v>
      </c>
      <c r="H284" s="2" t="s">
        <v>2692</v>
      </c>
      <c r="I284" s="2"/>
      <c r="J284" s="2"/>
    </row>
    <row r="285" spans="1:10" outlineLevel="2" x14ac:dyDescent="0.2">
      <c r="A285" s="7" t="s">
        <v>2493</v>
      </c>
      <c r="B285" s="7" t="s">
        <v>2263</v>
      </c>
      <c r="C285" s="152" t="s">
        <v>1269</v>
      </c>
      <c r="D285" s="255" t="s">
        <v>2661</v>
      </c>
      <c r="E285" s="231">
        <v>51819</v>
      </c>
      <c r="F285" s="207"/>
      <c r="G285" s="251" t="s">
        <v>3093</v>
      </c>
      <c r="H285" s="2" t="s">
        <v>2692</v>
      </c>
      <c r="I285" s="2" t="s">
        <v>2694</v>
      </c>
      <c r="J285" s="2"/>
    </row>
    <row r="286" spans="1:10" outlineLevel="2" x14ac:dyDescent="0.2">
      <c r="A286" s="7" t="s">
        <v>2527</v>
      </c>
      <c r="B286" s="7" t="s">
        <v>2528</v>
      </c>
      <c r="C286" s="152" t="s">
        <v>601</v>
      </c>
      <c r="D286" s="255" t="s">
        <v>2661</v>
      </c>
      <c r="E286" s="231">
        <v>45573</v>
      </c>
      <c r="F286" s="207"/>
      <c r="G286" s="251" t="s">
        <v>3093</v>
      </c>
      <c r="H286" s="2" t="s">
        <v>2692</v>
      </c>
      <c r="I286" s="2" t="s">
        <v>2798</v>
      </c>
      <c r="J286" s="2"/>
    </row>
    <row r="287" spans="1:10" outlineLevel="2" x14ac:dyDescent="0.2">
      <c r="A287" s="7" t="s">
        <v>2507</v>
      </c>
      <c r="B287" s="7" t="s">
        <v>2828</v>
      </c>
      <c r="C287" s="147" t="s">
        <v>2827</v>
      </c>
      <c r="D287" s="255" t="s">
        <v>2661</v>
      </c>
      <c r="E287" s="231">
        <v>62660</v>
      </c>
      <c r="F287" s="207"/>
      <c r="G287" s="251" t="s">
        <v>3093</v>
      </c>
      <c r="H287" s="2" t="s">
        <v>2692</v>
      </c>
      <c r="I287" s="3"/>
      <c r="J287" s="3"/>
    </row>
    <row r="288" spans="1:10" outlineLevel="2" x14ac:dyDescent="0.2">
      <c r="A288" s="7" t="s">
        <v>2418</v>
      </c>
      <c r="B288" s="7" t="s">
        <v>2285</v>
      </c>
      <c r="C288" s="148" t="s">
        <v>3033</v>
      </c>
      <c r="D288" s="255" t="s">
        <v>2658</v>
      </c>
      <c r="E288" s="206">
        <v>35301.96</v>
      </c>
      <c r="F288" s="207"/>
      <c r="G288" s="251" t="s">
        <v>3093</v>
      </c>
      <c r="H288" s="2" t="s">
        <v>2692</v>
      </c>
      <c r="I288" s="3"/>
      <c r="J288" s="3"/>
    </row>
    <row r="289" spans="1:10" outlineLevel="2" x14ac:dyDescent="0.2">
      <c r="A289" s="7"/>
      <c r="B289" s="7"/>
      <c r="C289" s="153" t="s">
        <v>2984</v>
      </c>
      <c r="D289" s="255" t="s">
        <v>2658</v>
      </c>
      <c r="E289" s="206">
        <v>50000</v>
      </c>
      <c r="F289" s="207"/>
      <c r="G289" s="251" t="s">
        <v>3093</v>
      </c>
      <c r="H289" s="2" t="s">
        <v>2692</v>
      </c>
      <c r="I289" s="251"/>
      <c r="J289" s="251"/>
    </row>
    <row r="290" spans="1:10" outlineLevel="2" x14ac:dyDescent="0.2">
      <c r="A290" s="7" t="s">
        <v>2241</v>
      </c>
      <c r="B290" s="7" t="s">
        <v>2242</v>
      </c>
      <c r="C290" s="148" t="s">
        <v>1187</v>
      </c>
      <c r="D290" s="255" t="s">
        <v>2662</v>
      </c>
      <c r="E290" s="231">
        <v>36014.04</v>
      </c>
      <c r="F290" s="207"/>
      <c r="G290" s="251" t="s">
        <v>3093</v>
      </c>
      <c r="H290" s="2" t="s">
        <v>2692</v>
      </c>
      <c r="I290" s="251"/>
      <c r="J290" s="251"/>
    </row>
    <row r="291" spans="1:10" outlineLevel="2" x14ac:dyDescent="0.2">
      <c r="A291" s="7" t="s">
        <v>2383</v>
      </c>
      <c r="B291" s="7" t="s">
        <v>2521</v>
      </c>
      <c r="C291" s="202" t="s">
        <v>98</v>
      </c>
      <c r="D291" s="255" t="s">
        <v>2661</v>
      </c>
      <c r="E291" s="231">
        <v>35887.56</v>
      </c>
      <c r="F291" s="207"/>
      <c r="G291" s="251" t="s">
        <v>3093</v>
      </c>
      <c r="H291" s="24" t="s">
        <v>2710</v>
      </c>
      <c r="I291" s="24"/>
      <c r="J291" s="24"/>
    </row>
    <row r="292" spans="1:10" outlineLevel="2" x14ac:dyDescent="0.2">
      <c r="A292" s="7" t="s">
        <v>2222</v>
      </c>
      <c r="B292" s="7" t="s">
        <v>2223</v>
      </c>
      <c r="C292" s="228" t="s">
        <v>1202</v>
      </c>
      <c r="D292" s="255" t="s">
        <v>2663</v>
      </c>
      <c r="E292" s="231">
        <v>23025.119999999999</v>
      </c>
      <c r="F292" s="207"/>
      <c r="G292" s="251" t="s">
        <v>3093</v>
      </c>
      <c r="H292" s="24" t="s">
        <v>2710</v>
      </c>
      <c r="I292" s="252"/>
      <c r="J292" s="252"/>
    </row>
    <row r="293" spans="1:10" outlineLevel="2" x14ac:dyDescent="0.2">
      <c r="A293" s="7" t="s">
        <v>2268</v>
      </c>
      <c r="B293" s="7" t="s">
        <v>2269</v>
      </c>
      <c r="C293" s="203" t="s">
        <v>1396</v>
      </c>
      <c r="D293" s="255" t="s">
        <v>2663</v>
      </c>
      <c r="E293" s="231">
        <v>22235.200000000001</v>
      </c>
      <c r="F293" s="207"/>
      <c r="G293" s="251" t="s">
        <v>3093</v>
      </c>
      <c r="H293" s="24" t="s">
        <v>2710</v>
      </c>
      <c r="I293" s="2"/>
      <c r="J293" s="2"/>
    </row>
    <row r="294" spans="1:10" outlineLevel="2" x14ac:dyDescent="0.2">
      <c r="A294" s="7" t="s">
        <v>2272</v>
      </c>
      <c r="B294" s="7" t="s">
        <v>2273</v>
      </c>
      <c r="C294" s="203" t="s">
        <v>600</v>
      </c>
      <c r="D294" s="255" t="s">
        <v>2663</v>
      </c>
      <c r="E294" s="231">
        <v>19552</v>
      </c>
      <c r="F294" s="207"/>
      <c r="G294" s="251" t="s">
        <v>3093</v>
      </c>
      <c r="H294" s="24" t="s">
        <v>2710</v>
      </c>
      <c r="I294" s="2"/>
      <c r="J294" s="2"/>
    </row>
    <row r="295" spans="1:10" outlineLevel="2" x14ac:dyDescent="0.2">
      <c r="A295" s="7" t="s">
        <v>2274</v>
      </c>
      <c r="B295" s="7" t="s">
        <v>2275</v>
      </c>
      <c r="C295" s="203" t="s">
        <v>313</v>
      </c>
      <c r="D295" s="255" t="s">
        <v>2663</v>
      </c>
      <c r="E295" s="231">
        <v>25192.27</v>
      </c>
      <c r="F295" s="207"/>
      <c r="G295" s="251" t="s">
        <v>3093</v>
      </c>
      <c r="H295" s="24" t="s">
        <v>2710</v>
      </c>
      <c r="I295" s="2"/>
      <c r="J295" s="2"/>
    </row>
    <row r="296" spans="1:10" ht="15.75" outlineLevel="1" x14ac:dyDescent="0.25">
      <c r="A296" s="7"/>
      <c r="B296" s="7"/>
      <c r="C296" s="203"/>
      <c r="D296" s="255"/>
      <c r="E296" s="231">
        <f>SUBTOTAL(9,E250:E295)</f>
        <v>2197038.3199999998</v>
      </c>
      <c r="F296" s="207"/>
      <c r="G296" s="341" t="s">
        <v>3110</v>
      </c>
      <c r="H296" s="24"/>
      <c r="I296" s="2"/>
      <c r="J296" s="2"/>
    </row>
    <row r="297" spans="1:10" outlineLevel="2" x14ac:dyDescent="0.2">
      <c r="A297" s="7" t="s">
        <v>2383</v>
      </c>
      <c r="B297" s="7" t="s">
        <v>2367</v>
      </c>
      <c r="C297" s="202" t="s">
        <v>2541</v>
      </c>
      <c r="D297" s="255" t="s">
        <v>2661</v>
      </c>
      <c r="E297" s="231">
        <v>42815.76</v>
      </c>
      <c r="F297" s="207"/>
      <c r="G297" s="251" t="s">
        <v>2972</v>
      </c>
      <c r="H297" s="3" t="s">
        <v>2700</v>
      </c>
      <c r="I297" s="2"/>
      <c r="J297" s="3"/>
    </row>
    <row r="298" spans="1:10" outlineLevel="2" x14ac:dyDescent="0.2">
      <c r="A298" s="7" t="s">
        <v>2330</v>
      </c>
      <c r="B298" s="7" t="s">
        <v>2287</v>
      </c>
      <c r="C298" s="222" t="s">
        <v>2215</v>
      </c>
      <c r="D298" s="255" t="s">
        <v>2661</v>
      </c>
      <c r="E298" s="231">
        <v>26304</v>
      </c>
      <c r="F298" s="207"/>
      <c r="G298" s="251" t="s">
        <v>2972</v>
      </c>
      <c r="H298" s="3" t="s">
        <v>2700</v>
      </c>
      <c r="I298" s="2"/>
      <c r="J298" s="3"/>
    </row>
    <row r="299" spans="1:10" outlineLevel="2" x14ac:dyDescent="0.2">
      <c r="A299" s="7" t="s">
        <v>2353</v>
      </c>
      <c r="B299" s="7" t="s">
        <v>2354</v>
      </c>
      <c r="C299" s="203" t="s">
        <v>1450</v>
      </c>
      <c r="D299" s="255" t="s">
        <v>2662</v>
      </c>
      <c r="E299" s="231">
        <v>27036</v>
      </c>
      <c r="F299" s="207"/>
      <c r="G299" s="251" t="s">
        <v>2972</v>
      </c>
      <c r="H299" s="3" t="s">
        <v>2700</v>
      </c>
      <c r="I299" s="2" t="s">
        <v>2802</v>
      </c>
      <c r="J299" s="2"/>
    </row>
    <row r="300" spans="1:10" outlineLevel="2" x14ac:dyDescent="0.2">
      <c r="A300" s="7" t="s">
        <v>2394</v>
      </c>
      <c r="B300" s="7" t="s">
        <v>2395</v>
      </c>
      <c r="C300" s="205" t="s">
        <v>1407</v>
      </c>
      <c r="D300" s="255" t="s">
        <v>2662</v>
      </c>
      <c r="E300" s="231">
        <v>24138</v>
      </c>
      <c r="F300" s="207"/>
      <c r="G300" s="251" t="s">
        <v>2972</v>
      </c>
      <c r="H300" s="3" t="s">
        <v>2700</v>
      </c>
      <c r="I300" s="2"/>
      <c r="J300" s="2"/>
    </row>
    <row r="301" spans="1:10" outlineLevel="2" x14ac:dyDescent="0.2">
      <c r="A301" s="7" t="s">
        <v>2494</v>
      </c>
      <c r="B301" s="7" t="s">
        <v>2495</v>
      </c>
      <c r="C301" s="202" t="s">
        <v>1544</v>
      </c>
      <c r="D301" s="255" t="s">
        <v>2661</v>
      </c>
      <c r="E301" s="231">
        <v>53733.599999999999</v>
      </c>
      <c r="F301" s="207"/>
      <c r="G301" s="251" t="s">
        <v>2972</v>
      </c>
      <c r="H301" s="7" t="s">
        <v>2971</v>
      </c>
      <c r="I301" s="2" t="s">
        <v>2694</v>
      </c>
      <c r="J301" s="2"/>
    </row>
    <row r="302" spans="1:10" outlineLevel="2" x14ac:dyDescent="0.2">
      <c r="A302" s="7" t="s">
        <v>2496</v>
      </c>
      <c r="B302" s="7" t="s">
        <v>2495</v>
      </c>
      <c r="C302" s="202" t="s">
        <v>1325</v>
      </c>
      <c r="D302" s="255" t="s">
        <v>2661</v>
      </c>
      <c r="E302" s="231">
        <v>54043.8</v>
      </c>
      <c r="F302" s="207"/>
      <c r="G302" s="251" t="s">
        <v>2972</v>
      </c>
      <c r="H302" s="7" t="s">
        <v>2971</v>
      </c>
      <c r="I302" s="2"/>
      <c r="J302" s="2"/>
    </row>
    <row r="303" spans="1:10" outlineLevel="2" x14ac:dyDescent="0.2">
      <c r="A303" s="7" t="s">
        <v>2434</v>
      </c>
      <c r="B303" s="7" t="s">
        <v>2536</v>
      </c>
      <c r="C303" s="202" t="s">
        <v>760</v>
      </c>
      <c r="D303" s="255" t="s">
        <v>2661</v>
      </c>
      <c r="E303" s="231">
        <v>42779.040000000001</v>
      </c>
      <c r="F303" s="207"/>
      <c r="G303" s="251" t="s">
        <v>2972</v>
      </c>
      <c r="H303" s="7" t="s">
        <v>2971</v>
      </c>
      <c r="I303" s="3"/>
      <c r="J303" s="3"/>
    </row>
    <row r="304" spans="1:10" outlineLevel="2" x14ac:dyDescent="0.2">
      <c r="A304" s="7" t="s">
        <v>2361</v>
      </c>
      <c r="B304" s="7" t="s">
        <v>2362</v>
      </c>
      <c r="C304" s="205" t="s">
        <v>2218</v>
      </c>
      <c r="D304" s="255" t="s">
        <v>2662</v>
      </c>
      <c r="E304" s="231">
        <v>26508.959999999999</v>
      </c>
      <c r="F304" s="207"/>
      <c r="G304" s="251" t="s">
        <v>2972</v>
      </c>
      <c r="H304" s="7" t="s">
        <v>2971</v>
      </c>
      <c r="I304" s="2"/>
      <c r="J304" s="2"/>
    </row>
    <row r="305" spans="1:10" outlineLevel="2" x14ac:dyDescent="0.2">
      <c r="A305" s="7" t="s">
        <v>2789</v>
      </c>
      <c r="B305" s="7" t="s">
        <v>2393</v>
      </c>
      <c r="C305" s="202" t="s">
        <v>2772</v>
      </c>
      <c r="D305" s="255" t="s">
        <v>2661</v>
      </c>
      <c r="E305" s="231">
        <v>35480.04</v>
      </c>
      <c r="F305" s="207"/>
      <c r="G305" s="251" t="s">
        <v>2972</v>
      </c>
      <c r="H305" s="7" t="s">
        <v>2971</v>
      </c>
      <c r="I305" s="2"/>
      <c r="J305" s="3"/>
    </row>
    <row r="306" spans="1:10" outlineLevel="2" x14ac:dyDescent="0.2">
      <c r="A306" s="7" t="s">
        <v>2788</v>
      </c>
      <c r="B306" s="7" t="s">
        <v>2277</v>
      </c>
      <c r="C306" s="202" t="s">
        <v>2770</v>
      </c>
      <c r="D306" s="255" t="s">
        <v>2661</v>
      </c>
      <c r="E306" s="231">
        <v>40947.599999999999</v>
      </c>
      <c r="F306" s="207"/>
      <c r="G306" s="251" t="s">
        <v>2972</v>
      </c>
      <c r="H306" s="2" t="s">
        <v>3076</v>
      </c>
      <c r="I306" s="2"/>
      <c r="J306" s="7"/>
    </row>
    <row r="307" spans="1:10" outlineLevel="2" x14ac:dyDescent="0.2">
      <c r="A307" s="7" t="s">
        <v>2318</v>
      </c>
      <c r="B307" s="7" t="s">
        <v>2319</v>
      </c>
      <c r="C307" s="205" t="s">
        <v>2299</v>
      </c>
      <c r="D307" s="255" t="s">
        <v>2662</v>
      </c>
      <c r="E307" s="231">
        <v>23522.04</v>
      </c>
      <c r="F307" s="207"/>
      <c r="G307" s="251" t="s">
        <v>2972</v>
      </c>
      <c r="H307" s="2" t="s">
        <v>3076</v>
      </c>
      <c r="I307" s="2"/>
      <c r="J307" s="2"/>
    </row>
    <row r="308" spans="1:10" ht="15.75" outlineLevel="1" x14ac:dyDescent="0.25">
      <c r="A308" s="7"/>
      <c r="B308" s="7"/>
      <c r="C308" s="205"/>
      <c r="D308" s="255"/>
      <c r="E308" s="231">
        <f>SUBTOTAL(9,E297:E307)</f>
        <v>397308.84</v>
      </c>
      <c r="F308" s="207"/>
      <c r="G308" s="341" t="s">
        <v>3111</v>
      </c>
      <c r="H308" s="2"/>
      <c r="I308" s="2"/>
      <c r="J308" s="2"/>
    </row>
    <row r="309" spans="1:10" outlineLevel="2" x14ac:dyDescent="0.2">
      <c r="A309" s="7" t="s">
        <v>2643</v>
      </c>
      <c r="B309" s="7" t="s">
        <v>2644</v>
      </c>
      <c r="C309" s="158" t="s">
        <v>82</v>
      </c>
      <c r="D309" s="255" t="s">
        <v>2659</v>
      </c>
      <c r="E309" s="230">
        <v>93524</v>
      </c>
      <c r="F309" s="207"/>
      <c r="G309" s="251" t="s">
        <v>3094</v>
      </c>
      <c r="H309" s="2" t="s">
        <v>2944</v>
      </c>
      <c r="I309" s="7"/>
      <c r="J309" s="2"/>
    </row>
    <row r="310" spans="1:10" outlineLevel="2" x14ac:dyDescent="0.2">
      <c r="A310" s="7" t="s">
        <v>2389</v>
      </c>
      <c r="B310" s="7" t="s">
        <v>2388</v>
      </c>
      <c r="C310" s="205" t="s">
        <v>1401</v>
      </c>
      <c r="D310" s="255" t="s">
        <v>2662</v>
      </c>
      <c r="E310" s="231">
        <v>44398.44</v>
      </c>
      <c r="F310" s="207"/>
      <c r="G310" s="251" t="s">
        <v>3094</v>
      </c>
      <c r="H310" s="2" t="s">
        <v>2944</v>
      </c>
      <c r="I310" s="3"/>
      <c r="J310" s="3"/>
    </row>
    <row r="311" spans="1:10" ht="15.75" outlineLevel="1" x14ac:dyDescent="0.25">
      <c r="A311" s="7"/>
      <c r="B311" s="7"/>
      <c r="C311" s="205"/>
      <c r="D311" s="255"/>
      <c r="E311" s="231">
        <f>SUBTOTAL(9,E309:E310)</f>
        <v>137922.44</v>
      </c>
      <c r="F311" s="207"/>
      <c r="G311" s="341" t="s">
        <v>3112</v>
      </c>
      <c r="H311" s="2"/>
      <c r="I311" s="3"/>
      <c r="J311" s="3"/>
    </row>
    <row r="312" spans="1:10" outlineLevel="2" x14ac:dyDescent="0.2">
      <c r="A312" s="7" t="s">
        <v>3039</v>
      </c>
      <c r="B312" s="7" t="s">
        <v>3040</v>
      </c>
      <c r="C312" s="227" t="s">
        <v>3041</v>
      </c>
      <c r="D312" s="255" t="s">
        <v>2661</v>
      </c>
      <c r="E312" s="206">
        <v>36000</v>
      </c>
      <c r="F312" s="207"/>
      <c r="G312" s="251" t="s">
        <v>3095</v>
      </c>
      <c r="H312" s="3" t="s">
        <v>3084</v>
      </c>
      <c r="I312" s="2"/>
      <c r="J312" s="2"/>
    </row>
    <row r="313" spans="1:10" outlineLevel="2" x14ac:dyDescent="0.2">
      <c r="A313" s="7" t="s">
        <v>2839</v>
      </c>
      <c r="B313" s="7" t="s">
        <v>2840</v>
      </c>
      <c r="C313" s="202" t="s">
        <v>2841</v>
      </c>
      <c r="D313" s="255" t="s">
        <v>2661</v>
      </c>
      <c r="E313" s="231">
        <v>50600</v>
      </c>
      <c r="F313" s="207"/>
      <c r="G313" s="251" t="s">
        <v>3095</v>
      </c>
      <c r="H313" s="3" t="s">
        <v>3084</v>
      </c>
      <c r="I313" s="7"/>
      <c r="J313" s="3"/>
    </row>
    <row r="314" spans="1:10" outlineLevel="2" x14ac:dyDescent="0.2">
      <c r="A314" s="7" t="s">
        <v>2816</v>
      </c>
      <c r="B314" s="7" t="s">
        <v>2817</v>
      </c>
      <c r="C314" s="227" t="s">
        <v>2818</v>
      </c>
      <c r="D314" s="255" t="s">
        <v>2658</v>
      </c>
      <c r="E314" s="230">
        <v>28335.96</v>
      </c>
      <c r="F314" s="207"/>
      <c r="G314" s="251" t="s">
        <v>3095</v>
      </c>
      <c r="H314" s="3" t="s">
        <v>2709</v>
      </c>
      <c r="I314" s="7"/>
      <c r="J314" s="7"/>
    </row>
    <row r="315" spans="1:10" outlineLevel="2" x14ac:dyDescent="0.2">
      <c r="A315" s="7" t="s">
        <v>2231</v>
      </c>
      <c r="B315" s="7" t="s">
        <v>2380</v>
      </c>
      <c r="C315" s="227" t="s">
        <v>3075</v>
      </c>
      <c r="D315" s="255" t="s">
        <v>2661</v>
      </c>
      <c r="E315" s="231">
        <v>29336.16</v>
      </c>
      <c r="F315" s="207"/>
      <c r="G315" s="251" t="s">
        <v>3095</v>
      </c>
      <c r="H315" s="3" t="s">
        <v>2709</v>
      </c>
      <c r="I315" s="3"/>
      <c r="J315" s="3"/>
    </row>
    <row r="316" spans="1:10" outlineLevel="2" x14ac:dyDescent="0.2">
      <c r="A316" s="7" t="s">
        <v>2529</v>
      </c>
      <c r="B316" s="7" t="s">
        <v>2530</v>
      </c>
      <c r="C316" s="227" t="s">
        <v>101</v>
      </c>
      <c r="D316" s="255" t="s">
        <v>2661</v>
      </c>
      <c r="E316" s="231">
        <v>37889.279999999999</v>
      </c>
      <c r="F316" s="207"/>
      <c r="G316" s="251" t="s">
        <v>3095</v>
      </c>
      <c r="H316" s="3" t="s">
        <v>2709</v>
      </c>
      <c r="I316" s="3"/>
      <c r="J316" s="3"/>
    </row>
    <row r="317" spans="1:10" outlineLevel="2" x14ac:dyDescent="0.2">
      <c r="A317" s="7" t="s">
        <v>2819</v>
      </c>
      <c r="B317" s="7" t="s">
        <v>2249</v>
      </c>
      <c r="C317" s="205" t="s">
        <v>2820</v>
      </c>
      <c r="D317" s="255" t="s">
        <v>2662</v>
      </c>
      <c r="E317" s="231">
        <v>26094.959999999999</v>
      </c>
      <c r="F317" s="207"/>
      <c r="G317" s="251" t="s">
        <v>3095</v>
      </c>
      <c r="H317" s="3" t="s">
        <v>2709</v>
      </c>
      <c r="I317" s="2"/>
      <c r="J317" s="251"/>
    </row>
    <row r="318" spans="1:10" outlineLevel="2" x14ac:dyDescent="0.2">
      <c r="A318" s="7" t="s">
        <v>2328</v>
      </c>
      <c r="B318" s="7" t="s">
        <v>2291</v>
      </c>
      <c r="C318" s="205" t="s">
        <v>603</v>
      </c>
      <c r="D318" s="255" t="s">
        <v>2662</v>
      </c>
      <c r="E318" s="231">
        <v>29391.93</v>
      </c>
      <c r="F318" s="207"/>
      <c r="G318" s="251" t="s">
        <v>3095</v>
      </c>
      <c r="H318" s="2" t="s">
        <v>2802</v>
      </c>
      <c r="I318" s="2"/>
      <c r="J318" s="2"/>
    </row>
    <row r="319" spans="1:10" outlineLevel="2" x14ac:dyDescent="0.2">
      <c r="A319" s="7" t="s">
        <v>2383</v>
      </c>
      <c r="B319" s="7" t="s">
        <v>2990</v>
      </c>
      <c r="C319" s="221" t="s">
        <v>2991</v>
      </c>
      <c r="D319" s="255" t="s">
        <v>2661</v>
      </c>
      <c r="E319" s="231">
        <v>43290.48</v>
      </c>
      <c r="F319" s="207"/>
      <c r="G319" s="251" t="s">
        <v>3095</v>
      </c>
      <c r="H319" s="3" t="s">
        <v>2698</v>
      </c>
      <c r="I319" s="3"/>
      <c r="J319" s="3"/>
    </row>
    <row r="320" spans="1:10" outlineLevel="2" x14ac:dyDescent="0.2">
      <c r="A320" s="7" t="s">
        <v>2459</v>
      </c>
      <c r="B320" s="7" t="s">
        <v>2287</v>
      </c>
      <c r="C320" s="165" t="s">
        <v>2412</v>
      </c>
      <c r="D320" s="255" t="s">
        <v>2661</v>
      </c>
      <c r="E320" s="231">
        <v>43067.040000000001</v>
      </c>
      <c r="F320" s="207"/>
      <c r="G320" s="251" t="s">
        <v>3095</v>
      </c>
      <c r="H320" s="3" t="s">
        <v>2698</v>
      </c>
      <c r="I320" s="2"/>
      <c r="J320" s="2"/>
    </row>
    <row r="321" spans="1:10" outlineLevel="2" x14ac:dyDescent="0.2">
      <c r="A321" s="7" t="s">
        <v>2500</v>
      </c>
      <c r="B321" s="7" t="s">
        <v>2501</v>
      </c>
      <c r="C321" s="167" t="s">
        <v>2017</v>
      </c>
      <c r="D321" s="255" t="s">
        <v>2661</v>
      </c>
      <c r="E321" s="231">
        <v>24345</v>
      </c>
      <c r="F321" s="207"/>
      <c r="G321" s="251" t="s">
        <v>3095</v>
      </c>
      <c r="H321" s="3" t="s">
        <v>2698</v>
      </c>
      <c r="I321" s="2"/>
      <c r="J321" s="2"/>
    </row>
    <row r="322" spans="1:10" outlineLevel="2" x14ac:dyDescent="0.2">
      <c r="A322" s="7" t="s">
        <v>2383</v>
      </c>
      <c r="B322" s="7" t="s">
        <v>2988</v>
      </c>
      <c r="C322" s="165" t="s">
        <v>2987</v>
      </c>
      <c r="D322" s="255" t="s">
        <v>2661</v>
      </c>
      <c r="E322" s="231">
        <v>40401.72</v>
      </c>
      <c r="F322" s="207"/>
      <c r="G322" s="251" t="s">
        <v>3095</v>
      </c>
      <c r="H322" s="3" t="s">
        <v>2698</v>
      </c>
      <c r="I322" s="2"/>
      <c r="J322" s="2"/>
    </row>
    <row r="323" spans="1:10" outlineLevel="2" x14ac:dyDescent="0.2">
      <c r="A323" s="7" t="s">
        <v>2389</v>
      </c>
      <c r="B323" s="7" t="s">
        <v>2380</v>
      </c>
      <c r="C323" s="220" t="s">
        <v>1130</v>
      </c>
      <c r="D323" s="255" t="s">
        <v>2661</v>
      </c>
      <c r="E323" s="231">
        <v>22597.919999999998</v>
      </c>
      <c r="F323" s="207"/>
      <c r="G323" s="251" t="s">
        <v>3095</v>
      </c>
      <c r="H323" s="3" t="s">
        <v>2698</v>
      </c>
      <c r="I323" s="2"/>
      <c r="J323" s="2"/>
    </row>
    <row r="324" spans="1:10" outlineLevel="2" x14ac:dyDescent="0.2">
      <c r="A324" s="7" t="s">
        <v>2456</v>
      </c>
      <c r="B324" s="7" t="s">
        <v>2380</v>
      </c>
      <c r="C324" s="220" t="s">
        <v>1548</v>
      </c>
      <c r="D324" s="255" t="s">
        <v>2661</v>
      </c>
      <c r="E324" s="231">
        <v>40420.080000000002</v>
      </c>
      <c r="F324" s="207"/>
      <c r="G324" s="251" t="s">
        <v>3095</v>
      </c>
      <c r="H324" s="3" t="s">
        <v>2698</v>
      </c>
      <c r="I324" s="2"/>
      <c r="J324" s="2"/>
    </row>
    <row r="325" spans="1:10" outlineLevel="2" x14ac:dyDescent="0.2">
      <c r="A325" s="7" t="s">
        <v>2513</v>
      </c>
      <c r="B325" s="7" t="s">
        <v>2336</v>
      </c>
      <c r="C325" s="220" t="s">
        <v>1394</v>
      </c>
      <c r="D325" s="255" t="s">
        <v>2661</v>
      </c>
      <c r="E325" s="231">
        <v>22597.919999999998</v>
      </c>
      <c r="F325" s="207"/>
      <c r="G325" s="251" t="s">
        <v>3095</v>
      </c>
      <c r="H325" s="3" t="s">
        <v>2698</v>
      </c>
      <c r="I325" s="2"/>
      <c r="J325" s="2"/>
    </row>
    <row r="326" spans="1:10" outlineLevel="2" x14ac:dyDescent="0.2">
      <c r="A326" s="7" t="s">
        <v>2334</v>
      </c>
      <c r="B326" s="7" t="s">
        <v>2335</v>
      </c>
      <c r="C326" s="220" t="s">
        <v>2209</v>
      </c>
      <c r="D326" s="255" t="s">
        <v>2662</v>
      </c>
      <c r="E326" s="231">
        <v>24345</v>
      </c>
      <c r="F326" s="207"/>
      <c r="G326" s="251" t="s">
        <v>3095</v>
      </c>
      <c r="H326" s="3" t="s">
        <v>2698</v>
      </c>
      <c r="I326" s="2"/>
      <c r="J326" s="2"/>
    </row>
    <row r="327" spans="1:10" outlineLevel="2" x14ac:dyDescent="0.2">
      <c r="A327" s="7" t="s">
        <v>2332</v>
      </c>
      <c r="B327" s="7" t="s">
        <v>2287</v>
      </c>
      <c r="C327" s="220" t="s">
        <v>1355</v>
      </c>
      <c r="D327" s="255" t="s">
        <v>2662</v>
      </c>
      <c r="E327" s="231">
        <v>26922</v>
      </c>
      <c r="F327" s="207"/>
      <c r="G327" s="251" t="s">
        <v>3095</v>
      </c>
      <c r="H327" s="3" t="s">
        <v>2698</v>
      </c>
      <c r="I327" s="2"/>
      <c r="J327" s="2"/>
    </row>
    <row r="328" spans="1:10" outlineLevel="2" x14ac:dyDescent="0.2">
      <c r="A328" s="7" t="s">
        <v>2272</v>
      </c>
      <c r="B328" s="7" t="s">
        <v>2333</v>
      </c>
      <c r="C328" s="220" t="s">
        <v>2208</v>
      </c>
      <c r="D328" s="255" t="s">
        <v>2662</v>
      </c>
      <c r="E328" s="231">
        <v>24138</v>
      </c>
      <c r="F328" s="207"/>
      <c r="G328" s="251" t="s">
        <v>3095</v>
      </c>
      <c r="H328" s="3" t="s">
        <v>2698</v>
      </c>
      <c r="I328" s="2"/>
      <c r="J328" s="2"/>
    </row>
    <row r="329" spans="1:10" outlineLevel="2" x14ac:dyDescent="0.2">
      <c r="A329" s="7" t="s">
        <v>2424</v>
      </c>
      <c r="B329" s="7" t="s">
        <v>2425</v>
      </c>
      <c r="C329" s="156" t="s">
        <v>1203</v>
      </c>
      <c r="D329" s="255" t="s">
        <v>2661</v>
      </c>
      <c r="E329" s="231">
        <v>75900</v>
      </c>
      <c r="F329" s="207"/>
      <c r="G329" s="251" t="s">
        <v>3095</v>
      </c>
      <c r="H329" s="2" t="s">
        <v>2694</v>
      </c>
      <c r="I329" s="2" t="s">
        <v>2698</v>
      </c>
      <c r="J329" s="2"/>
    </row>
    <row r="330" spans="1:10" outlineLevel="2" x14ac:dyDescent="0.2">
      <c r="A330" s="7" t="s">
        <v>2456</v>
      </c>
      <c r="B330" s="7" t="s">
        <v>2287</v>
      </c>
      <c r="C330" s="202" t="s">
        <v>2759</v>
      </c>
      <c r="D330" s="255" t="s">
        <v>2661</v>
      </c>
      <c r="E330" s="230">
        <v>61141.32</v>
      </c>
      <c r="F330" s="207"/>
      <c r="G330" s="251" t="s">
        <v>2972</v>
      </c>
      <c r="H330" s="3" t="s">
        <v>2700</v>
      </c>
      <c r="I330" s="3"/>
      <c r="J330" s="2"/>
    </row>
    <row r="331" spans="1:10" outlineLevel="2" x14ac:dyDescent="0.2">
      <c r="A331" s="7" t="s">
        <v>2517</v>
      </c>
      <c r="B331" s="7" t="s">
        <v>2388</v>
      </c>
      <c r="C331" s="202" t="s">
        <v>2410</v>
      </c>
      <c r="D331" s="255" t="s">
        <v>2661</v>
      </c>
      <c r="E331" s="231">
        <v>43067.040000000001</v>
      </c>
      <c r="F331" s="207"/>
      <c r="G331" s="251" t="s">
        <v>3095</v>
      </c>
      <c r="H331" s="2" t="s">
        <v>2694</v>
      </c>
      <c r="I331" s="2"/>
      <c r="J331" s="2"/>
    </row>
    <row r="332" spans="1:10" outlineLevel="2" x14ac:dyDescent="0.2">
      <c r="A332" s="7"/>
      <c r="B332" s="7"/>
      <c r="C332" s="202" t="s">
        <v>3069</v>
      </c>
      <c r="D332" s="255" t="s">
        <v>2661</v>
      </c>
      <c r="E332" s="206">
        <v>40000</v>
      </c>
      <c r="F332" s="207"/>
      <c r="G332" s="251" t="s">
        <v>3095</v>
      </c>
      <c r="H332" s="2" t="s">
        <v>2694</v>
      </c>
      <c r="I332" s="2"/>
      <c r="J332" s="2"/>
    </row>
    <row r="333" spans="1:10" outlineLevel="2" x14ac:dyDescent="0.2">
      <c r="A333" s="7" t="s">
        <v>2383</v>
      </c>
      <c r="B333" s="7" t="s">
        <v>2396</v>
      </c>
      <c r="C333" s="205" t="s">
        <v>598</v>
      </c>
      <c r="D333" s="255" t="s">
        <v>2662</v>
      </c>
      <c r="E333" s="231">
        <v>24552.959999999999</v>
      </c>
      <c r="F333" s="207"/>
      <c r="G333" s="251" t="s">
        <v>3095</v>
      </c>
      <c r="H333" s="2" t="s">
        <v>2694</v>
      </c>
      <c r="I333" s="2"/>
      <c r="J333" s="2"/>
    </row>
    <row r="334" spans="1:10" ht="15.75" outlineLevel="1" x14ac:dyDescent="0.25">
      <c r="A334" s="7"/>
      <c r="B334" s="7"/>
      <c r="C334" s="205"/>
      <c r="D334" s="255"/>
      <c r="E334" s="231">
        <f>SUBTOTAL(9,E312:E333)</f>
        <v>794434.77</v>
      </c>
      <c r="F334" s="207"/>
      <c r="G334" s="341" t="s">
        <v>3113</v>
      </c>
      <c r="H334" s="2"/>
      <c r="I334" s="2"/>
      <c r="J334" s="2"/>
    </row>
    <row r="335" spans="1:10" ht="15.75" x14ac:dyDescent="0.25">
      <c r="A335" s="7"/>
      <c r="B335" s="7"/>
      <c r="C335" s="205"/>
      <c r="D335" s="255"/>
      <c r="E335" s="231">
        <f>SUBTOTAL(9,E5:E333)</f>
        <v>13137762.380000001</v>
      </c>
      <c r="F335" s="207"/>
      <c r="G335" s="341" t="s">
        <v>3114</v>
      </c>
      <c r="H335" s="2"/>
      <c r="I335" s="2"/>
      <c r="J335" s="2"/>
    </row>
    <row r="337" spans="5:5" x14ac:dyDescent="0.2">
      <c r="E337" s="83"/>
    </row>
  </sheetData>
  <sortState ref="A21:J73">
    <sortCondition ref="B21:B73"/>
  </sortState>
  <conditionalFormatting sqref="C5:C335">
    <cfRule type="duplicateValues" dxfId="9" priority="4"/>
  </conditionalFormatting>
  <pageMargins left="0.7" right="0.7" top="0.75" bottom="0.75" header="0.3" footer="0.3"/>
  <pageSetup scale="58" orientation="landscape" r:id="rId1"/>
  <rowBreaks count="14" manualBreakCount="14">
    <brk id="20" max="16383" man="1"/>
    <brk id="74" max="16383" man="1"/>
    <brk id="128" max="9" man="1"/>
    <brk id="162" max="16383" man="1"/>
    <brk id="169" max="16383" man="1"/>
    <brk id="176" max="16383" man="1"/>
    <brk id="183" max="16383" man="1"/>
    <brk id="186" max="16383" man="1"/>
    <brk id="240" max="9" man="1"/>
    <brk id="249" max="16383" man="1"/>
    <brk id="296" max="16383" man="1"/>
    <brk id="308" max="16383" man="1"/>
    <brk id="311" max="16383" man="1"/>
    <brk id="33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450"/>
  <sheetViews>
    <sheetView workbookViewId="0">
      <selection activeCell="D27" sqref="D27"/>
    </sheetView>
  </sheetViews>
  <sheetFormatPr defaultColWidth="8.6640625" defaultRowHeight="12.75" x14ac:dyDescent="0.2"/>
  <cols>
    <col min="1" max="1" width="2.77734375" style="27" customWidth="1"/>
    <col min="2" max="2" width="14.77734375" style="27" customWidth="1"/>
    <col min="3" max="3" width="12.77734375" style="71" customWidth="1"/>
    <col min="4" max="4" width="12.77734375" style="72" customWidth="1"/>
    <col min="5" max="5" width="20.77734375" style="27" customWidth="1"/>
    <col min="6" max="6" width="4.77734375" style="27" customWidth="1"/>
    <col min="7" max="7" width="8.77734375" style="27" customWidth="1"/>
    <col min="8" max="16384" width="8.6640625" style="27"/>
  </cols>
  <sheetData>
    <row r="1" spans="1:7" x14ac:dyDescent="0.2">
      <c r="A1" s="27" t="s">
        <v>175</v>
      </c>
      <c r="B1" s="323" t="s">
        <v>3239</v>
      </c>
      <c r="D1" s="71">
        <v>46000000</v>
      </c>
      <c r="E1" s="27" t="s">
        <v>176</v>
      </c>
      <c r="F1" s="27" t="s">
        <v>177</v>
      </c>
      <c r="G1" s="38">
        <v>41518</v>
      </c>
    </row>
    <row r="2" spans="1:7" x14ac:dyDescent="0.2">
      <c r="A2" s="27" t="s">
        <v>175</v>
      </c>
      <c r="B2" s="323" t="s">
        <v>3240</v>
      </c>
      <c r="D2" s="71">
        <v>115464800</v>
      </c>
      <c r="E2" s="27" t="s">
        <v>176</v>
      </c>
      <c r="F2" s="27" t="s">
        <v>177</v>
      </c>
      <c r="G2" s="38">
        <v>41518</v>
      </c>
    </row>
    <row r="3" spans="1:7" x14ac:dyDescent="0.2">
      <c r="A3" s="27" t="s">
        <v>175</v>
      </c>
      <c r="B3" s="323" t="s">
        <v>3241</v>
      </c>
      <c r="D3" s="71">
        <v>731174400</v>
      </c>
      <c r="E3" s="27" t="s">
        <v>176</v>
      </c>
      <c r="F3" s="27" t="s">
        <v>177</v>
      </c>
      <c r="G3" s="38">
        <v>41518</v>
      </c>
    </row>
    <row r="4" spans="1:7" x14ac:dyDescent="0.2">
      <c r="A4" s="27" t="s">
        <v>175</v>
      </c>
      <c r="B4" s="325" t="s">
        <v>3242</v>
      </c>
      <c r="C4" s="71">
        <v>90000000</v>
      </c>
      <c r="D4" s="71"/>
      <c r="E4" s="27" t="s">
        <v>176</v>
      </c>
      <c r="F4" s="27" t="s">
        <v>177</v>
      </c>
      <c r="G4" s="38">
        <v>41518</v>
      </c>
    </row>
    <row r="5" spans="1:7" x14ac:dyDescent="0.2">
      <c r="A5" s="27" t="s">
        <v>175</v>
      </c>
      <c r="B5" s="323" t="s">
        <v>3243</v>
      </c>
      <c r="D5" s="71">
        <v>850000</v>
      </c>
      <c r="E5" s="27" t="s">
        <v>176</v>
      </c>
      <c r="F5" s="27" t="s">
        <v>177</v>
      </c>
      <c r="G5" s="38">
        <v>41518</v>
      </c>
    </row>
    <row r="6" spans="1:7" x14ac:dyDescent="0.2">
      <c r="A6" s="27" t="s">
        <v>175</v>
      </c>
      <c r="B6" s="323" t="s">
        <v>3244</v>
      </c>
      <c r="D6" s="71">
        <v>1200000</v>
      </c>
      <c r="E6" s="27" t="s">
        <v>176</v>
      </c>
      <c r="F6" s="27" t="s">
        <v>177</v>
      </c>
      <c r="G6" s="38">
        <v>41518</v>
      </c>
    </row>
    <row r="7" spans="1:7" x14ac:dyDescent="0.2">
      <c r="A7" s="27" t="s">
        <v>175</v>
      </c>
      <c r="B7" s="323" t="s">
        <v>3245</v>
      </c>
      <c r="D7" s="71">
        <v>2500000</v>
      </c>
      <c r="E7" s="27" t="s">
        <v>176</v>
      </c>
      <c r="F7" s="27" t="s">
        <v>177</v>
      </c>
      <c r="G7" s="38">
        <v>41518</v>
      </c>
    </row>
    <row r="8" spans="1:7" x14ac:dyDescent="0.2">
      <c r="A8" s="27" t="s">
        <v>175</v>
      </c>
      <c r="B8" s="323" t="s">
        <v>3246</v>
      </c>
      <c r="D8" s="71">
        <v>3060000</v>
      </c>
      <c r="E8" s="27" t="s">
        <v>176</v>
      </c>
      <c r="F8" s="27" t="s">
        <v>177</v>
      </c>
      <c r="G8" s="38">
        <v>41518</v>
      </c>
    </row>
    <row r="9" spans="1:7" x14ac:dyDescent="0.2">
      <c r="A9" s="27" t="s">
        <v>175</v>
      </c>
      <c r="B9" s="323" t="s">
        <v>3247</v>
      </c>
      <c r="D9" s="71">
        <v>12500000</v>
      </c>
      <c r="E9" s="27" t="s">
        <v>176</v>
      </c>
      <c r="F9" s="27" t="s">
        <v>177</v>
      </c>
      <c r="G9" s="38">
        <v>41518</v>
      </c>
    </row>
    <row r="10" spans="1:7" x14ac:dyDescent="0.2">
      <c r="A10" s="27" t="s">
        <v>175</v>
      </c>
      <c r="B10" s="323" t="s">
        <v>3248</v>
      </c>
      <c r="D10" s="71">
        <v>13000000</v>
      </c>
      <c r="E10" s="27" t="s">
        <v>176</v>
      </c>
      <c r="F10" s="27" t="s">
        <v>177</v>
      </c>
      <c r="G10" s="38">
        <v>41518</v>
      </c>
    </row>
    <row r="11" spans="1:7" x14ac:dyDescent="0.2">
      <c r="A11" s="27" t="s">
        <v>175</v>
      </c>
      <c r="B11" s="323" t="s">
        <v>3249</v>
      </c>
      <c r="D11" s="71">
        <v>13500000</v>
      </c>
      <c r="E11" s="27" t="s">
        <v>176</v>
      </c>
      <c r="F11" s="27" t="s">
        <v>177</v>
      </c>
      <c r="G11" s="38">
        <v>41518</v>
      </c>
    </row>
    <row r="12" spans="1:7" x14ac:dyDescent="0.2">
      <c r="A12" s="27" t="s">
        <v>175</v>
      </c>
      <c r="B12" s="323" t="s">
        <v>3250</v>
      </c>
      <c r="D12" s="71">
        <v>35000000</v>
      </c>
      <c r="E12" s="27" t="s">
        <v>176</v>
      </c>
      <c r="F12" s="27" t="s">
        <v>177</v>
      </c>
      <c r="G12" s="38">
        <v>41518</v>
      </c>
    </row>
    <row r="13" spans="1:7" x14ac:dyDescent="0.2">
      <c r="A13" s="27" t="s">
        <v>175</v>
      </c>
      <c r="B13" s="323" t="s">
        <v>3251</v>
      </c>
      <c r="D13" s="71">
        <v>88000000</v>
      </c>
      <c r="E13" s="27" t="s">
        <v>176</v>
      </c>
      <c r="F13" s="27" t="s">
        <v>177</v>
      </c>
      <c r="G13" s="38">
        <v>41518</v>
      </c>
    </row>
    <row r="14" spans="1:7" x14ac:dyDescent="0.2">
      <c r="A14" s="27" t="s">
        <v>175</v>
      </c>
      <c r="B14" s="323" t="s">
        <v>3252</v>
      </c>
      <c r="D14" s="71">
        <v>90750000</v>
      </c>
      <c r="E14" s="27" t="s">
        <v>176</v>
      </c>
      <c r="F14" s="27" t="s">
        <v>177</v>
      </c>
      <c r="G14" s="38">
        <v>41518</v>
      </c>
    </row>
    <row r="15" spans="1:7" x14ac:dyDescent="0.2">
      <c r="A15" s="27" t="s">
        <v>175</v>
      </c>
      <c r="B15" s="323" t="s">
        <v>3253</v>
      </c>
      <c r="D15" s="71">
        <v>141918000</v>
      </c>
      <c r="E15" s="27" t="s">
        <v>176</v>
      </c>
      <c r="F15" s="27" t="s">
        <v>177</v>
      </c>
      <c r="G15" s="38">
        <v>41518</v>
      </c>
    </row>
    <row r="16" spans="1:7" x14ac:dyDescent="0.2">
      <c r="A16" s="27" t="s">
        <v>175</v>
      </c>
      <c r="B16" s="323" t="s">
        <v>3254</v>
      </c>
      <c r="D16" s="71">
        <v>143000000</v>
      </c>
      <c r="E16" s="27" t="s">
        <v>176</v>
      </c>
      <c r="F16" s="27" t="s">
        <v>177</v>
      </c>
      <c r="G16" s="38">
        <v>41518</v>
      </c>
    </row>
    <row r="17" spans="1:7" x14ac:dyDescent="0.2">
      <c r="A17" s="27" t="s">
        <v>175</v>
      </c>
      <c r="B17" s="323" t="s">
        <v>3255</v>
      </c>
      <c r="D17" s="71">
        <v>419760000</v>
      </c>
      <c r="E17" s="27" t="s">
        <v>176</v>
      </c>
      <c r="F17" s="27" t="s">
        <v>177</v>
      </c>
      <c r="G17" s="38">
        <v>41518</v>
      </c>
    </row>
    <row r="18" spans="1:7" x14ac:dyDescent="0.2">
      <c r="A18" s="27" t="s">
        <v>175</v>
      </c>
      <c r="B18" s="323" t="s">
        <v>3256</v>
      </c>
      <c r="D18" s="71">
        <v>654390000</v>
      </c>
      <c r="E18" s="27" t="s">
        <v>176</v>
      </c>
      <c r="F18" s="27" t="s">
        <v>177</v>
      </c>
      <c r="G18" s="38">
        <v>41518</v>
      </c>
    </row>
    <row r="19" spans="1:7" x14ac:dyDescent="0.2">
      <c r="A19" s="27" t="s">
        <v>175</v>
      </c>
      <c r="B19" s="323" t="s">
        <v>3257</v>
      </c>
      <c r="D19" s="71">
        <v>3500000</v>
      </c>
      <c r="E19" s="27" t="s">
        <v>176</v>
      </c>
      <c r="F19" s="27" t="s">
        <v>177</v>
      </c>
      <c r="G19" s="38">
        <v>41518</v>
      </c>
    </row>
    <row r="20" spans="1:7" x14ac:dyDescent="0.2">
      <c r="A20" s="27" t="s">
        <v>175</v>
      </c>
      <c r="B20" s="323" t="s">
        <v>3258</v>
      </c>
      <c r="D20" s="71">
        <v>162000000</v>
      </c>
      <c r="E20" s="27" t="s">
        <v>176</v>
      </c>
      <c r="F20" s="27" t="s">
        <v>177</v>
      </c>
      <c r="G20" s="38">
        <v>41518</v>
      </c>
    </row>
    <row r="21" spans="1:7" x14ac:dyDescent="0.2">
      <c r="A21" s="27" t="s">
        <v>175</v>
      </c>
      <c r="B21" s="323" t="s">
        <v>3259</v>
      </c>
      <c r="D21" s="71">
        <v>700000</v>
      </c>
      <c r="E21" s="27" t="s">
        <v>176</v>
      </c>
      <c r="F21" s="27" t="s">
        <v>177</v>
      </c>
      <c r="G21" s="38">
        <v>41518</v>
      </c>
    </row>
    <row r="22" spans="1:7" x14ac:dyDescent="0.2">
      <c r="A22" s="27" t="s">
        <v>175</v>
      </c>
      <c r="B22" s="323" t="s">
        <v>3260</v>
      </c>
      <c r="D22" s="71">
        <v>42500000</v>
      </c>
      <c r="E22" s="27" t="s">
        <v>176</v>
      </c>
      <c r="F22" s="27" t="s">
        <v>177</v>
      </c>
      <c r="G22" s="38">
        <v>41518</v>
      </c>
    </row>
    <row r="23" spans="1:7" x14ac:dyDescent="0.2">
      <c r="A23" s="27" t="s">
        <v>175</v>
      </c>
      <c r="B23" s="323" t="s">
        <v>3261</v>
      </c>
      <c r="D23" s="71">
        <v>1200000</v>
      </c>
      <c r="E23" s="27" t="s">
        <v>176</v>
      </c>
      <c r="F23" s="27" t="s">
        <v>177</v>
      </c>
      <c r="G23" s="38">
        <v>41518</v>
      </c>
    </row>
    <row r="24" spans="1:7" x14ac:dyDescent="0.2">
      <c r="A24" s="27" t="s">
        <v>175</v>
      </c>
      <c r="B24" s="323" t="s">
        <v>3262</v>
      </c>
      <c r="D24" s="71">
        <v>42200000</v>
      </c>
      <c r="E24" s="27" t="s">
        <v>176</v>
      </c>
      <c r="F24" s="27" t="s">
        <v>177</v>
      </c>
      <c r="G24" s="38">
        <v>41518</v>
      </c>
    </row>
    <row r="25" spans="1:7" x14ac:dyDescent="0.2">
      <c r="A25" s="27" t="s">
        <v>175</v>
      </c>
      <c r="B25" s="323" t="s">
        <v>3263</v>
      </c>
      <c r="D25" s="71">
        <v>900000</v>
      </c>
      <c r="E25" s="27" t="s">
        <v>176</v>
      </c>
      <c r="F25" s="27" t="s">
        <v>177</v>
      </c>
      <c r="G25" s="38">
        <v>41518</v>
      </c>
    </row>
    <row r="26" spans="1:7" x14ac:dyDescent="0.2">
      <c r="A26" s="27" t="s">
        <v>175</v>
      </c>
      <c r="B26" s="323" t="s">
        <v>3264</v>
      </c>
      <c r="D26" s="71">
        <v>1200000</v>
      </c>
      <c r="E26" s="27" t="s">
        <v>176</v>
      </c>
      <c r="F26" s="27" t="s">
        <v>177</v>
      </c>
      <c r="G26" s="38">
        <v>41518</v>
      </c>
    </row>
    <row r="27" spans="1:7" x14ac:dyDescent="0.2">
      <c r="A27" s="27" t="s">
        <v>175</v>
      </c>
      <c r="B27" s="323" t="s">
        <v>3265</v>
      </c>
      <c r="D27" s="71">
        <v>1500000</v>
      </c>
      <c r="E27" s="27" t="s">
        <v>176</v>
      </c>
      <c r="F27" s="27" t="s">
        <v>177</v>
      </c>
      <c r="G27" s="38">
        <v>41518</v>
      </c>
    </row>
    <row r="28" spans="1:7" x14ac:dyDescent="0.2">
      <c r="A28" s="27" t="s">
        <v>175</v>
      </c>
      <c r="B28" s="323" t="s">
        <v>3653</v>
      </c>
      <c r="D28" s="71">
        <v>2100000</v>
      </c>
      <c r="E28" s="27" t="s">
        <v>176</v>
      </c>
      <c r="F28" s="27" t="s">
        <v>177</v>
      </c>
      <c r="G28" s="38">
        <v>41518</v>
      </c>
    </row>
    <row r="29" spans="1:7" x14ac:dyDescent="0.2">
      <c r="A29" s="27" t="s">
        <v>175</v>
      </c>
      <c r="B29" s="323" t="s">
        <v>3654</v>
      </c>
      <c r="D29" s="71">
        <v>2500000</v>
      </c>
      <c r="E29" s="27" t="s">
        <v>176</v>
      </c>
      <c r="F29" s="27" t="s">
        <v>177</v>
      </c>
      <c r="G29" s="38">
        <v>41518</v>
      </c>
    </row>
    <row r="30" spans="1:7" x14ac:dyDescent="0.2">
      <c r="A30" s="27" t="s">
        <v>175</v>
      </c>
      <c r="B30" s="323" t="s">
        <v>3655</v>
      </c>
      <c r="D30" s="71">
        <v>2600000</v>
      </c>
      <c r="E30" s="27" t="s">
        <v>176</v>
      </c>
      <c r="F30" s="27" t="s">
        <v>177</v>
      </c>
      <c r="G30" s="38">
        <v>41518</v>
      </c>
    </row>
    <row r="31" spans="1:7" x14ac:dyDescent="0.2">
      <c r="A31" s="27" t="s">
        <v>175</v>
      </c>
      <c r="B31" s="323" t="s">
        <v>3656</v>
      </c>
      <c r="D31" s="71">
        <v>3000000</v>
      </c>
      <c r="E31" s="27" t="s">
        <v>176</v>
      </c>
      <c r="F31" s="27" t="s">
        <v>177</v>
      </c>
      <c r="G31" s="38">
        <v>41518</v>
      </c>
    </row>
    <row r="32" spans="1:7" x14ac:dyDescent="0.2">
      <c r="A32" s="27" t="s">
        <v>175</v>
      </c>
      <c r="B32" s="323" t="s">
        <v>3657</v>
      </c>
      <c r="D32" s="71">
        <v>8200000</v>
      </c>
      <c r="E32" s="27" t="s">
        <v>176</v>
      </c>
      <c r="F32" s="27" t="s">
        <v>177</v>
      </c>
      <c r="G32" s="38">
        <v>41518</v>
      </c>
    </row>
    <row r="33" spans="1:7" x14ac:dyDescent="0.2">
      <c r="A33" s="27" t="s">
        <v>175</v>
      </c>
      <c r="B33" s="323" t="s">
        <v>3658</v>
      </c>
      <c r="D33" s="71">
        <v>14000000</v>
      </c>
      <c r="E33" s="27" t="s">
        <v>176</v>
      </c>
      <c r="F33" s="27" t="s">
        <v>177</v>
      </c>
      <c r="G33" s="38">
        <v>41518</v>
      </c>
    </row>
    <row r="34" spans="1:7" x14ac:dyDescent="0.2">
      <c r="A34" s="27" t="s">
        <v>175</v>
      </c>
      <c r="B34" s="323" t="s">
        <v>3659</v>
      </c>
      <c r="D34" s="71">
        <v>14000000</v>
      </c>
      <c r="E34" s="27" t="s">
        <v>176</v>
      </c>
      <c r="F34" s="27" t="s">
        <v>177</v>
      </c>
      <c r="G34" s="38">
        <v>41518</v>
      </c>
    </row>
    <row r="35" spans="1:7" x14ac:dyDescent="0.2">
      <c r="A35" s="27" t="s">
        <v>175</v>
      </c>
      <c r="B35" s="323" t="s">
        <v>3660</v>
      </c>
      <c r="D35" s="71">
        <v>14220000</v>
      </c>
      <c r="E35" s="27" t="s">
        <v>176</v>
      </c>
      <c r="F35" s="27" t="s">
        <v>177</v>
      </c>
      <c r="G35" s="38">
        <v>41518</v>
      </c>
    </row>
    <row r="36" spans="1:7" x14ac:dyDescent="0.2">
      <c r="A36" s="27" t="s">
        <v>175</v>
      </c>
      <c r="B36" s="323" t="s">
        <v>3661</v>
      </c>
      <c r="D36" s="71">
        <v>127027200</v>
      </c>
      <c r="E36" s="27" t="s">
        <v>176</v>
      </c>
      <c r="F36" s="27" t="s">
        <v>177</v>
      </c>
      <c r="G36" s="38">
        <v>41518</v>
      </c>
    </row>
    <row r="37" spans="1:7" x14ac:dyDescent="0.2">
      <c r="A37" s="27" t="s">
        <v>175</v>
      </c>
      <c r="B37" s="323" t="s">
        <v>3266</v>
      </c>
      <c r="D37" s="71">
        <v>200000</v>
      </c>
      <c r="E37" s="27" t="s">
        <v>176</v>
      </c>
      <c r="F37" s="27" t="s">
        <v>177</v>
      </c>
      <c r="G37" s="38">
        <v>41518</v>
      </c>
    </row>
    <row r="38" spans="1:7" x14ac:dyDescent="0.2">
      <c r="A38" s="27" t="s">
        <v>175</v>
      </c>
      <c r="B38" s="323" t="s">
        <v>3662</v>
      </c>
      <c r="D38" s="71">
        <v>250000</v>
      </c>
      <c r="E38" s="27" t="s">
        <v>176</v>
      </c>
      <c r="F38" s="27" t="s">
        <v>177</v>
      </c>
      <c r="G38" s="38">
        <v>41518</v>
      </c>
    </row>
    <row r="39" spans="1:7" x14ac:dyDescent="0.2">
      <c r="A39" s="27" t="s">
        <v>175</v>
      </c>
      <c r="B39" s="323" t="s">
        <v>3663</v>
      </c>
      <c r="D39" s="71">
        <v>500000</v>
      </c>
      <c r="E39" s="27" t="s">
        <v>176</v>
      </c>
      <c r="F39" s="27" t="s">
        <v>177</v>
      </c>
      <c r="G39" s="38">
        <v>41518</v>
      </c>
    </row>
    <row r="40" spans="1:7" x14ac:dyDescent="0.2">
      <c r="A40" s="27" t="s">
        <v>175</v>
      </c>
      <c r="B40" s="323" t="s">
        <v>3664</v>
      </c>
      <c r="D40" s="71">
        <v>2000000</v>
      </c>
      <c r="E40" s="27" t="s">
        <v>176</v>
      </c>
      <c r="F40" s="27" t="s">
        <v>177</v>
      </c>
      <c r="G40" s="38">
        <v>41518</v>
      </c>
    </row>
    <row r="41" spans="1:7" x14ac:dyDescent="0.2">
      <c r="A41" s="27" t="s">
        <v>175</v>
      </c>
      <c r="B41" s="323" t="s">
        <v>3665</v>
      </c>
      <c r="D41" s="71">
        <v>5000000</v>
      </c>
      <c r="E41" s="27" t="s">
        <v>176</v>
      </c>
      <c r="F41" s="27" t="s">
        <v>177</v>
      </c>
      <c r="G41" s="38">
        <v>41518</v>
      </c>
    </row>
    <row r="42" spans="1:7" x14ac:dyDescent="0.2">
      <c r="A42" s="27" t="s">
        <v>175</v>
      </c>
      <c r="B42" s="323" t="s">
        <v>3666</v>
      </c>
      <c r="D42" s="374">
        <v>8000000</v>
      </c>
      <c r="E42" s="27" t="s">
        <v>176</v>
      </c>
      <c r="F42" s="27" t="s">
        <v>177</v>
      </c>
      <c r="G42" s="38">
        <v>41518</v>
      </c>
    </row>
    <row r="43" spans="1:7" x14ac:dyDescent="0.2">
      <c r="A43" s="27" t="s">
        <v>175</v>
      </c>
      <c r="B43" s="323" t="s">
        <v>3667</v>
      </c>
      <c r="D43" s="71">
        <v>10000000</v>
      </c>
      <c r="E43" s="27" t="s">
        <v>176</v>
      </c>
      <c r="F43" s="27" t="s">
        <v>177</v>
      </c>
      <c r="G43" s="38">
        <v>41518</v>
      </c>
    </row>
    <row r="44" spans="1:7" x14ac:dyDescent="0.2">
      <c r="A44" s="27" t="s">
        <v>175</v>
      </c>
      <c r="B44" s="323" t="s">
        <v>3668</v>
      </c>
      <c r="D44" s="71">
        <v>10000000</v>
      </c>
      <c r="E44" s="27" t="s">
        <v>176</v>
      </c>
      <c r="F44" s="27" t="s">
        <v>177</v>
      </c>
      <c r="G44" s="38">
        <v>41518</v>
      </c>
    </row>
    <row r="45" spans="1:7" x14ac:dyDescent="0.2">
      <c r="A45" s="27" t="s">
        <v>175</v>
      </c>
      <c r="B45" s="323" t="s">
        <v>3669</v>
      </c>
      <c r="D45" s="71">
        <v>33000000</v>
      </c>
      <c r="E45" s="27" t="s">
        <v>176</v>
      </c>
      <c r="F45" s="27" t="s">
        <v>177</v>
      </c>
      <c r="G45" s="38">
        <v>41518</v>
      </c>
    </row>
    <row r="46" spans="1:7" x14ac:dyDescent="0.2">
      <c r="A46" s="27" t="s">
        <v>175</v>
      </c>
      <c r="B46" s="323" t="s">
        <v>3670</v>
      </c>
      <c r="D46" s="71">
        <v>44500000</v>
      </c>
      <c r="E46" s="27" t="s">
        <v>176</v>
      </c>
      <c r="F46" s="27" t="s">
        <v>177</v>
      </c>
      <c r="G46" s="38">
        <v>41518</v>
      </c>
    </row>
    <row r="47" spans="1:7" x14ac:dyDescent="0.2">
      <c r="A47" s="27" t="s">
        <v>175</v>
      </c>
      <c r="B47" s="323" t="s">
        <v>3267</v>
      </c>
      <c r="D47" s="71">
        <v>3220500</v>
      </c>
      <c r="E47" s="27" t="s">
        <v>176</v>
      </c>
      <c r="F47" s="27" t="s">
        <v>177</v>
      </c>
      <c r="G47" s="38">
        <v>41518</v>
      </c>
    </row>
    <row r="48" spans="1:7" x14ac:dyDescent="0.2">
      <c r="A48" s="27" t="s">
        <v>175</v>
      </c>
      <c r="B48" s="323" t="s">
        <v>3671</v>
      </c>
      <c r="D48" s="71">
        <v>3388100</v>
      </c>
      <c r="E48" s="27" t="s">
        <v>176</v>
      </c>
      <c r="F48" s="27" t="s">
        <v>177</v>
      </c>
      <c r="G48" s="38">
        <v>41518</v>
      </c>
    </row>
    <row r="49" spans="1:7" x14ac:dyDescent="0.2">
      <c r="A49" s="27" t="s">
        <v>175</v>
      </c>
      <c r="B49" s="323" t="s">
        <v>3672</v>
      </c>
      <c r="D49" s="71">
        <v>12260200</v>
      </c>
      <c r="E49" s="27" t="s">
        <v>176</v>
      </c>
      <c r="F49" s="27" t="s">
        <v>177</v>
      </c>
      <c r="G49" s="38">
        <v>41518</v>
      </c>
    </row>
    <row r="50" spans="1:7" x14ac:dyDescent="0.2">
      <c r="A50" s="27" t="s">
        <v>175</v>
      </c>
      <c r="B50" s="323" t="s">
        <v>3673</v>
      </c>
      <c r="D50" s="71">
        <v>13691300</v>
      </c>
      <c r="E50" s="27" t="s">
        <v>176</v>
      </c>
      <c r="F50" s="27" t="s">
        <v>177</v>
      </c>
      <c r="G50" s="38">
        <v>41518</v>
      </c>
    </row>
    <row r="51" spans="1:7" x14ac:dyDescent="0.2">
      <c r="A51" s="27" t="s">
        <v>175</v>
      </c>
      <c r="B51" s="323" t="s">
        <v>3674</v>
      </c>
      <c r="D51" s="71">
        <v>43592500</v>
      </c>
      <c r="E51" s="27" t="s">
        <v>176</v>
      </c>
      <c r="F51" s="27" t="s">
        <v>177</v>
      </c>
      <c r="G51" s="38">
        <v>41518</v>
      </c>
    </row>
    <row r="52" spans="1:7" x14ac:dyDescent="0.2">
      <c r="A52" s="27" t="s">
        <v>175</v>
      </c>
      <c r="B52" s="323" t="s">
        <v>3268</v>
      </c>
      <c r="D52" s="71">
        <v>6213000</v>
      </c>
      <c r="E52" s="27" t="s">
        <v>176</v>
      </c>
      <c r="F52" s="27" t="s">
        <v>177</v>
      </c>
      <c r="G52" s="38">
        <v>41518</v>
      </c>
    </row>
    <row r="53" spans="1:7" x14ac:dyDescent="0.2">
      <c r="A53" s="27" t="s">
        <v>175</v>
      </c>
      <c r="B53" s="323" t="s">
        <v>3675</v>
      </c>
      <c r="D53" s="71">
        <v>10200000</v>
      </c>
      <c r="E53" s="27" t="s">
        <v>176</v>
      </c>
      <c r="F53" s="27" t="s">
        <v>177</v>
      </c>
      <c r="G53" s="38">
        <v>41518</v>
      </c>
    </row>
    <row r="54" spans="1:7" x14ac:dyDescent="0.2">
      <c r="A54" s="27" t="s">
        <v>175</v>
      </c>
      <c r="B54" s="323" t="s">
        <v>3676</v>
      </c>
      <c r="D54" s="71">
        <v>14753400</v>
      </c>
      <c r="E54" s="27" t="s">
        <v>176</v>
      </c>
      <c r="F54" s="27" t="s">
        <v>177</v>
      </c>
      <c r="G54" s="38">
        <v>41518</v>
      </c>
    </row>
    <row r="55" spans="1:7" x14ac:dyDescent="0.2">
      <c r="A55" s="27" t="s">
        <v>175</v>
      </c>
      <c r="B55" s="323" t="s">
        <v>3677</v>
      </c>
      <c r="D55" s="71">
        <v>22619700</v>
      </c>
      <c r="E55" s="27" t="s">
        <v>176</v>
      </c>
      <c r="F55" s="27" t="s">
        <v>177</v>
      </c>
      <c r="G55" s="38">
        <v>41518</v>
      </c>
    </row>
    <row r="56" spans="1:7" x14ac:dyDescent="0.2">
      <c r="A56" s="27" t="s">
        <v>175</v>
      </c>
      <c r="B56" s="323" t="s">
        <v>3678</v>
      </c>
      <c r="D56" s="71">
        <v>24695200</v>
      </c>
      <c r="E56" s="27" t="s">
        <v>176</v>
      </c>
      <c r="F56" s="27" t="s">
        <v>177</v>
      </c>
      <c r="G56" s="38">
        <v>41518</v>
      </c>
    </row>
    <row r="57" spans="1:7" x14ac:dyDescent="0.2">
      <c r="A57" s="27" t="s">
        <v>175</v>
      </c>
      <c r="B57" s="323" t="s">
        <v>3679</v>
      </c>
      <c r="D57" s="71">
        <v>30092300</v>
      </c>
      <c r="E57" s="27" t="s">
        <v>176</v>
      </c>
      <c r="F57" s="27" t="s">
        <v>177</v>
      </c>
      <c r="G57" s="38">
        <v>41518</v>
      </c>
    </row>
    <row r="58" spans="1:7" x14ac:dyDescent="0.2">
      <c r="A58" s="27" t="s">
        <v>175</v>
      </c>
      <c r="B58" s="323" t="s">
        <v>3680</v>
      </c>
      <c r="D58" s="71">
        <v>64601700</v>
      </c>
      <c r="E58" s="27" t="s">
        <v>176</v>
      </c>
      <c r="F58" s="27" t="s">
        <v>177</v>
      </c>
      <c r="G58" s="38">
        <v>41518</v>
      </c>
    </row>
    <row r="59" spans="1:7" x14ac:dyDescent="0.2">
      <c r="A59" s="27" t="s">
        <v>175</v>
      </c>
      <c r="B59" s="323" t="s">
        <v>3681</v>
      </c>
      <c r="D59" s="71">
        <v>1200000000</v>
      </c>
      <c r="E59" s="27" t="s">
        <v>176</v>
      </c>
      <c r="F59" s="27" t="s">
        <v>177</v>
      </c>
      <c r="G59" s="38">
        <v>41518</v>
      </c>
    </row>
    <row r="60" spans="1:7" x14ac:dyDescent="0.2">
      <c r="A60" s="27" t="s">
        <v>175</v>
      </c>
      <c r="B60" s="323" t="s">
        <v>3269</v>
      </c>
      <c r="D60" s="71">
        <v>30000000</v>
      </c>
      <c r="E60" s="27" t="s">
        <v>176</v>
      </c>
      <c r="F60" s="27" t="s">
        <v>177</v>
      </c>
      <c r="G60" s="38">
        <v>41518</v>
      </c>
    </row>
    <row r="61" spans="1:7" x14ac:dyDescent="0.2">
      <c r="A61" s="27" t="s">
        <v>175</v>
      </c>
      <c r="B61" s="325" t="s">
        <v>3270</v>
      </c>
      <c r="C61" s="71">
        <v>7403700</v>
      </c>
      <c r="E61" s="27" t="s">
        <v>176</v>
      </c>
      <c r="F61" s="27" t="s">
        <v>177</v>
      </c>
      <c r="G61" s="38">
        <v>41518</v>
      </c>
    </row>
    <row r="62" spans="1:7" x14ac:dyDescent="0.2">
      <c r="A62" s="27" t="s">
        <v>175</v>
      </c>
      <c r="B62" s="325" t="s">
        <v>3271</v>
      </c>
      <c r="C62" s="71">
        <v>1552600</v>
      </c>
      <c r="E62" s="27" t="s">
        <v>176</v>
      </c>
      <c r="F62" s="27" t="s">
        <v>177</v>
      </c>
      <c r="G62" s="38">
        <v>41518</v>
      </c>
    </row>
    <row r="63" spans="1:7" x14ac:dyDescent="0.2">
      <c r="A63" s="27" t="s">
        <v>175</v>
      </c>
      <c r="B63" s="325" t="s">
        <v>3272</v>
      </c>
      <c r="C63" s="71">
        <v>1159000</v>
      </c>
      <c r="E63" s="27" t="s">
        <v>176</v>
      </c>
      <c r="F63" s="27" t="s">
        <v>177</v>
      </c>
      <c r="G63" s="38">
        <v>41518</v>
      </c>
    </row>
    <row r="64" spans="1:7" x14ac:dyDescent="0.2">
      <c r="A64" s="27" t="s">
        <v>175</v>
      </c>
      <c r="B64" s="325" t="s">
        <v>3273</v>
      </c>
      <c r="C64" s="71">
        <v>1100000</v>
      </c>
      <c r="E64" s="27" t="s">
        <v>176</v>
      </c>
      <c r="F64" s="27" t="s">
        <v>177</v>
      </c>
      <c r="G64" s="38">
        <v>41518</v>
      </c>
    </row>
    <row r="65" spans="1:7" x14ac:dyDescent="0.2">
      <c r="A65" s="27" t="s">
        <v>175</v>
      </c>
      <c r="B65" s="325" t="s">
        <v>3274</v>
      </c>
      <c r="C65" s="71">
        <v>200000</v>
      </c>
      <c r="E65" s="27" t="s">
        <v>176</v>
      </c>
      <c r="F65" s="27" t="s">
        <v>177</v>
      </c>
      <c r="G65" s="38">
        <v>41518</v>
      </c>
    </row>
    <row r="66" spans="1:7" x14ac:dyDescent="0.2">
      <c r="A66" s="27" t="s">
        <v>175</v>
      </c>
      <c r="B66" s="325" t="s">
        <v>3275</v>
      </c>
      <c r="C66" s="71">
        <v>1358500</v>
      </c>
      <c r="E66" s="27" t="s">
        <v>176</v>
      </c>
      <c r="F66" s="27" t="s">
        <v>177</v>
      </c>
      <c r="G66" s="38">
        <v>41518</v>
      </c>
    </row>
    <row r="67" spans="1:7" x14ac:dyDescent="0.2">
      <c r="A67" s="27" t="s">
        <v>175</v>
      </c>
      <c r="B67" s="325" t="s">
        <v>3276</v>
      </c>
      <c r="C67" s="71">
        <v>90100</v>
      </c>
      <c r="E67" s="27" t="s">
        <v>176</v>
      </c>
      <c r="F67" s="27" t="s">
        <v>177</v>
      </c>
      <c r="G67" s="38">
        <v>41518</v>
      </c>
    </row>
    <row r="68" spans="1:7" x14ac:dyDescent="0.2">
      <c r="A68" s="27" t="s">
        <v>175</v>
      </c>
      <c r="B68" s="325" t="s">
        <v>3277</v>
      </c>
      <c r="C68" s="71">
        <v>60000</v>
      </c>
      <c r="E68" s="27" t="s">
        <v>176</v>
      </c>
      <c r="F68" s="27" t="s">
        <v>177</v>
      </c>
      <c r="G68" s="38">
        <v>41518</v>
      </c>
    </row>
    <row r="69" spans="1:7" x14ac:dyDescent="0.2">
      <c r="A69" s="27" t="s">
        <v>175</v>
      </c>
      <c r="B69" s="325" t="s">
        <v>3278</v>
      </c>
      <c r="C69" s="71">
        <v>372000</v>
      </c>
      <c r="E69" s="27" t="s">
        <v>176</v>
      </c>
      <c r="F69" s="27" t="s">
        <v>177</v>
      </c>
      <c r="G69" s="38">
        <v>41518</v>
      </c>
    </row>
    <row r="70" spans="1:7" x14ac:dyDescent="0.2">
      <c r="A70" s="27" t="s">
        <v>175</v>
      </c>
      <c r="B70" s="325" t="s">
        <v>3279</v>
      </c>
      <c r="C70" s="71">
        <v>132500</v>
      </c>
      <c r="E70" s="27" t="s">
        <v>176</v>
      </c>
      <c r="F70" s="27" t="s">
        <v>177</v>
      </c>
      <c r="G70" s="38">
        <v>41518</v>
      </c>
    </row>
    <row r="71" spans="1:7" x14ac:dyDescent="0.2">
      <c r="A71" s="27" t="s">
        <v>175</v>
      </c>
      <c r="B71" s="325" t="s">
        <v>3280</v>
      </c>
      <c r="C71" s="71">
        <v>114000</v>
      </c>
      <c r="E71" s="27" t="s">
        <v>176</v>
      </c>
      <c r="F71" s="27" t="s">
        <v>177</v>
      </c>
      <c r="G71" s="38">
        <v>41518</v>
      </c>
    </row>
    <row r="72" spans="1:7" x14ac:dyDescent="0.2">
      <c r="A72" s="27" t="s">
        <v>175</v>
      </c>
      <c r="B72" s="325" t="s">
        <v>3281</v>
      </c>
      <c r="C72" s="71">
        <v>227500</v>
      </c>
      <c r="E72" s="27" t="s">
        <v>176</v>
      </c>
      <c r="F72" s="27" t="s">
        <v>177</v>
      </c>
      <c r="G72" s="38">
        <v>41518</v>
      </c>
    </row>
    <row r="73" spans="1:7" x14ac:dyDescent="0.2">
      <c r="A73" s="27" t="s">
        <v>175</v>
      </c>
      <c r="B73" s="325" t="s">
        <v>3282</v>
      </c>
      <c r="C73" s="71">
        <v>196900</v>
      </c>
      <c r="E73" s="27" t="s">
        <v>176</v>
      </c>
      <c r="F73" s="27" t="s">
        <v>177</v>
      </c>
      <c r="G73" s="38">
        <v>41518</v>
      </c>
    </row>
    <row r="74" spans="1:7" x14ac:dyDescent="0.2">
      <c r="A74" s="27" t="s">
        <v>175</v>
      </c>
      <c r="B74" s="325" t="s">
        <v>3283</v>
      </c>
      <c r="C74" s="71">
        <v>279000</v>
      </c>
      <c r="E74" s="27" t="s">
        <v>176</v>
      </c>
      <c r="F74" s="27" t="s">
        <v>177</v>
      </c>
      <c r="G74" s="38">
        <v>41518</v>
      </c>
    </row>
    <row r="75" spans="1:7" x14ac:dyDescent="0.2">
      <c r="A75" s="27" t="s">
        <v>175</v>
      </c>
      <c r="B75" s="325" t="s">
        <v>3284</v>
      </c>
      <c r="C75" s="71">
        <v>2895000</v>
      </c>
      <c r="E75" s="27" t="s">
        <v>176</v>
      </c>
      <c r="F75" s="27" t="s">
        <v>177</v>
      </c>
      <c r="G75" s="38">
        <v>41518</v>
      </c>
    </row>
    <row r="76" spans="1:7" x14ac:dyDescent="0.2">
      <c r="A76" s="27" t="s">
        <v>175</v>
      </c>
      <c r="B76" s="325" t="s">
        <v>3285</v>
      </c>
      <c r="C76" s="71">
        <v>4409996</v>
      </c>
      <c r="E76" s="27" t="s">
        <v>176</v>
      </c>
      <c r="F76" s="27" t="s">
        <v>177</v>
      </c>
      <c r="G76" s="38">
        <v>41518</v>
      </c>
    </row>
    <row r="77" spans="1:7" x14ac:dyDescent="0.2">
      <c r="A77" s="27" t="s">
        <v>175</v>
      </c>
      <c r="B77" s="325" t="s">
        <v>3286</v>
      </c>
      <c r="C77" s="71">
        <v>2555000</v>
      </c>
      <c r="E77" s="27" t="s">
        <v>176</v>
      </c>
      <c r="F77" s="27" t="s">
        <v>177</v>
      </c>
      <c r="G77" s="38">
        <v>41518</v>
      </c>
    </row>
    <row r="78" spans="1:7" x14ac:dyDescent="0.2">
      <c r="A78" s="27" t="s">
        <v>175</v>
      </c>
      <c r="B78" s="325" t="s">
        <v>3287</v>
      </c>
      <c r="C78" s="71">
        <v>2120000</v>
      </c>
      <c r="E78" s="27" t="s">
        <v>176</v>
      </c>
      <c r="F78" s="27" t="s">
        <v>177</v>
      </c>
      <c r="G78" s="38">
        <v>41518</v>
      </c>
    </row>
    <row r="79" spans="1:7" x14ac:dyDescent="0.2">
      <c r="A79" s="27" t="s">
        <v>175</v>
      </c>
      <c r="B79" s="325" t="s">
        <v>3288</v>
      </c>
      <c r="C79" s="71">
        <v>4016652</v>
      </c>
      <c r="E79" s="27" t="s">
        <v>176</v>
      </c>
      <c r="F79" s="27" t="s">
        <v>177</v>
      </c>
      <c r="G79" s="38">
        <v>41518</v>
      </c>
    </row>
    <row r="80" spans="1:7" x14ac:dyDescent="0.2">
      <c r="A80" s="27" t="s">
        <v>175</v>
      </c>
      <c r="B80" s="325" t="s">
        <v>3289</v>
      </c>
      <c r="C80" s="71">
        <v>3226795</v>
      </c>
      <c r="E80" s="27" t="s">
        <v>176</v>
      </c>
      <c r="F80" s="27" t="s">
        <v>177</v>
      </c>
      <c r="G80" s="38">
        <v>41518</v>
      </c>
    </row>
    <row r="81" spans="1:7" x14ac:dyDescent="0.2">
      <c r="A81" s="27" t="s">
        <v>175</v>
      </c>
      <c r="B81" s="325" t="s">
        <v>3290</v>
      </c>
      <c r="C81" s="71">
        <v>3585000</v>
      </c>
      <c r="E81" s="27" t="s">
        <v>176</v>
      </c>
      <c r="F81" s="27" t="s">
        <v>177</v>
      </c>
      <c r="G81" s="38">
        <v>41518</v>
      </c>
    </row>
    <row r="82" spans="1:7" x14ac:dyDescent="0.2">
      <c r="A82" s="27" t="s">
        <v>175</v>
      </c>
      <c r="B82" s="325" t="s">
        <v>3291</v>
      </c>
      <c r="C82" s="71">
        <v>348600</v>
      </c>
      <c r="E82" s="27" t="s">
        <v>176</v>
      </c>
      <c r="F82" s="27" t="s">
        <v>177</v>
      </c>
      <c r="G82" s="38">
        <v>41518</v>
      </c>
    </row>
    <row r="83" spans="1:7" x14ac:dyDescent="0.2">
      <c r="A83" s="27" t="s">
        <v>175</v>
      </c>
      <c r="B83" s="325" t="s">
        <v>3292</v>
      </c>
      <c r="C83" s="71">
        <v>235000</v>
      </c>
      <c r="E83" s="27" t="s">
        <v>176</v>
      </c>
      <c r="F83" s="27" t="s">
        <v>177</v>
      </c>
      <c r="G83" s="38">
        <v>41518</v>
      </c>
    </row>
    <row r="84" spans="1:7" x14ac:dyDescent="0.2">
      <c r="A84" s="27" t="s">
        <v>175</v>
      </c>
      <c r="B84" s="325" t="s">
        <v>3293</v>
      </c>
      <c r="C84" s="71">
        <v>50000</v>
      </c>
      <c r="E84" s="27" t="s">
        <v>176</v>
      </c>
      <c r="F84" s="27" t="s">
        <v>177</v>
      </c>
      <c r="G84" s="38">
        <v>41518</v>
      </c>
    </row>
    <row r="85" spans="1:7" x14ac:dyDescent="0.2">
      <c r="A85" s="27" t="s">
        <v>175</v>
      </c>
      <c r="B85" s="325" t="s">
        <v>3294</v>
      </c>
      <c r="C85" s="71">
        <v>70000</v>
      </c>
      <c r="E85" s="27" t="s">
        <v>176</v>
      </c>
      <c r="F85" s="27" t="s">
        <v>177</v>
      </c>
      <c r="G85" s="38">
        <v>41518</v>
      </c>
    </row>
    <row r="86" spans="1:7" x14ac:dyDescent="0.2">
      <c r="A86" s="27" t="s">
        <v>175</v>
      </c>
      <c r="B86" s="325" t="s">
        <v>3295</v>
      </c>
      <c r="C86" s="71">
        <v>337200</v>
      </c>
      <c r="E86" s="27" t="s">
        <v>176</v>
      </c>
      <c r="F86" s="27" t="s">
        <v>177</v>
      </c>
      <c r="G86" s="38">
        <v>41518</v>
      </c>
    </row>
    <row r="87" spans="1:7" x14ac:dyDescent="0.2">
      <c r="A87" s="27" t="s">
        <v>175</v>
      </c>
      <c r="B87" s="325" t="s">
        <v>3296</v>
      </c>
      <c r="C87" s="71">
        <v>405000</v>
      </c>
      <c r="E87" s="27" t="s">
        <v>176</v>
      </c>
      <c r="F87" s="27" t="s">
        <v>177</v>
      </c>
      <c r="G87" s="38">
        <v>41518</v>
      </c>
    </row>
    <row r="88" spans="1:7" x14ac:dyDescent="0.2">
      <c r="A88" s="27" t="s">
        <v>175</v>
      </c>
      <c r="B88" s="325" t="s">
        <v>3297</v>
      </c>
      <c r="C88" s="71">
        <v>145000</v>
      </c>
      <c r="E88" s="27" t="s">
        <v>176</v>
      </c>
      <c r="F88" s="27" t="s">
        <v>177</v>
      </c>
      <c r="G88" s="38">
        <v>41518</v>
      </c>
    </row>
    <row r="89" spans="1:7" x14ac:dyDescent="0.2">
      <c r="A89" s="27" t="s">
        <v>175</v>
      </c>
      <c r="B89" s="325" t="s">
        <v>3298</v>
      </c>
      <c r="C89" s="71">
        <v>100000</v>
      </c>
      <c r="E89" s="27" t="s">
        <v>176</v>
      </c>
      <c r="F89" s="27" t="s">
        <v>177</v>
      </c>
      <c r="G89" s="38">
        <v>41518</v>
      </c>
    </row>
    <row r="90" spans="1:7" x14ac:dyDescent="0.2">
      <c r="A90" s="27" t="s">
        <v>175</v>
      </c>
      <c r="B90" s="325" t="s">
        <v>3299</v>
      </c>
      <c r="C90" s="71">
        <v>351500</v>
      </c>
      <c r="E90" s="27" t="s">
        <v>176</v>
      </c>
      <c r="F90" s="27" t="s">
        <v>177</v>
      </c>
      <c r="G90" s="38">
        <v>41518</v>
      </c>
    </row>
    <row r="91" spans="1:7" x14ac:dyDescent="0.2">
      <c r="A91" s="27" t="s">
        <v>175</v>
      </c>
      <c r="B91" s="325" t="s">
        <v>3300</v>
      </c>
      <c r="C91" s="71">
        <v>547500</v>
      </c>
      <c r="E91" s="27" t="s">
        <v>176</v>
      </c>
      <c r="F91" s="27" t="s">
        <v>177</v>
      </c>
      <c r="G91" s="38">
        <v>41518</v>
      </c>
    </row>
    <row r="92" spans="1:7" x14ac:dyDescent="0.2">
      <c r="A92" s="27" t="s">
        <v>175</v>
      </c>
      <c r="B92" s="325" t="s">
        <v>3301</v>
      </c>
      <c r="C92" s="71">
        <v>44500</v>
      </c>
      <c r="E92" s="27" t="s">
        <v>176</v>
      </c>
      <c r="F92" s="27" t="s">
        <v>177</v>
      </c>
      <c r="G92" s="38">
        <v>41518</v>
      </c>
    </row>
    <row r="93" spans="1:7" x14ac:dyDescent="0.2">
      <c r="A93" s="27" t="s">
        <v>175</v>
      </c>
      <c r="B93" s="325" t="s">
        <v>3302</v>
      </c>
      <c r="C93" s="71">
        <v>669000</v>
      </c>
      <c r="E93" s="27" t="s">
        <v>176</v>
      </c>
      <c r="F93" s="27" t="s">
        <v>177</v>
      </c>
      <c r="G93" s="38">
        <v>41518</v>
      </c>
    </row>
    <row r="94" spans="1:7" x14ac:dyDescent="0.2">
      <c r="A94" s="27" t="s">
        <v>175</v>
      </c>
      <c r="B94" s="325" t="s">
        <v>3303</v>
      </c>
      <c r="C94" s="71">
        <v>181900</v>
      </c>
      <c r="E94" s="27" t="s">
        <v>176</v>
      </c>
      <c r="F94" s="27" t="s">
        <v>177</v>
      </c>
      <c r="G94" s="38">
        <v>41518</v>
      </c>
    </row>
    <row r="95" spans="1:7" x14ac:dyDescent="0.2">
      <c r="A95" s="27" t="s">
        <v>175</v>
      </c>
      <c r="B95" s="325" t="s">
        <v>3304</v>
      </c>
      <c r="C95" s="71">
        <v>373000</v>
      </c>
      <c r="E95" s="27" t="s">
        <v>176</v>
      </c>
      <c r="F95" s="27" t="s">
        <v>177</v>
      </c>
      <c r="G95" s="38">
        <v>41518</v>
      </c>
    </row>
    <row r="96" spans="1:7" x14ac:dyDescent="0.2">
      <c r="A96" s="27" t="s">
        <v>175</v>
      </c>
      <c r="B96" s="325" t="s">
        <v>3305</v>
      </c>
      <c r="C96" s="71">
        <v>735000</v>
      </c>
      <c r="E96" s="27" t="s">
        <v>176</v>
      </c>
      <c r="F96" s="27" t="s">
        <v>177</v>
      </c>
      <c r="G96" s="38">
        <v>41518</v>
      </c>
    </row>
    <row r="97" spans="1:7" x14ac:dyDescent="0.2">
      <c r="A97" s="27" t="s">
        <v>175</v>
      </c>
      <c r="B97" s="325" t="s">
        <v>3306</v>
      </c>
      <c r="C97" s="71">
        <v>35000</v>
      </c>
      <c r="E97" s="27" t="s">
        <v>176</v>
      </c>
      <c r="F97" s="27" t="s">
        <v>177</v>
      </c>
      <c r="G97" s="38">
        <v>41518</v>
      </c>
    </row>
    <row r="98" spans="1:7" x14ac:dyDescent="0.2">
      <c r="A98" s="27" t="s">
        <v>175</v>
      </c>
      <c r="B98" s="325" t="s">
        <v>3307</v>
      </c>
      <c r="C98" s="71">
        <v>50000</v>
      </c>
      <c r="E98" s="27" t="s">
        <v>176</v>
      </c>
      <c r="F98" s="27" t="s">
        <v>177</v>
      </c>
      <c r="G98" s="38">
        <v>41518</v>
      </c>
    </row>
    <row r="99" spans="1:7" x14ac:dyDescent="0.2">
      <c r="A99" s="27" t="s">
        <v>175</v>
      </c>
      <c r="B99" s="325" t="s">
        <v>3308</v>
      </c>
      <c r="C99" s="71">
        <v>50000</v>
      </c>
      <c r="E99" s="27" t="s">
        <v>176</v>
      </c>
      <c r="F99" s="27" t="s">
        <v>177</v>
      </c>
      <c r="G99" s="38">
        <v>41518</v>
      </c>
    </row>
    <row r="100" spans="1:7" x14ac:dyDescent="0.2">
      <c r="A100" s="27" t="s">
        <v>175</v>
      </c>
      <c r="B100" s="325" t="s">
        <v>3309</v>
      </c>
      <c r="C100" s="71">
        <v>100500</v>
      </c>
      <c r="E100" s="27" t="s">
        <v>176</v>
      </c>
      <c r="F100" s="27" t="s">
        <v>177</v>
      </c>
      <c r="G100" s="38">
        <v>41518</v>
      </c>
    </row>
    <row r="101" spans="1:7" x14ac:dyDescent="0.2">
      <c r="A101" s="27" t="s">
        <v>175</v>
      </c>
      <c r="B101" s="325" t="s">
        <v>3310</v>
      </c>
      <c r="C101" s="71">
        <v>22500</v>
      </c>
      <c r="E101" s="27" t="s">
        <v>176</v>
      </c>
      <c r="F101" s="27" t="s">
        <v>177</v>
      </c>
      <c r="G101" s="38">
        <v>41518</v>
      </c>
    </row>
    <row r="102" spans="1:7" x14ac:dyDescent="0.2">
      <c r="A102" s="27" t="s">
        <v>175</v>
      </c>
      <c r="B102" s="325" t="s">
        <v>3311</v>
      </c>
      <c r="C102" s="71">
        <v>74500</v>
      </c>
      <c r="E102" s="27" t="s">
        <v>176</v>
      </c>
      <c r="F102" s="27" t="s">
        <v>177</v>
      </c>
      <c r="G102" s="38">
        <v>41518</v>
      </c>
    </row>
    <row r="103" spans="1:7" x14ac:dyDescent="0.2">
      <c r="A103" s="27" t="s">
        <v>175</v>
      </c>
      <c r="B103" s="325" t="s">
        <v>3312</v>
      </c>
      <c r="C103" s="71">
        <v>143300</v>
      </c>
      <c r="E103" s="27" t="s">
        <v>176</v>
      </c>
      <c r="F103" s="27" t="s">
        <v>177</v>
      </c>
      <c r="G103" s="38">
        <v>41518</v>
      </c>
    </row>
    <row r="104" spans="1:7" x14ac:dyDescent="0.2">
      <c r="A104" s="27" t="s">
        <v>175</v>
      </c>
      <c r="B104" s="325" t="s">
        <v>3313</v>
      </c>
      <c r="C104" s="71">
        <v>1584500</v>
      </c>
      <c r="E104" s="27" t="s">
        <v>176</v>
      </c>
      <c r="F104" s="27" t="s">
        <v>177</v>
      </c>
      <c r="G104" s="38">
        <v>41518</v>
      </c>
    </row>
    <row r="105" spans="1:7" x14ac:dyDescent="0.2">
      <c r="A105" s="27" t="s">
        <v>175</v>
      </c>
      <c r="B105" s="325" t="s">
        <v>3314</v>
      </c>
      <c r="C105" s="71">
        <v>206500</v>
      </c>
      <c r="E105" s="27" t="s">
        <v>176</v>
      </c>
      <c r="F105" s="27" t="s">
        <v>177</v>
      </c>
      <c r="G105" s="38">
        <v>41518</v>
      </c>
    </row>
    <row r="106" spans="1:7" x14ac:dyDescent="0.2">
      <c r="A106" s="27" t="s">
        <v>175</v>
      </c>
      <c r="B106" s="325" t="s">
        <v>3315</v>
      </c>
      <c r="C106" s="71">
        <v>974600</v>
      </c>
      <c r="E106" s="27" t="s">
        <v>176</v>
      </c>
      <c r="F106" s="27" t="s">
        <v>177</v>
      </c>
      <c r="G106" s="38">
        <v>41518</v>
      </c>
    </row>
    <row r="107" spans="1:7" x14ac:dyDescent="0.2">
      <c r="A107" s="27" t="s">
        <v>175</v>
      </c>
      <c r="B107" s="325" t="s">
        <v>3316</v>
      </c>
      <c r="C107" s="71">
        <v>668000</v>
      </c>
      <c r="E107" s="27" t="s">
        <v>176</v>
      </c>
      <c r="F107" s="27" t="s">
        <v>177</v>
      </c>
      <c r="G107" s="38">
        <v>41518</v>
      </c>
    </row>
    <row r="108" spans="1:7" x14ac:dyDescent="0.2">
      <c r="A108" s="27" t="s">
        <v>175</v>
      </c>
      <c r="B108" s="325" t="s">
        <v>3317</v>
      </c>
      <c r="C108" s="71">
        <v>813000</v>
      </c>
      <c r="E108" s="27" t="s">
        <v>176</v>
      </c>
      <c r="F108" s="27" t="s">
        <v>177</v>
      </c>
      <c r="G108" s="38">
        <v>41518</v>
      </c>
    </row>
    <row r="109" spans="1:7" x14ac:dyDescent="0.2">
      <c r="A109" s="27" t="s">
        <v>175</v>
      </c>
      <c r="B109" s="325" t="s">
        <v>3318</v>
      </c>
      <c r="C109" s="71">
        <v>50000</v>
      </c>
      <c r="E109" s="27" t="s">
        <v>176</v>
      </c>
      <c r="F109" s="27" t="s">
        <v>177</v>
      </c>
      <c r="G109" s="38">
        <v>41518</v>
      </c>
    </row>
    <row r="110" spans="1:7" x14ac:dyDescent="0.2">
      <c r="A110" s="27" t="s">
        <v>175</v>
      </c>
      <c r="B110" s="325" t="s">
        <v>3319</v>
      </c>
      <c r="C110" s="71">
        <v>50000</v>
      </c>
      <c r="E110" s="27" t="s">
        <v>176</v>
      </c>
      <c r="F110" s="27" t="s">
        <v>177</v>
      </c>
      <c r="G110" s="38">
        <v>41518</v>
      </c>
    </row>
    <row r="111" spans="1:7" x14ac:dyDescent="0.2">
      <c r="A111" s="27" t="s">
        <v>175</v>
      </c>
      <c r="B111" s="325" t="s">
        <v>3320</v>
      </c>
      <c r="C111" s="71">
        <v>50000</v>
      </c>
      <c r="E111" s="27" t="s">
        <v>176</v>
      </c>
      <c r="F111" s="27" t="s">
        <v>177</v>
      </c>
      <c r="G111" s="38">
        <v>41518</v>
      </c>
    </row>
    <row r="112" spans="1:7" x14ac:dyDescent="0.2">
      <c r="A112" s="27" t="s">
        <v>175</v>
      </c>
      <c r="B112" s="325" t="s">
        <v>3321</v>
      </c>
      <c r="C112" s="71">
        <v>40000</v>
      </c>
      <c r="E112" s="27" t="s">
        <v>176</v>
      </c>
      <c r="F112" s="27" t="s">
        <v>177</v>
      </c>
      <c r="G112" s="38">
        <v>41518</v>
      </c>
    </row>
    <row r="113" spans="1:7" x14ac:dyDescent="0.2">
      <c r="A113" s="27" t="s">
        <v>175</v>
      </c>
      <c r="B113" s="325" t="s">
        <v>3322</v>
      </c>
      <c r="C113" s="71">
        <v>108000</v>
      </c>
      <c r="E113" s="27" t="s">
        <v>176</v>
      </c>
      <c r="F113" s="27" t="s">
        <v>177</v>
      </c>
      <c r="G113" s="38">
        <v>41518</v>
      </c>
    </row>
    <row r="114" spans="1:7" x14ac:dyDescent="0.2">
      <c r="A114" s="27" t="s">
        <v>175</v>
      </c>
      <c r="B114" s="325" t="s">
        <v>3323</v>
      </c>
      <c r="C114" s="71">
        <v>28000</v>
      </c>
      <c r="E114" s="27" t="s">
        <v>176</v>
      </c>
      <c r="F114" s="27" t="s">
        <v>177</v>
      </c>
      <c r="G114" s="38">
        <v>41518</v>
      </c>
    </row>
    <row r="115" spans="1:7" x14ac:dyDescent="0.2">
      <c r="A115" s="27" t="s">
        <v>175</v>
      </c>
      <c r="B115" s="325" t="s">
        <v>3324</v>
      </c>
      <c r="C115" s="71">
        <v>242500</v>
      </c>
      <c r="E115" s="27" t="s">
        <v>176</v>
      </c>
      <c r="F115" s="27" t="s">
        <v>177</v>
      </c>
      <c r="G115" s="38">
        <v>41518</v>
      </c>
    </row>
    <row r="116" spans="1:7" x14ac:dyDescent="0.2">
      <c r="A116" s="27" t="s">
        <v>175</v>
      </c>
      <c r="B116" s="325" t="s">
        <v>3325</v>
      </c>
      <c r="C116" s="71">
        <v>214100</v>
      </c>
      <c r="E116" s="27" t="s">
        <v>176</v>
      </c>
      <c r="F116" s="27" t="s">
        <v>177</v>
      </c>
      <c r="G116" s="38">
        <v>41518</v>
      </c>
    </row>
    <row r="117" spans="1:7" x14ac:dyDescent="0.2">
      <c r="A117" s="27" t="s">
        <v>175</v>
      </c>
      <c r="B117" s="325" t="s">
        <v>3326</v>
      </c>
      <c r="C117" s="71">
        <v>330000</v>
      </c>
      <c r="E117" s="27" t="s">
        <v>176</v>
      </c>
      <c r="F117" s="27" t="s">
        <v>177</v>
      </c>
      <c r="G117" s="38">
        <v>41518</v>
      </c>
    </row>
    <row r="118" spans="1:7" x14ac:dyDescent="0.2">
      <c r="A118" s="27" t="s">
        <v>175</v>
      </c>
      <c r="B118" s="325" t="s">
        <v>3327</v>
      </c>
      <c r="C118" s="71">
        <v>166000</v>
      </c>
      <c r="E118" s="27" t="s">
        <v>176</v>
      </c>
      <c r="F118" s="27" t="s">
        <v>177</v>
      </c>
      <c r="G118" s="38">
        <v>41518</v>
      </c>
    </row>
    <row r="119" spans="1:7" x14ac:dyDescent="0.2">
      <c r="A119" s="27" t="s">
        <v>175</v>
      </c>
      <c r="B119" s="325" t="s">
        <v>3328</v>
      </c>
      <c r="C119" s="71">
        <v>690000</v>
      </c>
      <c r="E119" s="27" t="s">
        <v>176</v>
      </c>
      <c r="F119" s="27" t="s">
        <v>177</v>
      </c>
      <c r="G119" s="38">
        <v>41518</v>
      </c>
    </row>
    <row r="120" spans="1:7" x14ac:dyDescent="0.2">
      <c r="A120" s="27" t="s">
        <v>175</v>
      </c>
      <c r="B120" s="325" t="s">
        <v>3329</v>
      </c>
      <c r="C120" s="71">
        <v>428500</v>
      </c>
      <c r="E120" s="27" t="s">
        <v>176</v>
      </c>
      <c r="F120" s="27" t="s">
        <v>177</v>
      </c>
      <c r="G120" s="38">
        <v>41518</v>
      </c>
    </row>
    <row r="121" spans="1:7" x14ac:dyDescent="0.2">
      <c r="A121" s="27" t="s">
        <v>175</v>
      </c>
      <c r="B121" s="325" t="s">
        <v>3330</v>
      </c>
      <c r="C121" s="71">
        <v>695000</v>
      </c>
      <c r="E121" s="27" t="s">
        <v>176</v>
      </c>
      <c r="F121" s="27" t="s">
        <v>177</v>
      </c>
      <c r="G121" s="38">
        <v>41518</v>
      </c>
    </row>
    <row r="122" spans="1:7" x14ac:dyDescent="0.2">
      <c r="A122" s="27" t="s">
        <v>175</v>
      </c>
      <c r="B122" s="325" t="s">
        <v>3331</v>
      </c>
      <c r="C122" s="71">
        <v>150000</v>
      </c>
      <c r="E122" s="27" t="s">
        <v>176</v>
      </c>
      <c r="F122" s="27" t="s">
        <v>177</v>
      </c>
      <c r="G122" s="38">
        <v>41518</v>
      </c>
    </row>
    <row r="123" spans="1:7" x14ac:dyDescent="0.2">
      <c r="A123" s="27" t="s">
        <v>175</v>
      </c>
      <c r="B123" s="325" t="s">
        <v>3332</v>
      </c>
      <c r="C123" s="71">
        <v>40000</v>
      </c>
      <c r="E123" s="27" t="s">
        <v>176</v>
      </c>
      <c r="F123" s="27" t="s">
        <v>177</v>
      </c>
      <c r="G123" s="38">
        <v>41518</v>
      </c>
    </row>
    <row r="124" spans="1:7" x14ac:dyDescent="0.2">
      <c r="A124" s="27" t="s">
        <v>175</v>
      </c>
      <c r="B124" s="325" t="s">
        <v>3333</v>
      </c>
      <c r="C124" s="71">
        <v>40000</v>
      </c>
      <c r="E124" s="27" t="s">
        <v>176</v>
      </c>
      <c r="F124" s="27" t="s">
        <v>177</v>
      </c>
      <c r="G124" s="38">
        <v>41518</v>
      </c>
    </row>
    <row r="125" spans="1:7" x14ac:dyDescent="0.2">
      <c r="A125" s="27" t="s">
        <v>175</v>
      </c>
      <c r="B125" s="325" t="s">
        <v>3334</v>
      </c>
      <c r="C125" s="71">
        <v>75000</v>
      </c>
      <c r="E125" s="27" t="s">
        <v>176</v>
      </c>
      <c r="F125" s="27" t="s">
        <v>177</v>
      </c>
      <c r="G125" s="38">
        <v>41518</v>
      </c>
    </row>
    <row r="126" spans="1:7" x14ac:dyDescent="0.2">
      <c r="A126" s="27" t="s">
        <v>175</v>
      </c>
      <c r="B126" s="325" t="s">
        <v>3335</v>
      </c>
      <c r="C126" s="71">
        <v>10210000</v>
      </c>
      <c r="E126" s="27" t="s">
        <v>176</v>
      </c>
      <c r="F126" s="27" t="s">
        <v>177</v>
      </c>
      <c r="G126" s="38">
        <v>41518</v>
      </c>
    </row>
    <row r="127" spans="1:7" x14ac:dyDescent="0.2">
      <c r="A127" s="27" t="s">
        <v>175</v>
      </c>
      <c r="B127" s="325" t="s">
        <v>3336</v>
      </c>
      <c r="C127" s="71">
        <v>24428166</v>
      </c>
      <c r="E127" s="27" t="s">
        <v>176</v>
      </c>
      <c r="F127" s="27" t="s">
        <v>177</v>
      </c>
      <c r="G127" s="38">
        <v>41518</v>
      </c>
    </row>
    <row r="128" spans="1:7" x14ac:dyDescent="0.2">
      <c r="A128" s="27" t="s">
        <v>175</v>
      </c>
      <c r="B128" s="325" t="s">
        <v>3337</v>
      </c>
      <c r="C128" s="71">
        <v>499500</v>
      </c>
      <c r="E128" s="27" t="s">
        <v>176</v>
      </c>
      <c r="F128" s="27" t="s">
        <v>177</v>
      </c>
      <c r="G128" s="38">
        <v>41518</v>
      </c>
    </row>
    <row r="129" spans="1:7" x14ac:dyDescent="0.2">
      <c r="A129" s="27" t="s">
        <v>175</v>
      </c>
      <c r="B129" s="325" t="s">
        <v>3338</v>
      </c>
      <c r="C129" s="71">
        <v>107200</v>
      </c>
      <c r="E129" s="27" t="s">
        <v>176</v>
      </c>
      <c r="F129" s="27" t="s">
        <v>177</v>
      </c>
      <c r="G129" s="38">
        <v>41518</v>
      </c>
    </row>
    <row r="130" spans="1:7" x14ac:dyDescent="0.2">
      <c r="A130" s="27" t="s">
        <v>175</v>
      </c>
      <c r="B130" s="325" t="s">
        <v>3339</v>
      </c>
      <c r="C130" s="71">
        <v>1384000</v>
      </c>
      <c r="E130" s="27" t="s">
        <v>176</v>
      </c>
      <c r="F130" s="27" t="s">
        <v>177</v>
      </c>
      <c r="G130" s="38">
        <v>41518</v>
      </c>
    </row>
    <row r="131" spans="1:7" x14ac:dyDescent="0.2">
      <c r="A131" s="27" t="s">
        <v>175</v>
      </c>
      <c r="B131" s="325" t="s">
        <v>3340</v>
      </c>
      <c r="C131" s="71">
        <v>255000</v>
      </c>
      <c r="E131" s="27" t="s">
        <v>176</v>
      </c>
      <c r="F131" s="27" t="s">
        <v>177</v>
      </c>
      <c r="G131" s="38">
        <v>41518</v>
      </c>
    </row>
    <row r="132" spans="1:7" x14ac:dyDescent="0.2">
      <c r="A132" s="27" t="s">
        <v>175</v>
      </c>
      <c r="B132" s="325" t="s">
        <v>3341</v>
      </c>
      <c r="C132" s="71">
        <v>522100</v>
      </c>
      <c r="E132" s="27" t="s">
        <v>176</v>
      </c>
      <c r="F132" s="27" t="s">
        <v>177</v>
      </c>
      <c r="G132" s="38">
        <v>41518</v>
      </c>
    </row>
    <row r="133" spans="1:7" x14ac:dyDescent="0.2">
      <c r="A133" s="27" t="s">
        <v>175</v>
      </c>
      <c r="B133" s="325" t="s">
        <v>3342</v>
      </c>
      <c r="C133" s="71">
        <v>499500</v>
      </c>
      <c r="E133" s="27" t="s">
        <v>176</v>
      </c>
      <c r="F133" s="27" t="s">
        <v>177</v>
      </c>
      <c r="G133" s="38">
        <v>41518</v>
      </c>
    </row>
    <row r="134" spans="1:7" x14ac:dyDescent="0.2">
      <c r="A134" s="27" t="s">
        <v>175</v>
      </c>
      <c r="B134" s="325" t="s">
        <v>3343</v>
      </c>
      <c r="C134" s="71">
        <v>150000</v>
      </c>
      <c r="E134" s="27" t="s">
        <v>176</v>
      </c>
      <c r="F134" s="27" t="s">
        <v>177</v>
      </c>
      <c r="G134" s="38">
        <v>41518</v>
      </c>
    </row>
    <row r="135" spans="1:7" x14ac:dyDescent="0.2">
      <c r="A135" s="27" t="s">
        <v>175</v>
      </c>
      <c r="B135" s="325" t="s">
        <v>3344</v>
      </c>
      <c r="C135" s="71">
        <v>40000</v>
      </c>
      <c r="E135" s="27" t="s">
        <v>176</v>
      </c>
      <c r="F135" s="27" t="s">
        <v>177</v>
      </c>
      <c r="G135" s="38">
        <v>41518</v>
      </c>
    </row>
    <row r="136" spans="1:7" x14ac:dyDescent="0.2">
      <c r="A136" s="27" t="s">
        <v>175</v>
      </c>
      <c r="B136" s="325" t="s">
        <v>3345</v>
      </c>
      <c r="C136" s="71">
        <v>40000</v>
      </c>
      <c r="E136" s="27" t="s">
        <v>176</v>
      </c>
      <c r="F136" s="27" t="s">
        <v>177</v>
      </c>
      <c r="G136" s="38">
        <v>41518</v>
      </c>
    </row>
    <row r="137" spans="1:7" x14ac:dyDescent="0.2">
      <c r="A137" s="27" t="s">
        <v>175</v>
      </c>
      <c r="B137" s="325" t="s">
        <v>3346</v>
      </c>
      <c r="C137" s="71">
        <v>40000</v>
      </c>
      <c r="E137" s="27" t="s">
        <v>176</v>
      </c>
      <c r="F137" s="27" t="s">
        <v>177</v>
      </c>
      <c r="G137" s="38">
        <v>41518</v>
      </c>
    </row>
    <row r="138" spans="1:7" x14ac:dyDescent="0.2">
      <c r="A138" s="27" t="s">
        <v>175</v>
      </c>
      <c r="B138" s="325" t="s">
        <v>3347</v>
      </c>
      <c r="C138" s="71">
        <v>355000</v>
      </c>
      <c r="E138" s="27" t="s">
        <v>176</v>
      </c>
      <c r="F138" s="27" t="s">
        <v>177</v>
      </c>
      <c r="G138" s="38">
        <v>41518</v>
      </c>
    </row>
    <row r="139" spans="1:7" x14ac:dyDescent="0.2">
      <c r="A139" s="27" t="s">
        <v>175</v>
      </c>
      <c r="B139" s="325" t="s">
        <v>3348</v>
      </c>
      <c r="C139" s="71">
        <v>223100</v>
      </c>
      <c r="E139" s="27" t="s">
        <v>176</v>
      </c>
      <c r="F139" s="27" t="s">
        <v>177</v>
      </c>
      <c r="G139" s="38">
        <v>41518</v>
      </c>
    </row>
    <row r="140" spans="1:7" x14ac:dyDescent="0.2">
      <c r="A140" s="27" t="s">
        <v>175</v>
      </c>
      <c r="B140" s="325" t="s">
        <v>3349</v>
      </c>
      <c r="C140" s="71">
        <v>189000</v>
      </c>
      <c r="E140" s="27" t="s">
        <v>176</v>
      </c>
      <c r="F140" s="27" t="s">
        <v>177</v>
      </c>
      <c r="G140" s="38">
        <v>41518</v>
      </c>
    </row>
    <row r="141" spans="1:7" x14ac:dyDescent="0.2">
      <c r="A141" s="27" t="s">
        <v>175</v>
      </c>
      <c r="B141" s="325" t="s">
        <v>3350</v>
      </c>
      <c r="C141" s="71">
        <v>50000</v>
      </c>
      <c r="E141" s="27" t="s">
        <v>176</v>
      </c>
      <c r="F141" s="27" t="s">
        <v>177</v>
      </c>
      <c r="G141" s="38">
        <v>41518</v>
      </c>
    </row>
    <row r="142" spans="1:7" x14ac:dyDescent="0.2">
      <c r="A142" s="27" t="s">
        <v>175</v>
      </c>
      <c r="B142" s="325" t="s">
        <v>3351</v>
      </c>
      <c r="C142" s="71">
        <v>40000</v>
      </c>
      <c r="E142" s="27" t="s">
        <v>176</v>
      </c>
      <c r="F142" s="27" t="s">
        <v>177</v>
      </c>
      <c r="G142" s="38">
        <v>41518</v>
      </c>
    </row>
    <row r="143" spans="1:7" x14ac:dyDescent="0.2">
      <c r="A143" s="27" t="s">
        <v>175</v>
      </c>
      <c r="B143" s="325" t="s">
        <v>3352</v>
      </c>
      <c r="C143" s="71">
        <v>40000</v>
      </c>
      <c r="E143" s="27" t="s">
        <v>176</v>
      </c>
      <c r="F143" s="27" t="s">
        <v>177</v>
      </c>
      <c r="G143" s="38">
        <v>41518</v>
      </c>
    </row>
    <row r="144" spans="1:7" x14ac:dyDescent="0.2">
      <c r="A144" s="27" t="s">
        <v>175</v>
      </c>
      <c r="B144" s="325" t="s">
        <v>3353</v>
      </c>
      <c r="C144" s="71">
        <v>372500</v>
      </c>
      <c r="E144" s="27" t="s">
        <v>176</v>
      </c>
      <c r="F144" s="27" t="s">
        <v>177</v>
      </c>
      <c r="G144" s="38">
        <v>41518</v>
      </c>
    </row>
    <row r="145" spans="1:10" x14ac:dyDescent="0.2">
      <c r="A145" s="27" t="s">
        <v>175</v>
      </c>
      <c r="B145" s="325" t="s">
        <v>3354</v>
      </c>
      <c r="C145" s="71">
        <v>306400</v>
      </c>
      <c r="E145" s="27" t="s">
        <v>176</v>
      </c>
      <c r="F145" s="27" t="s">
        <v>177</v>
      </c>
      <c r="G145" s="38">
        <v>41518</v>
      </c>
    </row>
    <row r="146" spans="1:10" x14ac:dyDescent="0.2">
      <c r="A146" s="27" t="s">
        <v>175</v>
      </c>
      <c r="B146" s="325" t="s">
        <v>3355</v>
      </c>
      <c r="C146" s="71">
        <v>330200</v>
      </c>
      <c r="E146" s="27" t="s">
        <v>176</v>
      </c>
      <c r="F146" s="27" t="s">
        <v>177</v>
      </c>
      <c r="G146" s="38">
        <v>41518</v>
      </c>
    </row>
    <row r="147" spans="1:10" x14ac:dyDescent="0.2">
      <c r="A147" s="27" t="s">
        <v>175</v>
      </c>
      <c r="B147" s="325" t="s">
        <v>3356</v>
      </c>
      <c r="C147" s="71">
        <v>50000</v>
      </c>
      <c r="E147" s="27" t="s">
        <v>176</v>
      </c>
      <c r="F147" s="27" t="s">
        <v>177</v>
      </c>
      <c r="G147" s="38">
        <v>41518</v>
      </c>
    </row>
    <row r="148" spans="1:10" x14ac:dyDescent="0.2">
      <c r="A148" s="27" t="s">
        <v>175</v>
      </c>
      <c r="B148" s="325" t="s">
        <v>3357</v>
      </c>
      <c r="C148" s="71">
        <v>40000</v>
      </c>
      <c r="E148" s="27" t="s">
        <v>176</v>
      </c>
      <c r="F148" s="27" t="s">
        <v>177</v>
      </c>
      <c r="G148" s="38">
        <v>41518</v>
      </c>
    </row>
    <row r="149" spans="1:10" x14ac:dyDescent="0.2">
      <c r="A149" s="27" t="s">
        <v>175</v>
      </c>
      <c r="B149" s="325" t="s">
        <v>3358</v>
      </c>
      <c r="C149" s="71">
        <v>40000</v>
      </c>
      <c r="E149" s="27" t="s">
        <v>176</v>
      </c>
      <c r="F149" s="27" t="s">
        <v>177</v>
      </c>
      <c r="G149" s="38">
        <v>41518</v>
      </c>
    </row>
    <row r="150" spans="1:10" x14ac:dyDescent="0.2">
      <c r="A150" s="27" t="s">
        <v>175</v>
      </c>
      <c r="B150" s="325" t="s">
        <v>3359</v>
      </c>
      <c r="C150" s="71">
        <v>175000</v>
      </c>
      <c r="E150" s="27" t="s">
        <v>176</v>
      </c>
      <c r="F150" s="27" t="s">
        <v>177</v>
      </c>
      <c r="G150" s="38">
        <v>41518</v>
      </c>
    </row>
    <row r="151" spans="1:10" x14ac:dyDescent="0.2">
      <c r="A151" s="27" t="s">
        <v>175</v>
      </c>
      <c r="B151" s="325" t="s">
        <v>3360</v>
      </c>
      <c r="C151" s="71">
        <v>42500</v>
      </c>
      <c r="E151" s="27" t="s">
        <v>176</v>
      </c>
      <c r="F151" s="27" t="s">
        <v>177</v>
      </c>
      <c r="G151" s="38">
        <v>41518</v>
      </c>
    </row>
    <row r="152" spans="1:10" x14ac:dyDescent="0.2">
      <c r="A152" s="27" t="s">
        <v>175</v>
      </c>
      <c r="B152" s="325" t="s">
        <v>3361</v>
      </c>
      <c r="C152" s="71">
        <v>50000</v>
      </c>
      <c r="E152" s="27" t="s">
        <v>176</v>
      </c>
      <c r="F152" s="27" t="s">
        <v>177</v>
      </c>
      <c r="G152" s="38">
        <v>41518</v>
      </c>
    </row>
    <row r="153" spans="1:10" x14ac:dyDescent="0.2">
      <c r="A153" s="27" t="s">
        <v>175</v>
      </c>
      <c r="B153" s="325" t="s">
        <v>3362</v>
      </c>
      <c r="C153" s="71">
        <v>40000</v>
      </c>
      <c r="E153" s="27" t="s">
        <v>176</v>
      </c>
      <c r="F153" s="27" t="s">
        <v>177</v>
      </c>
      <c r="G153" s="38">
        <v>41518</v>
      </c>
    </row>
    <row r="154" spans="1:10" x14ac:dyDescent="0.2">
      <c r="A154" s="27" t="s">
        <v>175</v>
      </c>
      <c r="B154" s="325" t="s">
        <v>3363</v>
      </c>
      <c r="C154" s="71">
        <v>320000</v>
      </c>
      <c r="E154" s="27" t="s">
        <v>176</v>
      </c>
      <c r="F154" s="27" t="s">
        <v>177</v>
      </c>
      <c r="G154" s="38">
        <v>41518</v>
      </c>
    </row>
    <row r="155" spans="1:10" x14ac:dyDescent="0.2">
      <c r="A155" s="27" t="s">
        <v>175</v>
      </c>
      <c r="B155" s="325" t="s">
        <v>3364</v>
      </c>
      <c r="C155" s="71">
        <v>96400</v>
      </c>
      <c r="E155" s="27" t="s">
        <v>176</v>
      </c>
      <c r="F155" s="27" t="s">
        <v>177</v>
      </c>
      <c r="G155" s="38">
        <v>41518</v>
      </c>
    </row>
    <row r="156" spans="1:10" x14ac:dyDescent="0.2">
      <c r="A156" s="27" t="s">
        <v>175</v>
      </c>
      <c r="B156" s="325" t="s">
        <v>3365</v>
      </c>
      <c r="C156" s="71">
        <v>7605000</v>
      </c>
      <c r="E156" s="27" t="s">
        <v>176</v>
      </c>
      <c r="F156" s="27" t="s">
        <v>177</v>
      </c>
      <c r="G156" s="38">
        <v>41518</v>
      </c>
    </row>
    <row r="157" spans="1:10" x14ac:dyDescent="0.2">
      <c r="A157" s="27" t="s">
        <v>175</v>
      </c>
      <c r="B157" s="325" t="s">
        <v>3366</v>
      </c>
      <c r="C157" s="71">
        <v>20800417</v>
      </c>
      <c r="E157" s="27" t="s">
        <v>176</v>
      </c>
      <c r="F157" s="27" t="s">
        <v>177</v>
      </c>
      <c r="G157" s="38">
        <v>41518</v>
      </c>
      <c r="I157" s="27">
        <v>20702834</v>
      </c>
      <c r="J157" s="27">
        <f>+I157-C157</f>
        <v>-97583</v>
      </c>
    </row>
    <row r="158" spans="1:10" x14ac:dyDescent="0.2">
      <c r="A158" s="27" t="s">
        <v>175</v>
      </c>
      <c r="B158" s="325" t="s">
        <v>3367</v>
      </c>
      <c r="C158" s="71">
        <v>3600000</v>
      </c>
      <c r="E158" s="27" t="s">
        <v>176</v>
      </c>
      <c r="F158" s="27" t="s">
        <v>177</v>
      </c>
      <c r="G158" s="38">
        <v>41518</v>
      </c>
    </row>
    <row r="159" spans="1:10" x14ac:dyDescent="0.2">
      <c r="A159" s="27" t="s">
        <v>175</v>
      </c>
      <c r="B159" s="325" t="s">
        <v>3368</v>
      </c>
      <c r="C159" s="71">
        <v>3630000</v>
      </c>
      <c r="E159" s="27" t="s">
        <v>176</v>
      </c>
      <c r="F159" s="27" t="s">
        <v>177</v>
      </c>
      <c r="G159" s="38">
        <v>41518</v>
      </c>
    </row>
    <row r="160" spans="1:10" x14ac:dyDescent="0.2">
      <c r="A160" s="27" t="s">
        <v>175</v>
      </c>
      <c r="B160" s="325" t="s">
        <v>3369</v>
      </c>
      <c r="C160" s="71">
        <v>3430000</v>
      </c>
      <c r="E160" s="27" t="s">
        <v>176</v>
      </c>
      <c r="F160" s="27" t="s">
        <v>177</v>
      </c>
      <c r="G160" s="38">
        <v>41518</v>
      </c>
    </row>
    <row r="161" spans="1:7" x14ac:dyDescent="0.2">
      <c r="A161" s="27" t="s">
        <v>175</v>
      </c>
      <c r="B161" s="325" t="s">
        <v>3370</v>
      </c>
      <c r="C161" s="71">
        <v>250000</v>
      </c>
      <c r="E161" s="27" t="s">
        <v>176</v>
      </c>
      <c r="F161" s="27" t="s">
        <v>177</v>
      </c>
      <c r="G161" s="38">
        <v>41518</v>
      </c>
    </row>
    <row r="162" spans="1:7" x14ac:dyDescent="0.2">
      <c r="A162" s="27" t="s">
        <v>175</v>
      </c>
      <c r="B162" s="325" t="s">
        <v>3371</v>
      </c>
      <c r="C162" s="71">
        <v>250000</v>
      </c>
      <c r="E162" s="27" t="s">
        <v>176</v>
      </c>
      <c r="F162" s="27" t="s">
        <v>177</v>
      </c>
      <c r="G162" s="38">
        <v>41518</v>
      </c>
    </row>
    <row r="163" spans="1:7" x14ac:dyDescent="0.2">
      <c r="A163" s="27" t="s">
        <v>175</v>
      </c>
      <c r="B163" s="325" t="s">
        <v>3372</v>
      </c>
      <c r="C163" s="71">
        <v>1190000</v>
      </c>
      <c r="E163" s="27" t="s">
        <v>176</v>
      </c>
      <c r="F163" s="27" t="s">
        <v>177</v>
      </c>
      <c r="G163" s="38">
        <v>41518</v>
      </c>
    </row>
    <row r="164" spans="1:7" x14ac:dyDescent="0.2">
      <c r="A164" s="27" t="s">
        <v>175</v>
      </c>
      <c r="B164" s="325" t="s">
        <v>3373</v>
      </c>
      <c r="C164" s="71">
        <v>460000</v>
      </c>
      <c r="E164" s="27" t="s">
        <v>176</v>
      </c>
      <c r="F164" s="27" t="s">
        <v>177</v>
      </c>
      <c r="G164" s="38">
        <v>41518</v>
      </c>
    </row>
    <row r="165" spans="1:7" x14ac:dyDescent="0.2">
      <c r="A165" s="27" t="s">
        <v>175</v>
      </c>
      <c r="B165" s="325" t="s">
        <v>3374</v>
      </c>
      <c r="C165" s="71">
        <v>83600</v>
      </c>
      <c r="E165" s="27" t="s">
        <v>176</v>
      </c>
      <c r="F165" s="27" t="s">
        <v>177</v>
      </c>
      <c r="G165" s="38">
        <v>41518</v>
      </c>
    </row>
    <row r="166" spans="1:7" x14ac:dyDescent="0.2">
      <c r="A166" s="27" t="s">
        <v>175</v>
      </c>
      <c r="B166" s="325" t="s">
        <v>3375</v>
      </c>
      <c r="C166" s="71">
        <v>68000</v>
      </c>
      <c r="E166" s="27" t="s">
        <v>176</v>
      </c>
      <c r="F166" s="27" t="s">
        <v>177</v>
      </c>
      <c r="G166" s="38">
        <v>41518</v>
      </c>
    </row>
    <row r="167" spans="1:7" x14ac:dyDescent="0.2">
      <c r="A167" s="27" t="s">
        <v>175</v>
      </c>
      <c r="B167" s="325" t="s">
        <v>3376</v>
      </c>
      <c r="C167" s="71">
        <v>991500</v>
      </c>
      <c r="E167" s="27" t="s">
        <v>176</v>
      </c>
      <c r="F167" s="27" t="s">
        <v>177</v>
      </c>
      <c r="G167" s="38">
        <v>41518</v>
      </c>
    </row>
    <row r="168" spans="1:7" x14ac:dyDescent="0.2">
      <c r="A168" s="27" t="s">
        <v>175</v>
      </c>
      <c r="B168" s="325" t="s">
        <v>3377</v>
      </c>
      <c r="C168" s="71">
        <v>379100</v>
      </c>
      <c r="E168" s="27" t="s">
        <v>176</v>
      </c>
      <c r="F168" s="27" t="s">
        <v>177</v>
      </c>
      <c r="G168" s="38">
        <v>41518</v>
      </c>
    </row>
    <row r="169" spans="1:7" x14ac:dyDescent="0.2">
      <c r="A169" s="27" t="s">
        <v>175</v>
      </c>
      <c r="B169" s="325" t="s">
        <v>3378</v>
      </c>
      <c r="C169" s="71">
        <v>40000</v>
      </c>
      <c r="E169" s="27" t="s">
        <v>176</v>
      </c>
      <c r="F169" s="27" t="s">
        <v>177</v>
      </c>
      <c r="G169" s="38">
        <v>41518</v>
      </c>
    </row>
    <row r="170" spans="1:7" x14ac:dyDescent="0.2">
      <c r="A170" s="27" t="s">
        <v>175</v>
      </c>
      <c r="B170" s="325" t="s">
        <v>3379</v>
      </c>
      <c r="C170" s="71">
        <v>511200</v>
      </c>
      <c r="E170" s="27" t="s">
        <v>176</v>
      </c>
      <c r="F170" s="27" t="s">
        <v>177</v>
      </c>
      <c r="G170" s="38">
        <v>41518</v>
      </c>
    </row>
    <row r="171" spans="1:7" x14ac:dyDescent="0.2">
      <c r="A171" s="27" t="s">
        <v>175</v>
      </c>
      <c r="B171" s="325" t="s">
        <v>3380</v>
      </c>
      <c r="C171" s="71">
        <v>690000</v>
      </c>
      <c r="E171" s="27" t="s">
        <v>176</v>
      </c>
      <c r="F171" s="27" t="s">
        <v>177</v>
      </c>
      <c r="G171" s="38">
        <v>41518</v>
      </c>
    </row>
    <row r="172" spans="1:7" x14ac:dyDescent="0.2">
      <c r="A172" s="27" t="s">
        <v>175</v>
      </c>
      <c r="B172" s="325" t="s">
        <v>3381</v>
      </c>
      <c r="C172" s="71">
        <v>540000</v>
      </c>
      <c r="E172" s="27" t="s">
        <v>176</v>
      </c>
      <c r="F172" s="27" t="s">
        <v>177</v>
      </c>
      <c r="G172" s="38">
        <v>41518</v>
      </c>
    </row>
    <row r="173" spans="1:7" x14ac:dyDescent="0.2">
      <c r="A173" s="27" t="s">
        <v>175</v>
      </c>
      <c r="B173" s="325" t="s">
        <v>3382</v>
      </c>
      <c r="C173" s="71">
        <v>96200</v>
      </c>
      <c r="E173" s="27" t="s">
        <v>176</v>
      </c>
      <c r="F173" s="27" t="s">
        <v>177</v>
      </c>
      <c r="G173" s="38">
        <v>41518</v>
      </c>
    </row>
    <row r="174" spans="1:7" x14ac:dyDescent="0.2">
      <c r="A174" s="27" t="s">
        <v>175</v>
      </c>
      <c r="B174" s="325" t="s">
        <v>3383</v>
      </c>
      <c r="C174" s="71">
        <v>103000</v>
      </c>
      <c r="E174" s="27" t="s">
        <v>176</v>
      </c>
      <c r="F174" s="27" t="s">
        <v>177</v>
      </c>
      <c r="G174" s="38">
        <v>41518</v>
      </c>
    </row>
    <row r="175" spans="1:7" x14ac:dyDescent="0.2">
      <c r="A175" s="27" t="s">
        <v>175</v>
      </c>
      <c r="B175" s="325" t="s">
        <v>3384</v>
      </c>
      <c r="C175" s="71">
        <v>810000</v>
      </c>
      <c r="E175" s="27" t="s">
        <v>176</v>
      </c>
      <c r="F175" s="27" t="s">
        <v>177</v>
      </c>
      <c r="G175" s="38">
        <v>41518</v>
      </c>
    </row>
    <row r="176" spans="1:7" x14ac:dyDescent="0.2">
      <c r="A176" s="27" t="s">
        <v>175</v>
      </c>
      <c r="B176" s="325" t="s">
        <v>3385</v>
      </c>
      <c r="C176" s="71">
        <v>3588300</v>
      </c>
      <c r="E176" s="27" t="s">
        <v>176</v>
      </c>
      <c r="F176" s="27" t="s">
        <v>177</v>
      </c>
      <c r="G176" s="38">
        <v>41518</v>
      </c>
    </row>
    <row r="177" spans="1:7" x14ac:dyDescent="0.2">
      <c r="A177" s="27" t="s">
        <v>175</v>
      </c>
      <c r="B177" s="325" t="s">
        <v>3386</v>
      </c>
      <c r="C177" s="71">
        <v>2997000</v>
      </c>
      <c r="E177" s="27" t="s">
        <v>176</v>
      </c>
      <c r="F177" s="27" t="s">
        <v>177</v>
      </c>
      <c r="G177" s="38">
        <v>41518</v>
      </c>
    </row>
    <row r="178" spans="1:7" x14ac:dyDescent="0.2">
      <c r="A178" s="27" t="s">
        <v>175</v>
      </c>
      <c r="B178" s="325" t="s">
        <v>3387</v>
      </c>
      <c r="C178" s="71">
        <v>500000</v>
      </c>
      <c r="E178" s="27" t="s">
        <v>176</v>
      </c>
      <c r="F178" s="27" t="s">
        <v>177</v>
      </c>
      <c r="G178" s="38">
        <v>41518</v>
      </c>
    </row>
    <row r="179" spans="1:7" x14ac:dyDescent="0.2">
      <c r="A179" s="27" t="s">
        <v>175</v>
      </c>
      <c r="B179" s="325" t="s">
        <v>3388</v>
      </c>
      <c r="C179" s="71">
        <v>52300</v>
      </c>
      <c r="E179" s="27" t="s">
        <v>176</v>
      </c>
      <c r="F179" s="27" t="s">
        <v>177</v>
      </c>
      <c r="G179" s="38">
        <v>41518</v>
      </c>
    </row>
    <row r="180" spans="1:7" x14ac:dyDescent="0.2">
      <c r="A180" s="27" t="s">
        <v>175</v>
      </c>
      <c r="B180" s="325" t="s">
        <v>3389</v>
      </c>
      <c r="C180" s="71">
        <v>2245000</v>
      </c>
      <c r="E180" s="27" t="s">
        <v>176</v>
      </c>
      <c r="F180" s="27" t="s">
        <v>177</v>
      </c>
      <c r="G180" s="38">
        <v>41518</v>
      </c>
    </row>
    <row r="181" spans="1:7" x14ac:dyDescent="0.2">
      <c r="A181" s="27" t="s">
        <v>175</v>
      </c>
      <c r="B181" s="325" t="s">
        <v>3390</v>
      </c>
      <c r="C181" s="71">
        <v>3152500</v>
      </c>
      <c r="E181" s="27" t="s">
        <v>176</v>
      </c>
      <c r="F181" s="27" t="s">
        <v>177</v>
      </c>
      <c r="G181" s="38">
        <v>41518</v>
      </c>
    </row>
    <row r="182" spans="1:7" x14ac:dyDescent="0.2">
      <c r="A182" s="27" t="s">
        <v>175</v>
      </c>
      <c r="B182" s="325" t="s">
        <v>3391</v>
      </c>
      <c r="C182" s="71">
        <v>1860000</v>
      </c>
      <c r="E182" s="27" t="s">
        <v>176</v>
      </c>
      <c r="F182" s="27" t="s">
        <v>177</v>
      </c>
      <c r="G182" s="38">
        <v>41518</v>
      </c>
    </row>
    <row r="183" spans="1:7" x14ac:dyDescent="0.2">
      <c r="A183" s="27" t="s">
        <v>175</v>
      </c>
      <c r="B183" s="325" t="s">
        <v>3392</v>
      </c>
      <c r="C183" s="71">
        <v>5055000</v>
      </c>
      <c r="E183" s="27" t="s">
        <v>176</v>
      </c>
      <c r="F183" s="27" t="s">
        <v>177</v>
      </c>
      <c r="G183" s="38">
        <v>41518</v>
      </c>
    </row>
    <row r="184" spans="1:7" x14ac:dyDescent="0.2">
      <c r="A184" s="27" t="s">
        <v>175</v>
      </c>
      <c r="B184" s="325" t="s">
        <v>3393</v>
      </c>
      <c r="C184" s="71">
        <v>594000</v>
      </c>
      <c r="E184" s="27" t="s">
        <v>176</v>
      </c>
      <c r="F184" s="27" t="s">
        <v>177</v>
      </c>
      <c r="G184" s="38">
        <v>41518</v>
      </c>
    </row>
    <row r="185" spans="1:7" x14ac:dyDescent="0.2">
      <c r="A185" s="27" t="s">
        <v>175</v>
      </c>
      <c r="B185" s="325" t="s">
        <v>3394</v>
      </c>
      <c r="C185" s="71">
        <v>6670000</v>
      </c>
      <c r="E185" s="27" t="s">
        <v>176</v>
      </c>
      <c r="F185" s="27" t="s">
        <v>177</v>
      </c>
      <c r="G185" s="38">
        <v>41518</v>
      </c>
    </row>
    <row r="186" spans="1:7" x14ac:dyDescent="0.2">
      <c r="A186" s="27" t="s">
        <v>175</v>
      </c>
      <c r="B186" s="325" t="s">
        <v>3395</v>
      </c>
      <c r="C186" s="71">
        <v>12039633</v>
      </c>
      <c r="E186" s="27" t="s">
        <v>176</v>
      </c>
      <c r="F186" s="27" t="s">
        <v>177</v>
      </c>
      <c r="G186" s="38">
        <v>41518</v>
      </c>
    </row>
    <row r="187" spans="1:7" x14ac:dyDescent="0.2">
      <c r="A187" s="27" t="s">
        <v>175</v>
      </c>
      <c r="B187" s="325" t="s">
        <v>3396</v>
      </c>
      <c r="C187" s="71">
        <v>2740000</v>
      </c>
      <c r="E187" s="27" t="s">
        <v>176</v>
      </c>
      <c r="F187" s="27" t="s">
        <v>177</v>
      </c>
      <c r="G187" s="38">
        <v>41518</v>
      </c>
    </row>
    <row r="188" spans="1:7" x14ac:dyDescent="0.2">
      <c r="A188" s="27" t="s">
        <v>175</v>
      </c>
      <c r="B188" s="325" t="s">
        <v>3397</v>
      </c>
      <c r="C188" s="71">
        <v>12565940</v>
      </c>
      <c r="E188" s="27" t="s">
        <v>176</v>
      </c>
      <c r="F188" s="27" t="s">
        <v>177</v>
      </c>
      <c r="G188" s="38">
        <v>41518</v>
      </c>
    </row>
    <row r="189" spans="1:7" x14ac:dyDescent="0.2">
      <c r="A189" s="27" t="s">
        <v>175</v>
      </c>
      <c r="B189" s="325" t="s">
        <v>3398</v>
      </c>
      <c r="C189" s="71">
        <v>23060000</v>
      </c>
      <c r="E189" s="27" t="s">
        <v>176</v>
      </c>
      <c r="F189" s="27" t="s">
        <v>177</v>
      </c>
      <c r="G189" s="38">
        <v>41518</v>
      </c>
    </row>
    <row r="190" spans="1:7" x14ac:dyDescent="0.2">
      <c r="A190" s="27" t="s">
        <v>175</v>
      </c>
      <c r="B190" s="325" t="s">
        <v>3399</v>
      </c>
      <c r="C190" s="71">
        <v>2827406</v>
      </c>
      <c r="E190" s="27" t="s">
        <v>176</v>
      </c>
      <c r="F190" s="27" t="s">
        <v>177</v>
      </c>
      <c r="G190" s="38">
        <v>41518</v>
      </c>
    </row>
    <row r="191" spans="1:7" x14ac:dyDescent="0.2">
      <c r="A191" s="27" t="s">
        <v>175</v>
      </c>
      <c r="B191" s="325" t="s">
        <v>3400</v>
      </c>
      <c r="C191" s="71">
        <v>3651094</v>
      </c>
      <c r="E191" s="27" t="s">
        <v>176</v>
      </c>
      <c r="F191" s="27" t="s">
        <v>177</v>
      </c>
      <c r="G191" s="38">
        <v>41518</v>
      </c>
    </row>
    <row r="192" spans="1:7" x14ac:dyDescent="0.2">
      <c r="A192" s="27" t="s">
        <v>175</v>
      </c>
      <c r="B192" s="325" t="s">
        <v>3401</v>
      </c>
      <c r="C192" s="71">
        <v>2623516</v>
      </c>
      <c r="E192" s="27" t="s">
        <v>176</v>
      </c>
      <c r="F192" s="27" t="s">
        <v>177</v>
      </c>
      <c r="G192" s="38">
        <v>41518</v>
      </c>
    </row>
    <row r="193" spans="1:7" x14ac:dyDescent="0.2">
      <c r="A193" s="27" t="s">
        <v>175</v>
      </c>
      <c r="B193" s="325" t="s">
        <v>3402</v>
      </c>
      <c r="C193" s="71">
        <v>4106500</v>
      </c>
      <c r="E193" s="27" t="s">
        <v>176</v>
      </c>
      <c r="F193" s="27" t="s">
        <v>177</v>
      </c>
      <c r="G193" s="38">
        <v>41518</v>
      </c>
    </row>
    <row r="194" spans="1:7" x14ac:dyDescent="0.2">
      <c r="A194" s="27" t="s">
        <v>175</v>
      </c>
      <c r="B194" s="325" t="s">
        <v>3403</v>
      </c>
      <c r="C194" s="71">
        <v>2666361</v>
      </c>
      <c r="E194" s="27" t="s">
        <v>176</v>
      </c>
      <c r="F194" s="27" t="s">
        <v>177</v>
      </c>
      <c r="G194" s="38">
        <v>41518</v>
      </c>
    </row>
    <row r="195" spans="1:7" x14ac:dyDescent="0.2">
      <c r="A195" s="27" t="s">
        <v>175</v>
      </c>
      <c r="B195" s="325" t="s">
        <v>3404</v>
      </c>
      <c r="C195" s="71">
        <v>3999500</v>
      </c>
      <c r="E195" s="27" t="s">
        <v>176</v>
      </c>
      <c r="F195" s="27" t="s">
        <v>177</v>
      </c>
      <c r="G195" s="38">
        <v>41518</v>
      </c>
    </row>
    <row r="196" spans="1:7" x14ac:dyDescent="0.2">
      <c r="A196" s="27" t="s">
        <v>175</v>
      </c>
      <c r="B196" s="325" t="s">
        <v>3405</v>
      </c>
      <c r="C196" s="71">
        <v>1410000</v>
      </c>
      <c r="E196" s="27" t="s">
        <v>176</v>
      </c>
      <c r="F196" s="27" t="s">
        <v>177</v>
      </c>
      <c r="G196" s="38">
        <v>41518</v>
      </c>
    </row>
    <row r="197" spans="1:7" x14ac:dyDescent="0.2">
      <c r="A197" s="27" t="s">
        <v>175</v>
      </c>
      <c r="B197" s="325" t="s">
        <v>3406</v>
      </c>
      <c r="C197" s="71">
        <v>2580466</v>
      </c>
      <c r="E197" s="27" t="s">
        <v>176</v>
      </c>
      <c r="F197" s="27" t="s">
        <v>177</v>
      </c>
      <c r="G197" s="38">
        <v>41518</v>
      </c>
    </row>
    <row r="198" spans="1:7" x14ac:dyDescent="0.2">
      <c r="A198" s="27" t="s">
        <v>175</v>
      </c>
      <c r="B198" s="325" t="s">
        <v>3407</v>
      </c>
      <c r="C198" s="71">
        <v>3338260</v>
      </c>
      <c r="E198" s="27" t="s">
        <v>176</v>
      </c>
      <c r="F198" s="27" t="s">
        <v>177</v>
      </c>
      <c r="G198" s="38">
        <v>41518</v>
      </c>
    </row>
    <row r="199" spans="1:7" x14ac:dyDescent="0.2">
      <c r="A199" s="27" t="s">
        <v>175</v>
      </c>
      <c r="B199" s="325" t="s">
        <v>3408</v>
      </c>
      <c r="C199" s="71">
        <v>11002800</v>
      </c>
      <c r="E199" s="27" t="s">
        <v>176</v>
      </c>
      <c r="F199" s="27" t="s">
        <v>177</v>
      </c>
      <c r="G199" s="38">
        <v>41518</v>
      </c>
    </row>
    <row r="200" spans="1:7" x14ac:dyDescent="0.2">
      <c r="A200" s="27" t="s">
        <v>175</v>
      </c>
      <c r="B200" s="325" t="s">
        <v>3409</v>
      </c>
      <c r="C200" s="71">
        <v>4771329</v>
      </c>
      <c r="E200" s="27" t="s">
        <v>176</v>
      </c>
      <c r="F200" s="27" t="s">
        <v>177</v>
      </c>
      <c r="G200" s="38">
        <v>41518</v>
      </c>
    </row>
    <row r="201" spans="1:7" x14ac:dyDescent="0.2">
      <c r="A201" s="27" t="s">
        <v>175</v>
      </c>
      <c r="B201" s="325" t="s">
        <v>3410</v>
      </c>
      <c r="C201" s="71">
        <v>31075000</v>
      </c>
      <c r="E201" s="27" t="s">
        <v>176</v>
      </c>
      <c r="F201" s="27" t="s">
        <v>177</v>
      </c>
      <c r="G201" s="38">
        <v>41518</v>
      </c>
    </row>
    <row r="202" spans="1:7" x14ac:dyDescent="0.2">
      <c r="A202" s="141" t="s">
        <v>175</v>
      </c>
      <c r="B202" s="327" t="s">
        <v>3411</v>
      </c>
      <c r="C202" s="142">
        <v>5600000</v>
      </c>
      <c r="D202" s="142"/>
      <c r="E202" s="141" t="s">
        <v>176</v>
      </c>
      <c r="F202" s="27" t="s">
        <v>177</v>
      </c>
      <c r="G202" s="38">
        <v>41518</v>
      </c>
    </row>
    <row r="203" spans="1:7" x14ac:dyDescent="0.2">
      <c r="A203" s="27" t="s">
        <v>175</v>
      </c>
      <c r="B203" s="325" t="s">
        <v>3412</v>
      </c>
      <c r="C203" s="71">
        <v>6365000</v>
      </c>
      <c r="E203" s="27" t="s">
        <v>176</v>
      </c>
      <c r="F203" s="27" t="s">
        <v>177</v>
      </c>
      <c r="G203" s="38">
        <v>41518</v>
      </c>
    </row>
    <row r="204" spans="1:7" x14ac:dyDescent="0.2">
      <c r="A204" s="27" t="s">
        <v>175</v>
      </c>
      <c r="B204" s="325" t="s">
        <v>3413</v>
      </c>
      <c r="C204" s="71">
        <v>1165000</v>
      </c>
      <c r="E204" s="27" t="s">
        <v>176</v>
      </c>
      <c r="F204" s="27" t="s">
        <v>177</v>
      </c>
      <c r="G204" s="38">
        <v>41518</v>
      </c>
    </row>
    <row r="205" spans="1:7" x14ac:dyDescent="0.2">
      <c r="A205" s="27" t="s">
        <v>175</v>
      </c>
      <c r="B205" s="325" t="s">
        <v>3414</v>
      </c>
      <c r="C205" s="71">
        <v>2760000</v>
      </c>
      <c r="E205" s="27" t="s">
        <v>176</v>
      </c>
      <c r="F205" s="27" t="s">
        <v>177</v>
      </c>
      <c r="G205" s="38">
        <v>41518</v>
      </c>
    </row>
    <row r="206" spans="1:7" x14ac:dyDescent="0.2">
      <c r="A206" s="27" t="s">
        <v>175</v>
      </c>
      <c r="B206" s="325" t="s">
        <v>3415</v>
      </c>
      <c r="C206" s="71">
        <v>12260200</v>
      </c>
      <c r="E206" s="27" t="s">
        <v>176</v>
      </c>
      <c r="F206" s="27" t="s">
        <v>177</v>
      </c>
      <c r="G206" s="38">
        <v>41518</v>
      </c>
    </row>
    <row r="207" spans="1:7" x14ac:dyDescent="0.2">
      <c r="A207" s="27" t="s">
        <v>175</v>
      </c>
      <c r="B207" s="325" t="s">
        <v>3416</v>
      </c>
      <c r="C207" s="71">
        <v>3220500</v>
      </c>
      <c r="E207" s="27" t="s">
        <v>176</v>
      </c>
      <c r="F207" s="27" t="s">
        <v>177</v>
      </c>
      <c r="G207" s="38">
        <v>41518</v>
      </c>
    </row>
    <row r="208" spans="1:7" x14ac:dyDescent="0.2">
      <c r="A208" s="27" t="s">
        <v>175</v>
      </c>
      <c r="B208" s="325" t="s">
        <v>3417</v>
      </c>
      <c r="C208" s="71">
        <v>23419048</v>
      </c>
      <c r="E208" s="27" t="s">
        <v>176</v>
      </c>
      <c r="F208" s="27" t="s">
        <v>177</v>
      </c>
      <c r="G208" s="38">
        <v>41518</v>
      </c>
    </row>
    <row r="209" spans="1:10" x14ac:dyDescent="0.2">
      <c r="A209" s="27" t="s">
        <v>175</v>
      </c>
      <c r="B209" s="325" t="s">
        <v>3418</v>
      </c>
      <c r="C209" s="71">
        <v>41182652</v>
      </c>
      <c r="E209" s="27" t="s">
        <v>176</v>
      </c>
      <c r="F209" s="27" t="s">
        <v>177</v>
      </c>
      <c r="G209" s="38">
        <v>41518</v>
      </c>
    </row>
    <row r="210" spans="1:10" x14ac:dyDescent="0.2">
      <c r="A210" s="27" t="s">
        <v>175</v>
      </c>
      <c r="B210" s="325" t="s">
        <v>3419</v>
      </c>
      <c r="C210" s="71">
        <v>6213000</v>
      </c>
      <c r="E210" s="27" t="s">
        <v>176</v>
      </c>
      <c r="F210" s="27" t="s">
        <v>177</v>
      </c>
      <c r="G210" s="38">
        <v>41518</v>
      </c>
    </row>
    <row r="211" spans="1:10" x14ac:dyDescent="0.2">
      <c r="A211" s="27" t="s">
        <v>175</v>
      </c>
      <c r="B211" s="325" t="s">
        <v>3420</v>
      </c>
      <c r="C211" s="71">
        <v>10200000</v>
      </c>
      <c r="E211" s="27" t="s">
        <v>176</v>
      </c>
      <c r="F211" s="27" t="s">
        <v>177</v>
      </c>
      <c r="G211" s="38">
        <v>41518</v>
      </c>
    </row>
    <row r="212" spans="1:10" x14ac:dyDescent="0.2">
      <c r="A212" s="27" t="s">
        <v>175</v>
      </c>
      <c r="B212" s="325" t="s">
        <v>3421</v>
      </c>
      <c r="C212" s="71">
        <v>7577664</v>
      </c>
      <c r="E212" s="27" t="s">
        <v>176</v>
      </c>
      <c r="F212" s="27" t="s">
        <v>177</v>
      </c>
      <c r="G212" s="38">
        <v>41518</v>
      </c>
    </row>
    <row r="213" spans="1:10" x14ac:dyDescent="0.2">
      <c r="A213" s="27" t="s">
        <v>175</v>
      </c>
      <c r="B213" s="325" t="s">
        <v>3422</v>
      </c>
      <c r="C213" s="71">
        <v>17117536</v>
      </c>
      <c r="E213" s="27" t="s">
        <v>176</v>
      </c>
      <c r="F213" s="27" t="s">
        <v>177</v>
      </c>
      <c r="G213" s="38">
        <v>41518</v>
      </c>
    </row>
    <row r="214" spans="1:10" x14ac:dyDescent="0.2">
      <c r="A214" s="27" t="s">
        <v>175</v>
      </c>
      <c r="B214" s="325" t="s">
        <v>3423</v>
      </c>
      <c r="C214" s="71">
        <v>12852808</v>
      </c>
      <c r="E214" s="27" t="s">
        <v>176</v>
      </c>
      <c r="F214" s="27" t="s">
        <v>177</v>
      </c>
      <c r="G214" s="38">
        <v>41518</v>
      </c>
    </row>
    <row r="215" spans="1:10" x14ac:dyDescent="0.2">
      <c r="A215" s="27" t="s">
        <v>175</v>
      </c>
      <c r="B215" s="325" t="s">
        <v>3424</v>
      </c>
      <c r="C215" s="71">
        <v>17239492</v>
      </c>
      <c r="E215" s="27" t="s">
        <v>176</v>
      </c>
      <c r="F215" s="27" t="s">
        <v>177</v>
      </c>
      <c r="G215" s="38">
        <v>41518</v>
      </c>
    </row>
    <row r="216" spans="1:10" x14ac:dyDescent="0.2">
      <c r="A216" s="27" t="s">
        <v>175</v>
      </c>
      <c r="B216" s="325" t="s">
        <v>3425</v>
      </c>
      <c r="C216" s="71">
        <v>4023247</v>
      </c>
      <c r="E216" s="27" t="s">
        <v>176</v>
      </c>
      <c r="F216" s="27" t="s">
        <v>177</v>
      </c>
      <c r="G216" s="38">
        <v>41518</v>
      </c>
    </row>
    <row r="217" spans="1:10" x14ac:dyDescent="0.2">
      <c r="A217" s="27" t="s">
        <v>175</v>
      </c>
      <c r="B217" s="325" t="s">
        <v>3426</v>
      </c>
      <c r="C217" s="71">
        <v>18596453</v>
      </c>
      <c r="E217" s="27" t="s">
        <v>176</v>
      </c>
      <c r="F217" s="27" t="s">
        <v>177</v>
      </c>
      <c r="G217" s="38">
        <v>41518</v>
      </c>
    </row>
    <row r="218" spans="1:10" x14ac:dyDescent="0.2">
      <c r="A218" s="27" t="s">
        <v>175</v>
      </c>
      <c r="B218" s="325" t="s">
        <v>3427</v>
      </c>
      <c r="C218" s="71">
        <v>3590580</v>
      </c>
      <c r="E218" s="27" t="s">
        <v>176</v>
      </c>
      <c r="F218" s="27" t="s">
        <v>177</v>
      </c>
      <c r="G218" s="38">
        <v>41518</v>
      </c>
    </row>
    <row r="219" spans="1:10" x14ac:dyDescent="0.2">
      <c r="A219" s="27" t="s">
        <v>175</v>
      </c>
      <c r="B219" s="325" t="s">
        <v>3428</v>
      </c>
      <c r="C219" s="71">
        <v>26409420</v>
      </c>
      <c r="E219" s="27" t="s">
        <v>176</v>
      </c>
      <c r="F219" s="27" t="s">
        <v>177</v>
      </c>
      <c r="G219" s="38">
        <v>41518</v>
      </c>
    </row>
    <row r="220" spans="1:10" x14ac:dyDescent="0.2">
      <c r="A220" s="27" t="s">
        <v>175</v>
      </c>
      <c r="B220" s="325" t="s">
        <v>3429</v>
      </c>
      <c r="C220" s="71">
        <v>5860000</v>
      </c>
      <c r="E220" s="27" t="s">
        <v>176</v>
      </c>
      <c r="F220" s="27" t="s">
        <v>177</v>
      </c>
      <c r="G220" s="38">
        <v>41518</v>
      </c>
    </row>
    <row r="221" spans="1:10" x14ac:dyDescent="0.2">
      <c r="A221" s="27" t="s">
        <v>175</v>
      </c>
      <c r="B221" s="325" t="s">
        <v>3430</v>
      </c>
      <c r="C221" s="71">
        <v>12421500</v>
      </c>
      <c r="E221" s="27" t="s">
        <v>176</v>
      </c>
      <c r="F221" s="27" t="s">
        <v>177</v>
      </c>
      <c r="G221" s="38">
        <v>41518</v>
      </c>
    </row>
    <row r="222" spans="1:10" x14ac:dyDescent="0.2">
      <c r="A222" s="27" t="s">
        <v>175</v>
      </c>
      <c r="B222" s="325" t="s">
        <v>3431</v>
      </c>
      <c r="C222" s="71">
        <v>24428350</v>
      </c>
      <c r="E222" s="27" t="s">
        <v>176</v>
      </c>
      <c r="F222" s="27" t="s">
        <v>177</v>
      </c>
      <c r="G222" s="38">
        <v>41518</v>
      </c>
      <c r="I222" s="27">
        <v>24525933</v>
      </c>
      <c r="J222" s="27">
        <f>+I222-C222</f>
        <v>97583</v>
      </c>
    </row>
    <row r="223" spans="1:10" x14ac:dyDescent="0.2">
      <c r="A223" s="27" t="s">
        <v>175</v>
      </c>
      <c r="B223" s="325" t="s">
        <v>3432</v>
      </c>
      <c r="C223" s="71">
        <v>1421500</v>
      </c>
      <c r="E223" s="27" t="s">
        <v>176</v>
      </c>
      <c r="F223" s="27" t="s">
        <v>177</v>
      </c>
      <c r="G223" s="38">
        <v>41518</v>
      </c>
    </row>
    <row r="224" spans="1:10" x14ac:dyDescent="0.2">
      <c r="A224" s="27" t="s">
        <v>175</v>
      </c>
      <c r="B224" s="325" t="s">
        <v>3433</v>
      </c>
      <c r="C224" s="71">
        <v>5515331</v>
      </c>
      <c r="E224" s="27" t="s">
        <v>176</v>
      </c>
      <c r="F224" s="27" t="s">
        <v>177</v>
      </c>
      <c r="G224" s="38">
        <v>41518</v>
      </c>
    </row>
    <row r="225" spans="1:10" x14ac:dyDescent="0.2">
      <c r="A225" s="27" t="s">
        <v>175</v>
      </c>
      <c r="B225" s="325" t="s">
        <v>3434</v>
      </c>
      <c r="C225" s="71">
        <v>1421500</v>
      </c>
      <c r="E225" s="27" t="s">
        <v>176</v>
      </c>
      <c r="F225" s="27" t="s">
        <v>177</v>
      </c>
      <c r="G225" s="38">
        <v>41518</v>
      </c>
    </row>
    <row r="226" spans="1:10" x14ac:dyDescent="0.2">
      <c r="A226" s="27" t="s">
        <v>175</v>
      </c>
      <c r="B226" s="325" t="s">
        <v>3435</v>
      </c>
      <c r="C226" s="71">
        <v>2601831</v>
      </c>
      <c r="E226" s="27" t="s">
        <v>176</v>
      </c>
      <c r="F226" s="27" t="s">
        <v>177</v>
      </c>
      <c r="G226" s="38">
        <v>41518</v>
      </c>
    </row>
    <row r="227" spans="1:10" x14ac:dyDescent="0.2">
      <c r="A227" s="27" t="s">
        <v>175</v>
      </c>
      <c r="B227" s="325" t="s">
        <v>3436</v>
      </c>
      <c r="C227" s="71">
        <v>1700000</v>
      </c>
      <c r="E227" s="27" t="s">
        <v>176</v>
      </c>
      <c r="F227" s="27" t="s">
        <v>177</v>
      </c>
      <c r="G227" s="38">
        <v>41518</v>
      </c>
    </row>
    <row r="228" spans="1:10" x14ac:dyDescent="0.2">
      <c r="A228" s="27" t="s">
        <v>175</v>
      </c>
      <c r="B228" s="325" t="s">
        <v>3437</v>
      </c>
      <c r="C228" s="71">
        <v>3529338</v>
      </c>
      <c r="E228" s="27" t="s">
        <v>176</v>
      </c>
      <c r="F228" s="27" t="s">
        <v>177</v>
      </c>
      <c r="G228" s="38">
        <v>41518</v>
      </c>
      <c r="I228" s="27">
        <v>3715092</v>
      </c>
      <c r="J228" s="27">
        <f t="shared" ref="J228" si="0">+I228-C228</f>
        <v>185754</v>
      </c>
    </row>
    <row r="229" spans="1:10" x14ac:dyDescent="0.2">
      <c r="A229" s="27" t="s">
        <v>175</v>
      </c>
      <c r="B229" s="325" t="s">
        <v>3438</v>
      </c>
      <c r="C229" s="71">
        <v>685000</v>
      </c>
      <c r="E229" s="27" t="s">
        <v>176</v>
      </c>
      <c r="F229" s="27" t="s">
        <v>177</v>
      </c>
      <c r="G229" s="38">
        <v>41518</v>
      </c>
    </row>
    <row r="230" spans="1:10" x14ac:dyDescent="0.2">
      <c r="A230" s="27" t="s">
        <v>175</v>
      </c>
      <c r="B230" s="325" t="s">
        <v>3439</v>
      </c>
      <c r="C230" s="71">
        <v>13957751</v>
      </c>
      <c r="E230" s="27" t="s">
        <v>176</v>
      </c>
      <c r="F230" s="27" t="s">
        <v>177</v>
      </c>
      <c r="G230" s="38">
        <v>41518</v>
      </c>
    </row>
    <row r="231" spans="1:10" x14ac:dyDescent="0.2">
      <c r="A231" s="27" t="s">
        <v>175</v>
      </c>
      <c r="B231" s="325" t="s">
        <v>3440</v>
      </c>
      <c r="C231" s="71">
        <v>4310000</v>
      </c>
      <c r="E231" s="27" t="s">
        <v>176</v>
      </c>
      <c r="F231" s="27" t="s">
        <v>177</v>
      </c>
      <c r="G231" s="38">
        <v>41518</v>
      </c>
    </row>
    <row r="232" spans="1:10" x14ac:dyDescent="0.2">
      <c r="A232" s="27" t="s">
        <v>175</v>
      </c>
      <c r="B232" s="325" t="s">
        <v>3441</v>
      </c>
      <c r="C232" s="71">
        <v>19188240</v>
      </c>
      <c r="E232" s="27" t="s">
        <v>176</v>
      </c>
      <c r="F232" s="27" t="s">
        <v>177</v>
      </c>
      <c r="G232" s="38">
        <v>41518</v>
      </c>
    </row>
    <row r="233" spans="1:10" x14ac:dyDescent="0.2">
      <c r="A233" s="27" t="s">
        <v>175</v>
      </c>
      <c r="B233" s="325" t="s">
        <v>3442</v>
      </c>
      <c r="C233" s="71">
        <v>1813200</v>
      </c>
      <c r="E233" s="27" t="s">
        <v>176</v>
      </c>
      <c r="F233" s="27" t="s">
        <v>177</v>
      </c>
      <c r="G233" s="38">
        <v>41518</v>
      </c>
    </row>
    <row r="234" spans="1:10" x14ac:dyDescent="0.2">
      <c r="A234" s="27" t="s">
        <v>175</v>
      </c>
      <c r="B234" s="325" t="s">
        <v>3443</v>
      </c>
      <c r="C234" s="71">
        <v>14282413</v>
      </c>
      <c r="E234" s="27" t="s">
        <v>176</v>
      </c>
      <c r="F234" s="27" t="s">
        <v>177</v>
      </c>
      <c r="G234" s="38">
        <v>41518</v>
      </c>
    </row>
    <row r="235" spans="1:10" x14ac:dyDescent="0.2">
      <c r="A235" s="27" t="s">
        <v>175</v>
      </c>
      <c r="B235" s="325" t="s">
        <v>3444</v>
      </c>
      <c r="C235" s="71">
        <v>2187000</v>
      </c>
      <c r="E235" s="27" t="s">
        <v>176</v>
      </c>
      <c r="F235" s="27" t="s">
        <v>177</v>
      </c>
      <c r="G235" s="38">
        <v>41518</v>
      </c>
    </row>
    <row r="236" spans="1:10" x14ac:dyDescent="0.2">
      <c r="A236" s="27" t="s">
        <v>175</v>
      </c>
      <c r="B236" s="325" t="s">
        <v>3445</v>
      </c>
      <c r="C236" s="71">
        <v>15935694</v>
      </c>
      <c r="E236" s="27" t="s">
        <v>176</v>
      </c>
      <c r="F236" s="27" t="s">
        <v>177</v>
      </c>
      <c r="G236" s="38">
        <v>41518</v>
      </c>
    </row>
    <row r="237" spans="1:10" x14ac:dyDescent="0.2">
      <c r="A237" s="27" t="s">
        <v>175</v>
      </c>
      <c r="B237" s="325" t="s">
        <v>3446</v>
      </c>
      <c r="C237" s="71">
        <v>4385000</v>
      </c>
      <c r="E237" s="27" t="s">
        <v>176</v>
      </c>
      <c r="F237" s="27" t="s">
        <v>177</v>
      </c>
      <c r="G237" s="38">
        <v>41518</v>
      </c>
    </row>
    <row r="238" spans="1:10" x14ac:dyDescent="0.2">
      <c r="A238" s="27" t="s">
        <v>175</v>
      </c>
      <c r="B238" s="325" t="s">
        <v>3447</v>
      </c>
      <c r="C238" s="71">
        <v>8146650</v>
      </c>
      <c r="E238" s="27" t="s">
        <v>176</v>
      </c>
      <c r="F238" s="27" t="s">
        <v>177</v>
      </c>
      <c r="G238" s="38">
        <v>41518</v>
      </c>
      <c r="I238" s="27">
        <v>8201028</v>
      </c>
      <c r="J238" s="27">
        <f t="shared" ref="J238" si="1">+I238-C238</f>
        <v>54378</v>
      </c>
    </row>
    <row r="239" spans="1:10" x14ac:dyDescent="0.2">
      <c r="A239" s="27" t="s">
        <v>175</v>
      </c>
      <c r="B239" s="325" t="s">
        <v>3448</v>
      </c>
      <c r="C239" s="71">
        <v>1140000</v>
      </c>
      <c r="E239" s="27" t="s">
        <v>176</v>
      </c>
      <c r="F239" s="27" t="s">
        <v>177</v>
      </c>
      <c r="G239" s="38">
        <v>41518</v>
      </c>
    </row>
    <row r="240" spans="1:10" x14ac:dyDescent="0.2">
      <c r="A240" s="27" t="s">
        <v>175</v>
      </c>
      <c r="B240" s="325" t="s">
        <v>3449</v>
      </c>
      <c r="C240" s="71">
        <v>270000</v>
      </c>
      <c r="E240" s="27" t="s">
        <v>176</v>
      </c>
      <c r="F240" s="27" t="s">
        <v>177</v>
      </c>
      <c r="G240" s="38">
        <v>41518</v>
      </c>
    </row>
    <row r="241" spans="1:10" x14ac:dyDescent="0.2">
      <c r="A241" s="27" t="s">
        <v>175</v>
      </c>
      <c r="B241" s="325" t="s">
        <v>3450</v>
      </c>
      <c r="C241" s="71">
        <v>150000</v>
      </c>
      <c r="E241" s="27" t="s">
        <v>176</v>
      </c>
      <c r="F241" s="27" t="s">
        <v>177</v>
      </c>
      <c r="G241" s="38">
        <v>41518</v>
      </c>
    </row>
    <row r="242" spans="1:10" x14ac:dyDescent="0.2">
      <c r="A242" s="27" t="s">
        <v>175</v>
      </c>
      <c r="B242" s="325" t="s">
        <v>3451</v>
      </c>
      <c r="C242" s="71">
        <v>6140000</v>
      </c>
      <c r="E242" s="27" t="s">
        <v>176</v>
      </c>
      <c r="F242" s="27" t="s">
        <v>177</v>
      </c>
      <c r="G242" s="38">
        <v>41518</v>
      </c>
    </row>
    <row r="243" spans="1:10" x14ac:dyDescent="0.2">
      <c r="A243" s="27" t="s">
        <v>175</v>
      </c>
      <c r="B243" s="325" t="s">
        <v>3452</v>
      </c>
      <c r="C243" s="71">
        <v>2135000</v>
      </c>
      <c r="E243" s="27" t="s">
        <v>176</v>
      </c>
      <c r="F243" s="27" t="s">
        <v>177</v>
      </c>
      <c r="G243" s="38">
        <v>41518</v>
      </c>
    </row>
    <row r="244" spans="1:10" x14ac:dyDescent="0.2">
      <c r="A244" s="27" t="s">
        <v>175</v>
      </c>
      <c r="B244" s="325" t="s">
        <v>3453</v>
      </c>
      <c r="C244" s="71">
        <v>6084540</v>
      </c>
      <c r="E244" s="27" t="s">
        <v>176</v>
      </c>
      <c r="F244" s="27" t="s">
        <v>177</v>
      </c>
      <c r="G244" s="38">
        <v>41518</v>
      </c>
    </row>
    <row r="245" spans="1:10" x14ac:dyDescent="0.2">
      <c r="A245" s="141" t="s">
        <v>175</v>
      </c>
      <c r="B245" s="327" t="s">
        <v>3454</v>
      </c>
      <c r="C245" s="142">
        <v>525000</v>
      </c>
      <c r="D245" s="142"/>
      <c r="E245" s="141" t="s">
        <v>176</v>
      </c>
      <c r="F245" s="27" t="s">
        <v>177</v>
      </c>
      <c r="G245" s="38">
        <v>41518</v>
      </c>
    </row>
    <row r="246" spans="1:10" x14ac:dyDescent="0.2">
      <c r="A246" s="141" t="s">
        <v>175</v>
      </c>
      <c r="B246" s="327" t="s">
        <v>3455</v>
      </c>
      <c r="C246" s="142">
        <v>9825212</v>
      </c>
      <c r="D246" s="142"/>
      <c r="E246" s="141" t="s">
        <v>176</v>
      </c>
      <c r="F246" s="27" t="s">
        <v>177</v>
      </c>
      <c r="G246" s="38">
        <v>41518</v>
      </c>
    </row>
    <row r="247" spans="1:10" x14ac:dyDescent="0.2">
      <c r="A247" s="27" t="s">
        <v>175</v>
      </c>
      <c r="B247" s="325" t="s">
        <v>3456</v>
      </c>
      <c r="C247" s="71">
        <v>3685000</v>
      </c>
      <c r="E247" s="27" t="s">
        <v>176</v>
      </c>
      <c r="F247" s="27" t="s">
        <v>177</v>
      </c>
      <c r="G247" s="38">
        <v>41518</v>
      </c>
    </row>
    <row r="248" spans="1:10" x14ac:dyDescent="0.2">
      <c r="A248" s="27" t="s">
        <v>175</v>
      </c>
      <c r="B248" s="325" t="s">
        <v>3457</v>
      </c>
      <c r="C248" s="71">
        <v>4048000</v>
      </c>
      <c r="E248" s="27" t="s">
        <v>176</v>
      </c>
      <c r="F248" s="27" t="s">
        <v>177</v>
      </c>
      <c r="G248" s="38">
        <v>41518</v>
      </c>
    </row>
    <row r="249" spans="1:10" x14ac:dyDescent="0.2">
      <c r="A249" s="27" t="s">
        <v>175</v>
      </c>
      <c r="B249" s="325" t="s">
        <v>3458</v>
      </c>
      <c r="C249" s="71">
        <v>347500</v>
      </c>
      <c r="E249" s="27" t="s">
        <v>176</v>
      </c>
      <c r="F249" s="27" t="s">
        <v>177</v>
      </c>
      <c r="G249" s="38">
        <v>41518</v>
      </c>
    </row>
    <row r="250" spans="1:10" x14ac:dyDescent="0.2">
      <c r="A250" s="27" t="s">
        <v>175</v>
      </c>
      <c r="B250" s="325" t="s">
        <v>3459</v>
      </c>
      <c r="C250" s="71">
        <v>2924151</v>
      </c>
      <c r="E250" s="27" t="s">
        <v>176</v>
      </c>
      <c r="F250" s="27" t="s">
        <v>177</v>
      </c>
      <c r="G250" s="38">
        <v>41518</v>
      </c>
    </row>
    <row r="251" spans="1:10" x14ac:dyDescent="0.2">
      <c r="A251" s="27" t="s">
        <v>175</v>
      </c>
      <c r="B251" s="325" t="s">
        <v>3460</v>
      </c>
      <c r="C251" s="71">
        <v>446000</v>
      </c>
      <c r="E251" s="27" t="s">
        <v>176</v>
      </c>
      <c r="F251" s="27" t="s">
        <v>177</v>
      </c>
      <c r="G251" s="38">
        <v>41518</v>
      </c>
    </row>
    <row r="252" spans="1:10" x14ac:dyDescent="0.2">
      <c r="A252" s="27" t="s">
        <v>175</v>
      </c>
      <c r="B252" s="325" t="s">
        <v>3461</v>
      </c>
      <c r="C252" s="71">
        <v>3042379</v>
      </c>
      <c r="E252" s="27" t="s">
        <v>176</v>
      </c>
      <c r="F252" s="27" t="s">
        <v>177</v>
      </c>
      <c r="G252" s="38">
        <v>41518</v>
      </c>
    </row>
    <row r="253" spans="1:10" x14ac:dyDescent="0.2">
      <c r="A253" s="27" t="s">
        <v>175</v>
      </c>
      <c r="B253" s="325" t="s">
        <v>3462</v>
      </c>
      <c r="C253" s="71">
        <v>610000</v>
      </c>
      <c r="E253" s="27" t="s">
        <v>176</v>
      </c>
      <c r="F253" s="27" t="s">
        <v>177</v>
      </c>
      <c r="G253" s="38">
        <v>41518</v>
      </c>
    </row>
    <row r="254" spans="1:10" x14ac:dyDescent="0.2">
      <c r="A254" s="27" t="s">
        <v>175</v>
      </c>
      <c r="B254" s="325" t="s">
        <v>3463</v>
      </c>
      <c r="C254" s="71">
        <v>8530868</v>
      </c>
      <c r="E254" s="27" t="s">
        <v>176</v>
      </c>
      <c r="F254" s="27" t="s">
        <v>177</v>
      </c>
      <c r="G254" s="38">
        <v>41518</v>
      </c>
    </row>
    <row r="255" spans="1:10" x14ac:dyDescent="0.2">
      <c r="A255" s="27" t="s">
        <v>175</v>
      </c>
      <c r="B255" s="325" t="s">
        <v>3464</v>
      </c>
      <c r="C255" s="71">
        <v>5040000</v>
      </c>
      <c r="E255" s="27" t="s">
        <v>176</v>
      </c>
      <c r="F255" s="27" t="s">
        <v>177</v>
      </c>
      <c r="G255" s="38">
        <v>41518</v>
      </c>
    </row>
    <row r="256" spans="1:10" x14ac:dyDescent="0.2">
      <c r="A256" s="27" t="s">
        <v>175</v>
      </c>
      <c r="B256" s="325" t="s">
        <v>3465</v>
      </c>
      <c r="C256" s="71">
        <v>18364926</v>
      </c>
      <c r="E256" s="27" t="s">
        <v>176</v>
      </c>
      <c r="F256" s="27" t="s">
        <v>177</v>
      </c>
      <c r="G256" s="38">
        <v>41518</v>
      </c>
      <c r="I256" s="27">
        <v>18124792</v>
      </c>
      <c r="J256" s="27">
        <f>+I256-C256+2</f>
        <v>-240132</v>
      </c>
    </row>
    <row r="257" spans="1:7" x14ac:dyDescent="0.2">
      <c r="A257" s="27" t="s">
        <v>175</v>
      </c>
      <c r="B257" s="325" t="s">
        <v>3466</v>
      </c>
      <c r="C257" s="71">
        <v>407000</v>
      </c>
      <c r="E257" s="27" t="s">
        <v>176</v>
      </c>
      <c r="F257" s="27" t="s">
        <v>177</v>
      </c>
      <c r="G257" s="38">
        <v>41518</v>
      </c>
    </row>
    <row r="258" spans="1:7" x14ac:dyDescent="0.2">
      <c r="A258" s="27" t="s">
        <v>175</v>
      </c>
      <c r="B258" s="325" t="s">
        <v>3467</v>
      </c>
      <c r="C258" s="71">
        <v>4501856</v>
      </c>
      <c r="E258" s="27" t="s">
        <v>176</v>
      </c>
      <c r="F258" s="27" t="s">
        <v>177</v>
      </c>
      <c r="G258" s="38">
        <v>41518</v>
      </c>
    </row>
    <row r="259" spans="1:7" x14ac:dyDescent="0.2">
      <c r="A259" s="27" t="s">
        <v>175</v>
      </c>
      <c r="B259" s="325" t="s">
        <v>3468</v>
      </c>
      <c r="C259" s="71">
        <v>3880000</v>
      </c>
      <c r="E259" s="27" t="s">
        <v>176</v>
      </c>
      <c r="F259" s="27" t="s">
        <v>177</v>
      </c>
      <c r="G259" s="38">
        <v>41518</v>
      </c>
    </row>
    <row r="260" spans="1:7" x14ac:dyDescent="0.2">
      <c r="A260" s="27" t="s">
        <v>175</v>
      </c>
      <c r="B260" s="325" t="s">
        <v>3469</v>
      </c>
      <c r="C260" s="71">
        <v>6072000</v>
      </c>
      <c r="E260" s="27" t="s">
        <v>176</v>
      </c>
      <c r="F260" s="27" t="s">
        <v>177</v>
      </c>
      <c r="G260" s="38">
        <v>41518</v>
      </c>
    </row>
    <row r="261" spans="1:7" x14ac:dyDescent="0.2">
      <c r="A261" s="27" t="s">
        <v>175</v>
      </c>
      <c r="B261" s="325" t="s">
        <v>3470</v>
      </c>
      <c r="C261" s="71">
        <v>374629176</v>
      </c>
      <c r="E261" s="27" t="s">
        <v>176</v>
      </c>
      <c r="F261" s="27" t="s">
        <v>177</v>
      </c>
      <c r="G261" s="38">
        <v>41518</v>
      </c>
    </row>
    <row r="262" spans="1:7" x14ac:dyDescent="0.2">
      <c r="A262" s="27" t="s">
        <v>175</v>
      </c>
      <c r="B262" s="325" t="s">
        <v>3471</v>
      </c>
      <c r="C262" s="71">
        <v>172500000</v>
      </c>
      <c r="E262" s="27" t="s">
        <v>176</v>
      </c>
      <c r="F262" s="27" t="s">
        <v>177</v>
      </c>
      <c r="G262" s="38">
        <v>41518</v>
      </c>
    </row>
    <row r="263" spans="1:7" x14ac:dyDescent="0.2">
      <c r="A263" s="27" t="s">
        <v>175</v>
      </c>
      <c r="B263" s="325" t="s">
        <v>3472</v>
      </c>
      <c r="C263" s="71">
        <v>170746722</v>
      </c>
      <c r="E263" s="27" t="s">
        <v>176</v>
      </c>
      <c r="F263" s="27" t="s">
        <v>177</v>
      </c>
      <c r="G263" s="38">
        <v>41518</v>
      </c>
    </row>
    <row r="264" spans="1:7" x14ac:dyDescent="0.2">
      <c r="A264" s="27" t="s">
        <v>175</v>
      </c>
      <c r="B264" s="325" t="s">
        <v>3473</v>
      </c>
      <c r="C264" s="71">
        <v>27500000</v>
      </c>
      <c r="E264" s="27" t="s">
        <v>176</v>
      </c>
      <c r="F264" s="27" t="s">
        <v>177</v>
      </c>
      <c r="G264" s="38">
        <v>41518</v>
      </c>
    </row>
    <row r="265" spans="1:7" x14ac:dyDescent="0.2">
      <c r="A265" s="27" t="s">
        <v>175</v>
      </c>
      <c r="B265" s="325" t="s">
        <v>3474</v>
      </c>
      <c r="C265" s="71">
        <v>5780000</v>
      </c>
      <c r="E265" s="27" t="s">
        <v>176</v>
      </c>
      <c r="F265" s="27" t="s">
        <v>177</v>
      </c>
      <c r="G265" s="38">
        <v>41518</v>
      </c>
    </row>
    <row r="266" spans="1:7" x14ac:dyDescent="0.2">
      <c r="A266" s="27" t="s">
        <v>175</v>
      </c>
      <c r="B266" s="325" t="s">
        <v>3475</v>
      </c>
      <c r="C266" s="71">
        <v>21832353</v>
      </c>
      <c r="E266" s="27" t="s">
        <v>176</v>
      </c>
      <c r="F266" s="27" t="s">
        <v>177</v>
      </c>
      <c r="G266" s="38">
        <v>41518</v>
      </c>
    </row>
    <row r="267" spans="1:7" x14ac:dyDescent="0.2">
      <c r="A267" s="27" t="s">
        <v>175</v>
      </c>
      <c r="B267" s="325" t="s">
        <v>3476</v>
      </c>
      <c r="C267" s="71">
        <v>500000</v>
      </c>
      <c r="E267" s="27" t="s">
        <v>176</v>
      </c>
      <c r="F267" s="27" t="s">
        <v>177</v>
      </c>
      <c r="G267" s="38">
        <v>41518</v>
      </c>
    </row>
    <row r="268" spans="1:7" x14ac:dyDescent="0.2">
      <c r="A268" s="27" t="s">
        <v>175</v>
      </c>
      <c r="B268" s="325" t="s">
        <v>3477</v>
      </c>
      <c r="C268" s="71">
        <v>18731428</v>
      </c>
      <c r="E268" s="27" t="s">
        <v>176</v>
      </c>
      <c r="F268" s="27" t="s">
        <v>177</v>
      </c>
      <c r="G268" s="38">
        <v>41518</v>
      </c>
    </row>
    <row r="269" spans="1:7" x14ac:dyDescent="0.2">
      <c r="A269" s="27" t="s">
        <v>175</v>
      </c>
      <c r="B269" s="325" t="s">
        <v>3478</v>
      </c>
      <c r="C269" s="71">
        <v>298700</v>
      </c>
      <c r="E269" s="27" t="s">
        <v>176</v>
      </c>
      <c r="F269" s="27" t="s">
        <v>177</v>
      </c>
      <c r="G269" s="38">
        <v>41518</v>
      </c>
    </row>
    <row r="270" spans="1:7" x14ac:dyDescent="0.2">
      <c r="A270" s="27" t="s">
        <v>175</v>
      </c>
      <c r="B270" s="325" t="s">
        <v>3479</v>
      </c>
      <c r="C270" s="71">
        <v>7658930</v>
      </c>
      <c r="E270" s="27" t="s">
        <v>176</v>
      </c>
      <c r="F270" s="27" t="s">
        <v>177</v>
      </c>
      <c r="G270" s="38">
        <v>41518</v>
      </c>
    </row>
    <row r="271" spans="1:7" x14ac:dyDescent="0.2">
      <c r="A271" s="27" t="s">
        <v>175</v>
      </c>
      <c r="B271" s="325" t="s">
        <v>3480</v>
      </c>
      <c r="C271" s="71">
        <v>301000</v>
      </c>
      <c r="E271" s="27" t="s">
        <v>176</v>
      </c>
      <c r="F271" s="27" t="s">
        <v>177</v>
      </c>
      <c r="G271" s="38">
        <v>41518</v>
      </c>
    </row>
    <row r="272" spans="1:7" x14ac:dyDescent="0.2">
      <c r="A272" s="27" t="s">
        <v>175</v>
      </c>
      <c r="B272" s="325" t="s">
        <v>3481</v>
      </c>
      <c r="C272" s="71">
        <v>9674734</v>
      </c>
      <c r="E272" s="27" t="s">
        <v>176</v>
      </c>
      <c r="F272" s="27" t="s">
        <v>177</v>
      </c>
      <c r="G272" s="38">
        <v>41518</v>
      </c>
    </row>
    <row r="273" spans="1:7" x14ac:dyDescent="0.2">
      <c r="A273" s="27" t="s">
        <v>175</v>
      </c>
      <c r="B273" s="325" t="s">
        <v>3482</v>
      </c>
      <c r="C273" s="71">
        <v>4000000</v>
      </c>
      <c r="E273" s="27" t="s">
        <v>176</v>
      </c>
      <c r="F273" s="27" t="s">
        <v>177</v>
      </c>
      <c r="G273" s="38">
        <v>41518</v>
      </c>
    </row>
    <row r="274" spans="1:7" x14ac:dyDescent="0.2">
      <c r="A274" s="27" t="s">
        <v>175</v>
      </c>
      <c r="B274" s="325" t="s">
        <v>3483</v>
      </c>
      <c r="C274" s="71">
        <v>25957767</v>
      </c>
      <c r="E274" s="27" t="s">
        <v>176</v>
      </c>
      <c r="F274" s="27" t="s">
        <v>177</v>
      </c>
      <c r="G274" s="38">
        <v>41518</v>
      </c>
    </row>
    <row r="275" spans="1:7" x14ac:dyDescent="0.2">
      <c r="A275" s="27" t="s">
        <v>175</v>
      </c>
      <c r="B275" s="325" t="s">
        <v>3484</v>
      </c>
      <c r="C275" s="71">
        <v>4180366</v>
      </c>
      <c r="E275" s="27" t="s">
        <v>176</v>
      </c>
      <c r="F275" s="27" t="s">
        <v>177</v>
      </c>
      <c r="G275" s="38">
        <v>41518</v>
      </c>
    </row>
    <row r="276" spans="1:7" x14ac:dyDescent="0.2">
      <c r="A276" s="27" t="s">
        <v>175</v>
      </c>
      <c r="B276" s="325" t="s">
        <v>3485</v>
      </c>
      <c r="C276" s="71">
        <v>6910519</v>
      </c>
      <c r="E276" s="27" t="s">
        <v>176</v>
      </c>
      <c r="F276" s="27" t="s">
        <v>177</v>
      </c>
      <c r="G276" s="38">
        <v>41518</v>
      </c>
    </row>
    <row r="277" spans="1:7" x14ac:dyDescent="0.2">
      <c r="A277" s="27" t="s">
        <v>175</v>
      </c>
      <c r="B277" s="325" t="s">
        <v>3486</v>
      </c>
      <c r="C277" s="71">
        <v>450000</v>
      </c>
      <c r="E277" s="27" t="s">
        <v>176</v>
      </c>
      <c r="F277" s="27" t="s">
        <v>177</v>
      </c>
      <c r="G277" s="38">
        <v>41518</v>
      </c>
    </row>
    <row r="278" spans="1:7" x14ac:dyDescent="0.2">
      <c r="A278" s="27" t="s">
        <v>175</v>
      </c>
      <c r="B278" s="325" t="s">
        <v>3487</v>
      </c>
      <c r="C278" s="71">
        <v>390000</v>
      </c>
      <c r="E278" s="27" t="s">
        <v>176</v>
      </c>
      <c r="F278" s="27" t="s">
        <v>177</v>
      </c>
      <c r="G278" s="38">
        <v>41518</v>
      </c>
    </row>
    <row r="279" spans="1:7" x14ac:dyDescent="0.2">
      <c r="A279" s="27" t="s">
        <v>175</v>
      </c>
      <c r="B279" s="325" t="s">
        <v>3488</v>
      </c>
      <c r="C279" s="71">
        <v>10492822</v>
      </c>
      <c r="E279" s="27" t="s">
        <v>176</v>
      </c>
      <c r="F279" s="27" t="s">
        <v>177</v>
      </c>
      <c r="G279" s="38">
        <v>41518</v>
      </c>
    </row>
    <row r="280" spans="1:7" x14ac:dyDescent="0.2">
      <c r="A280" s="27" t="s">
        <v>175</v>
      </c>
      <c r="B280" s="325" t="s">
        <v>3489</v>
      </c>
      <c r="C280" s="71">
        <v>2080000</v>
      </c>
      <c r="E280" s="27" t="s">
        <v>176</v>
      </c>
      <c r="F280" s="27" t="s">
        <v>177</v>
      </c>
      <c r="G280" s="38">
        <v>41518</v>
      </c>
    </row>
    <row r="281" spans="1:7" x14ac:dyDescent="0.2">
      <c r="A281" s="27" t="s">
        <v>175</v>
      </c>
      <c r="B281" s="325" t="s">
        <v>3490</v>
      </c>
      <c r="C281" s="71">
        <v>4804094</v>
      </c>
      <c r="E281" s="27" t="s">
        <v>176</v>
      </c>
      <c r="F281" s="27" t="s">
        <v>177</v>
      </c>
      <c r="G281" s="38">
        <v>41518</v>
      </c>
    </row>
    <row r="282" spans="1:7" x14ac:dyDescent="0.2">
      <c r="A282" s="27" t="s">
        <v>175</v>
      </c>
      <c r="B282" s="325" t="s">
        <v>3491</v>
      </c>
      <c r="C282" s="71">
        <v>4143885</v>
      </c>
      <c r="E282" s="27" t="s">
        <v>176</v>
      </c>
      <c r="F282" s="27" t="s">
        <v>177</v>
      </c>
      <c r="G282" s="38">
        <v>41518</v>
      </c>
    </row>
    <row r="283" spans="1:7" x14ac:dyDescent="0.2">
      <c r="A283" s="27" t="s">
        <v>175</v>
      </c>
      <c r="B283" s="325" t="s">
        <v>3492</v>
      </c>
      <c r="C283" s="71">
        <v>4409996</v>
      </c>
      <c r="E283" s="27" t="s">
        <v>176</v>
      </c>
      <c r="F283" s="27" t="s">
        <v>177</v>
      </c>
      <c r="G283" s="38">
        <v>41518</v>
      </c>
    </row>
    <row r="284" spans="1:7" x14ac:dyDescent="0.2">
      <c r="A284" s="27" t="s">
        <v>175</v>
      </c>
      <c r="B284" s="325" t="s">
        <v>3493</v>
      </c>
      <c r="C284" s="71">
        <v>4143897</v>
      </c>
      <c r="E284" s="27" t="s">
        <v>176</v>
      </c>
      <c r="F284" s="27" t="s">
        <v>177</v>
      </c>
      <c r="G284" s="38">
        <v>41518</v>
      </c>
    </row>
    <row r="285" spans="1:7" x14ac:dyDescent="0.2">
      <c r="A285" s="27" t="s">
        <v>175</v>
      </c>
      <c r="B285" s="325" t="s">
        <v>3494</v>
      </c>
      <c r="C285" s="71">
        <v>5685000</v>
      </c>
      <c r="E285" s="27" t="s">
        <v>176</v>
      </c>
      <c r="F285" s="27" t="s">
        <v>177</v>
      </c>
      <c r="G285" s="38">
        <v>41518</v>
      </c>
    </row>
    <row r="286" spans="1:7" x14ac:dyDescent="0.2">
      <c r="A286" s="27" t="s">
        <v>175</v>
      </c>
      <c r="B286" s="325" t="s">
        <v>3495</v>
      </c>
      <c r="C286" s="71">
        <v>420000</v>
      </c>
      <c r="E286" s="27" t="s">
        <v>176</v>
      </c>
      <c r="F286" s="27" t="s">
        <v>177</v>
      </c>
      <c r="G286" s="38">
        <v>41518</v>
      </c>
    </row>
    <row r="287" spans="1:7" x14ac:dyDescent="0.2">
      <c r="A287" s="27" t="s">
        <v>175</v>
      </c>
      <c r="B287" s="325" t="s">
        <v>3496</v>
      </c>
      <c r="C287" s="71">
        <v>390000</v>
      </c>
      <c r="E287" s="27" t="s">
        <v>176</v>
      </c>
      <c r="F287" s="27" t="s">
        <v>177</v>
      </c>
      <c r="G287" s="38">
        <v>41518</v>
      </c>
    </row>
    <row r="288" spans="1:7" x14ac:dyDescent="0.2">
      <c r="A288" s="27" t="s">
        <v>175</v>
      </c>
      <c r="B288" s="326" t="s">
        <v>3497</v>
      </c>
      <c r="C288" s="71">
        <v>12500000</v>
      </c>
      <c r="E288" s="27" t="s">
        <v>176</v>
      </c>
      <c r="F288" s="27" t="s">
        <v>177</v>
      </c>
      <c r="G288" s="38">
        <v>41518</v>
      </c>
    </row>
    <row r="289" spans="1:7" x14ac:dyDescent="0.2">
      <c r="A289" s="27" t="s">
        <v>175</v>
      </c>
      <c r="B289" s="326" t="s">
        <v>3498</v>
      </c>
      <c r="C289" s="71">
        <v>1670000</v>
      </c>
      <c r="E289" s="27" t="s">
        <v>176</v>
      </c>
      <c r="F289" s="27" t="s">
        <v>177</v>
      </c>
      <c r="G289" s="38">
        <v>41518</v>
      </c>
    </row>
    <row r="290" spans="1:7" x14ac:dyDescent="0.2">
      <c r="A290" s="27" t="s">
        <v>175</v>
      </c>
      <c r="B290" s="326" t="s">
        <v>3499</v>
      </c>
      <c r="C290" s="71">
        <v>15213299</v>
      </c>
      <c r="E290" s="27" t="s">
        <v>176</v>
      </c>
      <c r="F290" s="27" t="s">
        <v>177</v>
      </c>
      <c r="G290" s="38">
        <v>41518</v>
      </c>
    </row>
    <row r="291" spans="1:7" x14ac:dyDescent="0.2">
      <c r="A291" s="27" t="s">
        <v>175</v>
      </c>
      <c r="B291" s="326" t="s">
        <v>3500</v>
      </c>
      <c r="C291" s="71">
        <v>342500</v>
      </c>
      <c r="E291" s="27" t="s">
        <v>176</v>
      </c>
      <c r="F291" s="27" t="s">
        <v>177</v>
      </c>
      <c r="G291" s="38">
        <v>41518</v>
      </c>
    </row>
    <row r="292" spans="1:7" x14ac:dyDescent="0.2">
      <c r="A292" s="27" t="s">
        <v>175</v>
      </c>
      <c r="B292" s="326" t="s">
        <v>3501</v>
      </c>
      <c r="C292" s="71">
        <v>10387625</v>
      </c>
      <c r="E292" s="27" t="s">
        <v>176</v>
      </c>
      <c r="F292" s="27" t="s">
        <v>177</v>
      </c>
      <c r="G292" s="38">
        <v>41518</v>
      </c>
    </row>
    <row r="293" spans="1:7" x14ac:dyDescent="0.2">
      <c r="A293" s="27" t="s">
        <v>175</v>
      </c>
      <c r="B293" s="326" t="s">
        <v>3502</v>
      </c>
      <c r="C293" s="71">
        <v>910000</v>
      </c>
      <c r="E293" s="27" t="s">
        <v>176</v>
      </c>
      <c r="F293" s="27" t="s">
        <v>177</v>
      </c>
      <c r="G293" s="38">
        <v>41518</v>
      </c>
    </row>
    <row r="294" spans="1:7" x14ac:dyDescent="0.2">
      <c r="A294" s="27" t="s">
        <v>175</v>
      </c>
      <c r="B294" s="326" t="s">
        <v>3503</v>
      </c>
      <c r="C294" s="71">
        <v>9464629</v>
      </c>
      <c r="E294" s="27" t="s">
        <v>176</v>
      </c>
      <c r="F294" s="27" t="s">
        <v>177</v>
      </c>
      <c r="G294" s="38">
        <v>41518</v>
      </c>
    </row>
    <row r="295" spans="1:7" x14ac:dyDescent="0.2">
      <c r="A295" s="27" t="s">
        <v>175</v>
      </c>
      <c r="B295" s="325" t="s">
        <v>3504</v>
      </c>
      <c r="C295" s="71">
        <v>12164000</v>
      </c>
      <c r="E295" s="27" t="s">
        <v>176</v>
      </c>
      <c r="F295" s="27" t="s">
        <v>177</v>
      </c>
      <c r="G295" s="38">
        <v>41518</v>
      </c>
    </row>
    <row r="296" spans="1:7" x14ac:dyDescent="0.2">
      <c r="A296" s="27" t="s">
        <v>175</v>
      </c>
      <c r="B296" s="325" t="s">
        <v>3505</v>
      </c>
      <c r="C296" s="71">
        <v>34724375</v>
      </c>
      <c r="E296" s="27" t="s">
        <v>176</v>
      </c>
      <c r="F296" s="27" t="s">
        <v>177</v>
      </c>
      <c r="G296" s="38">
        <v>41518</v>
      </c>
    </row>
    <row r="297" spans="1:7" x14ac:dyDescent="0.2">
      <c r="A297" s="27" t="s">
        <v>175</v>
      </c>
      <c r="B297" s="325" t="s">
        <v>3506</v>
      </c>
      <c r="C297" s="71">
        <v>3123000</v>
      </c>
      <c r="E297" s="27" t="s">
        <v>176</v>
      </c>
      <c r="F297" s="27" t="s">
        <v>177</v>
      </c>
      <c r="G297" s="38">
        <v>41518</v>
      </c>
    </row>
    <row r="298" spans="1:7" x14ac:dyDescent="0.2">
      <c r="A298" s="27" t="s">
        <v>175</v>
      </c>
      <c r="B298" s="325" t="s">
        <v>3507</v>
      </c>
      <c r="C298" s="71">
        <v>12031613</v>
      </c>
      <c r="E298" s="27" t="s">
        <v>176</v>
      </c>
      <c r="F298" s="27" t="s">
        <v>177</v>
      </c>
      <c r="G298" s="38">
        <v>41518</v>
      </c>
    </row>
    <row r="299" spans="1:7" x14ac:dyDescent="0.2">
      <c r="A299" s="27" t="s">
        <v>175</v>
      </c>
      <c r="B299" s="325" t="s">
        <v>3508</v>
      </c>
      <c r="C299" s="71">
        <v>1817500</v>
      </c>
      <c r="E299" s="27" t="s">
        <v>176</v>
      </c>
      <c r="F299" s="27" t="s">
        <v>177</v>
      </c>
      <c r="G299" s="38">
        <v>41518</v>
      </c>
    </row>
    <row r="300" spans="1:7" x14ac:dyDescent="0.2">
      <c r="A300" s="27" t="s">
        <v>175</v>
      </c>
      <c r="B300" s="325" t="s">
        <v>3509</v>
      </c>
      <c r="C300" s="71">
        <v>6387341</v>
      </c>
      <c r="E300" s="27" t="s">
        <v>176</v>
      </c>
      <c r="F300" s="27" t="s">
        <v>177</v>
      </c>
      <c r="G300" s="38">
        <v>41518</v>
      </c>
    </row>
    <row r="301" spans="1:7" x14ac:dyDescent="0.2">
      <c r="A301" s="27" t="s">
        <v>175</v>
      </c>
      <c r="B301" s="325" t="s">
        <v>3510</v>
      </c>
      <c r="C301" s="71">
        <v>20083954</v>
      </c>
      <c r="E301" s="27" t="s">
        <v>176</v>
      </c>
      <c r="F301" s="27" t="s">
        <v>177</v>
      </c>
      <c r="G301" s="38">
        <v>41518</v>
      </c>
    </row>
    <row r="302" spans="1:7" x14ac:dyDescent="0.2">
      <c r="A302" s="27" t="s">
        <v>175</v>
      </c>
      <c r="B302" s="325" t="s">
        <v>3511</v>
      </c>
      <c r="C302" s="71">
        <v>45065300</v>
      </c>
      <c r="E302" s="27" t="s">
        <v>176</v>
      </c>
      <c r="F302" s="27" t="s">
        <v>177</v>
      </c>
      <c r="G302" s="38">
        <v>41518</v>
      </c>
    </row>
    <row r="303" spans="1:7" x14ac:dyDescent="0.2">
      <c r="A303" s="27" t="s">
        <v>175</v>
      </c>
      <c r="B303" s="325" t="s">
        <v>3512</v>
      </c>
      <c r="C303" s="71">
        <v>15025692</v>
      </c>
      <c r="E303" s="27" t="s">
        <v>176</v>
      </c>
      <c r="F303" s="27" t="s">
        <v>177</v>
      </c>
      <c r="G303" s="38">
        <v>41518</v>
      </c>
    </row>
    <row r="304" spans="1:7" x14ac:dyDescent="0.2">
      <c r="A304" s="27" t="s">
        <v>175</v>
      </c>
      <c r="B304" s="325" t="s">
        <v>3513</v>
      </c>
      <c r="C304" s="71">
        <v>36757093</v>
      </c>
      <c r="E304" s="27" t="s">
        <v>176</v>
      </c>
      <c r="F304" s="27" t="s">
        <v>177</v>
      </c>
      <c r="G304" s="38">
        <v>41518</v>
      </c>
    </row>
    <row r="305" spans="1:7" x14ac:dyDescent="0.2">
      <c r="A305" s="27" t="s">
        <v>175</v>
      </c>
      <c r="B305" s="325" t="s">
        <v>3514</v>
      </c>
      <c r="C305" s="71">
        <v>2713059</v>
      </c>
      <c r="E305" s="27" t="s">
        <v>176</v>
      </c>
      <c r="F305" s="27" t="s">
        <v>177</v>
      </c>
      <c r="G305" s="38">
        <v>41518</v>
      </c>
    </row>
    <row r="306" spans="1:7" x14ac:dyDescent="0.2">
      <c r="A306" s="27" t="s">
        <v>175</v>
      </c>
      <c r="B306" s="325" t="s">
        <v>3515</v>
      </c>
      <c r="C306" s="71">
        <v>12470000</v>
      </c>
      <c r="E306" s="27" t="s">
        <v>176</v>
      </c>
      <c r="F306" s="27" t="s">
        <v>177</v>
      </c>
      <c r="G306" s="38">
        <v>41518</v>
      </c>
    </row>
    <row r="307" spans="1:7" x14ac:dyDescent="0.2">
      <c r="A307" s="27" t="s">
        <v>175</v>
      </c>
      <c r="B307" s="325" t="s">
        <v>3516</v>
      </c>
      <c r="C307" s="71">
        <v>2543498</v>
      </c>
      <c r="E307" s="27" t="s">
        <v>176</v>
      </c>
      <c r="F307" s="27" t="s">
        <v>177</v>
      </c>
      <c r="G307" s="38">
        <v>41518</v>
      </c>
    </row>
    <row r="308" spans="1:7" x14ac:dyDescent="0.2">
      <c r="A308" s="27" t="s">
        <v>175</v>
      </c>
      <c r="B308" s="325" t="s">
        <v>3517</v>
      </c>
      <c r="C308" s="71">
        <v>2605896</v>
      </c>
      <c r="E308" s="27" t="s">
        <v>176</v>
      </c>
      <c r="F308" s="27" t="s">
        <v>177</v>
      </c>
      <c r="G308" s="38">
        <v>41518</v>
      </c>
    </row>
    <row r="309" spans="1:7" x14ac:dyDescent="0.2">
      <c r="A309" s="27" t="s">
        <v>175</v>
      </c>
      <c r="B309" s="325" t="s">
        <v>3518</v>
      </c>
      <c r="C309" s="71">
        <v>1000000</v>
      </c>
      <c r="E309" s="27" t="s">
        <v>176</v>
      </c>
      <c r="F309" s="27" t="s">
        <v>177</v>
      </c>
      <c r="G309" s="38">
        <v>41518</v>
      </c>
    </row>
    <row r="310" spans="1:7" x14ac:dyDescent="0.2">
      <c r="A310" s="27" t="s">
        <v>175</v>
      </c>
      <c r="B310" s="325" t="s">
        <v>3519</v>
      </c>
      <c r="C310" s="71">
        <v>3084579</v>
      </c>
      <c r="E310" s="27" t="s">
        <v>176</v>
      </c>
      <c r="F310" s="27" t="s">
        <v>177</v>
      </c>
      <c r="G310" s="38">
        <v>41518</v>
      </c>
    </row>
    <row r="311" spans="1:7" x14ac:dyDescent="0.2">
      <c r="A311" s="27" t="s">
        <v>175</v>
      </c>
      <c r="B311" s="325" t="s">
        <v>3520</v>
      </c>
      <c r="C311" s="71">
        <v>31800000</v>
      </c>
      <c r="E311" s="27" t="s">
        <v>176</v>
      </c>
      <c r="F311" s="27" t="s">
        <v>177</v>
      </c>
      <c r="G311" s="38">
        <v>41518</v>
      </c>
    </row>
    <row r="312" spans="1:7" x14ac:dyDescent="0.2">
      <c r="A312" s="27" t="s">
        <v>175</v>
      </c>
      <c r="B312" s="325" t="s">
        <v>3521</v>
      </c>
      <c r="C312" s="71">
        <v>875000</v>
      </c>
      <c r="E312" s="27" t="s">
        <v>176</v>
      </c>
      <c r="F312" s="27" t="s">
        <v>177</v>
      </c>
      <c r="G312" s="38">
        <v>41518</v>
      </c>
    </row>
    <row r="313" spans="1:7" x14ac:dyDescent="0.2">
      <c r="A313" s="27" t="s">
        <v>175</v>
      </c>
      <c r="B313" s="325" t="s">
        <v>3522</v>
      </c>
      <c r="C313" s="71">
        <v>5969322</v>
      </c>
      <c r="E313" s="27" t="s">
        <v>176</v>
      </c>
      <c r="F313" s="27" t="s">
        <v>177</v>
      </c>
      <c r="G313" s="38">
        <v>41518</v>
      </c>
    </row>
    <row r="314" spans="1:7" x14ac:dyDescent="0.2">
      <c r="A314" s="27" t="s">
        <v>175</v>
      </c>
      <c r="B314" s="325" t="s">
        <v>3523</v>
      </c>
      <c r="C314" s="71">
        <v>714511</v>
      </c>
      <c r="E314" s="27" t="s">
        <v>176</v>
      </c>
      <c r="F314" s="27" t="s">
        <v>177</v>
      </c>
      <c r="G314" s="38">
        <v>41518</v>
      </c>
    </row>
    <row r="315" spans="1:7" x14ac:dyDescent="0.2">
      <c r="A315" s="27" t="s">
        <v>175</v>
      </c>
      <c r="B315" s="325" t="s">
        <v>3524</v>
      </c>
      <c r="C315" s="71">
        <v>900000</v>
      </c>
      <c r="E315" s="27" t="s">
        <v>176</v>
      </c>
      <c r="F315" s="27" t="s">
        <v>177</v>
      </c>
      <c r="G315" s="38">
        <v>41518</v>
      </c>
    </row>
    <row r="316" spans="1:7" x14ac:dyDescent="0.2">
      <c r="A316" s="27" t="s">
        <v>175</v>
      </c>
      <c r="B316" s="325" t="s">
        <v>3525</v>
      </c>
      <c r="C316" s="71">
        <v>5202500</v>
      </c>
      <c r="E316" s="27" t="s">
        <v>176</v>
      </c>
      <c r="F316" s="27" t="s">
        <v>177</v>
      </c>
      <c r="G316" s="38">
        <v>41518</v>
      </c>
    </row>
    <row r="317" spans="1:7" x14ac:dyDescent="0.2">
      <c r="A317" s="27" t="s">
        <v>175</v>
      </c>
      <c r="B317" s="325" t="s">
        <v>3526</v>
      </c>
      <c r="C317" s="71">
        <v>14831376</v>
      </c>
      <c r="E317" s="27" t="s">
        <v>176</v>
      </c>
      <c r="F317" s="27" t="s">
        <v>177</v>
      </c>
      <c r="G317" s="38">
        <v>41518</v>
      </c>
    </row>
    <row r="318" spans="1:7" x14ac:dyDescent="0.2">
      <c r="A318" s="27" t="s">
        <v>175</v>
      </c>
      <c r="B318" s="325" t="s">
        <v>3527</v>
      </c>
      <c r="C318" s="71">
        <v>2265000</v>
      </c>
      <c r="E318" s="27" t="s">
        <v>176</v>
      </c>
      <c r="F318" s="27" t="s">
        <v>177</v>
      </c>
      <c r="G318" s="38">
        <v>41518</v>
      </c>
    </row>
    <row r="319" spans="1:7" x14ac:dyDescent="0.2">
      <c r="A319" s="27" t="s">
        <v>175</v>
      </c>
      <c r="B319" s="325" t="s">
        <v>3528</v>
      </c>
      <c r="C319" s="374">
        <v>500000</v>
      </c>
      <c r="E319" s="27" t="s">
        <v>176</v>
      </c>
      <c r="F319" s="27" t="s">
        <v>177</v>
      </c>
      <c r="G319" s="38">
        <v>41518</v>
      </c>
    </row>
    <row r="320" spans="1:7" x14ac:dyDescent="0.2">
      <c r="A320" s="27" t="s">
        <v>175</v>
      </c>
      <c r="B320" s="325" t="s">
        <v>3529</v>
      </c>
      <c r="C320" s="374">
        <v>8878608</v>
      </c>
      <c r="E320" s="27" t="s">
        <v>176</v>
      </c>
      <c r="F320" s="27" t="s">
        <v>177</v>
      </c>
      <c r="G320" s="38">
        <v>41518</v>
      </c>
    </row>
    <row r="321" spans="1:7" x14ac:dyDescent="0.2">
      <c r="A321" s="27" t="s">
        <v>175</v>
      </c>
      <c r="B321" s="325" t="s">
        <v>3530</v>
      </c>
      <c r="C321" s="71">
        <v>2500000</v>
      </c>
      <c r="E321" s="27" t="s">
        <v>176</v>
      </c>
      <c r="F321" s="27" t="s">
        <v>177</v>
      </c>
      <c r="G321" s="38">
        <v>41518</v>
      </c>
    </row>
    <row r="322" spans="1:7" x14ac:dyDescent="0.2">
      <c r="A322" s="27" t="s">
        <v>175</v>
      </c>
      <c r="B322" s="325" t="s">
        <v>3531</v>
      </c>
      <c r="C322" s="71">
        <v>6359594</v>
      </c>
      <c r="E322" s="27" t="s">
        <v>176</v>
      </c>
      <c r="F322" s="27" t="s">
        <v>177</v>
      </c>
      <c r="G322" s="38">
        <v>41518</v>
      </c>
    </row>
    <row r="323" spans="1:7" x14ac:dyDescent="0.2">
      <c r="A323" s="27" t="s">
        <v>175</v>
      </c>
      <c r="B323" s="325" t="s">
        <v>3532</v>
      </c>
      <c r="C323" s="71">
        <v>820000</v>
      </c>
      <c r="E323" s="27" t="s">
        <v>176</v>
      </c>
      <c r="F323" s="27" t="s">
        <v>177</v>
      </c>
      <c r="G323" s="38">
        <v>41518</v>
      </c>
    </row>
    <row r="324" spans="1:7" x14ac:dyDescent="0.2">
      <c r="A324" s="27" t="s">
        <v>175</v>
      </c>
      <c r="B324" s="325" t="s">
        <v>3533</v>
      </c>
      <c r="C324" s="71">
        <v>5462966</v>
      </c>
      <c r="E324" s="27" t="s">
        <v>176</v>
      </c>
      <c r="F324" s="27" t="s">
        <v>177</v>
      </c>
      <c r="G324" s="38">
        <v>41518</v>
      </c>
    </row>
    <row r="325" spans="1:7" x14ac:dyDescent="0.2">
      <c r="A325" s="27" t="s">
        <v>175</v>
      </c>
      <c r="B325" s="325" t="s">
        <v>3534</v>
      </c>
      <c r="C325" s="71">
        <v>5720000</v>
      </c>
      <c r="E325" s="27" t="s">
        <v>176</v>
      </c>
      <c r="F325" s="27" t="s">
        <v>177</v>
      </c>
      <c r="G325" s="38">
        <v>41518</v>
      </c>
    </row>
    <row r="326" spans="1:7" x14ac:dyDescent="0.2">
      <c r="A326" s="27" t="s">
        <v>175</v>
      </c>
      <c r="B326" s="325" t="s">
        <v>3535</v>
      </c>
      <c r="C326" s="71">
        <v>11076605</v>
      </c>
      <c r="E326" s="27" t="s">
        <v>176</v>
      </c>
      <c r="F326" s="27" t="s">
        <v>177</v>
      </c>
      <c r="G326" s="38">
        <v>41518</v>
      </c>
    </row>
    <row r="327" spans="1:7" x14ac:dyDescent="0.2">
      <c r="A327" s="27" t="s">
        <v>175</v>
      </c>
      <c r="B327" s="325" t="s">
        <v>3536</v>
      </c>
      <c r="C327" s="71">
        <v>3500000</v>
      </c>
      <c r="E327" s="27" t="s">
        <v>176</v>
      </c>
      <c r="F327" s="27" t="s">
        <v>177</v>
      </c>
      <c r="G327" s="38">
        <v>41518</v>
      </c>
    </row>
    <row r="328" spans="1:7" x14ac:dyDescent="0.2">
      <c r="A328" s="27" t="s">
        <v>175</v>
      </c>
      <c r="B328" s="325" t="s">
        <v>3537</v>
      </c>
      <c r="C328" s="71">
        <v>1700000</v>
      </c>
      <c r="E328" s="27" t="s">
        <v>176</v>
      </c>
      <c r="F328" s="27" t="s">
        <v>177</v>
      </c>
      <c r="G328" s="38">
        <v>41518</v>
      </c>
    </row>
    <row r="329" spans="1:7" x14ac:dyDescent="0.2">
      <c r="A329" s="27" t="s">
        <v>175</v>
      </c>
      <c r="B329" s="325" t="s">
        <v>3538</v>
      </c>
      <c r="C329" s="71">
        <v>12500000</v>
      </c>
      <c r="E329" s="27" t="s">
        <v>176</v>
      </c>
      <c r="F329" s="27" t="s">
        <v>177</v>
      </c>
      <c r="G329" s="38">
        <v>41518</v>
      </c>
    </row>
    <row r="330" spans="1:7" x14ac:dyDescent="0.2">
      <c r="A330" s="27" t="s">
        <v>175</v>
      </c>
      <c r="B330" s="325" t="s">
        <v>3539</v>
      </c>
      <c r="C330" s="71">
        <v>1050000</v>
      </c>
      <c r="E330" s="27" t="s">
        <v>176</v>
      </c>
      <c r="F330" s="27" t="s">
        <v>177</v>
      </c>
      <c r="G330" s="38">
        <v>41518</v>
      </c>
    </row>
    <row r="331" spans="1:7" x14ac:dyDescent="0.2">
      <c r="A331" s="27" t="s">
        <v>175</v>
      </c>
      <c r="B331" s="326" t="s">
        <v>3540</v>
      </c>
      <c r="C331" s="71">
        <v>2500000</v>
      </c>
      <c r="E331" s="27" t="s">
        <v>176</v>
      </c>
      <c r="F331" s="27" t="s">
        <v>177</v>
      </c>
      <c r="G331" s="38">
        <v>41518</v>
      </c>
    </row>
    <row r="332" spans="1:7" x14ac:dyDescent="0.2">
      <c r="A332" s="27" t="s">
        <v>175</v>
      </c>
      <c r="B332" s="325" t="s">
        <v>3541</v>
      </c>
      <c r="C332" s="71">
        <v>3015000</v>
      </c>
      <c r="E332" s="27" t="s">
        <v>176</v>
      </c>
      <c r="F332" s="27" t="s">
        <v>177</v>
      </c>
      <c r="G332" s="38">
        <v>41518</v>
      </c>
    </row>
    <row r="333" spans="1:7" x14ac:dyDescent="0.2">
      <c r="A333" s="27" t="s">
        <v>175</v>
      </c>
      <c r="B333" s="325" t="s">
        <v>3542</v>
      </c>
      <c r="C333" s="71">
        <v>750000</v>
      </c>
      <c r="E333" s="27" t="s">
        <v>176</v>
      </c>
      <c r="F333" s="27" t="s">
        <v>177</v>
      </c>
      <c r="G333" s="38">
        <v>41518</v>
      </c>
    </row>
    <row r="334" spans="1:7" x14ac:dyDescent="0.2">
      <c r="A334" s="27" t="s">
        <v>175</v>
      </c>
      <c r="B334" s="325" t="s">
        <v>3543</v>
      </c>
      <c r="C334" s="71">
        <v>50000</v>
      </c>
      <c r="E334" s="27" t="s">
        <v>176</v>
      </c>
      <c r="F334" s="27" t="s">
        <v>177</v>
      </c>
      <c r="G334" s="38">
        <v>41518</v>
      </c>
    </row>
    <row r="335" spans="1:7" x14ac:dyDescent="0.2">
      <c r="A335" s="27" t="s">
        <v>175</v>
      </c>
      <c r="B335" s="325" t="s">
        <v>3544</v>
      </c>
      <c r="C335" s="71">
        <v>1900000</v>
      </c>
      <c r="E335" s="27" t="s">
        <v>176</v>
      </c>
      <c r="F335" s="27" t="s">
        <v>177</v>
      </c>
      <c r="G335" s="38">
        <v>41518</v>
      </c>
    </row>
    <row r="336" spans="1:7" x14ac:dyDescent="0.2">
      <c r="A336" s="27" t="s">
        <v>175</v>
      </c>
      <c r="B336" s="325" t="s">
        <v>3545</v>
      </c>
      <c r="C336" s="71">
        <v>3522000</v>
      </c>
      <c r="E336" s="27" t="s">
        <v>176</v>
      </c>
      <c r="F336" s="27" t="s">
        <v>177</v>
      </c>
      <c r="G336" s="38">
        <v>41518</v>
      </c>
    </row>
    <row r="337" spans="1:7" x14ac:dyDescent="0.2">
      <c r="A337" s="27" t="s">
        <v>175</v>
      </c>
      <c r="B337" s="325" t="s">
        <v>3546</v>
      </c>
      <c r="C337" s="71">
        <v>2675000</v>
      </c>
      <c r="E337" s="27" t="s">
        <v>176</v>
      </c>
      <c r="F337" s="27" t="s">
        <v>177</v>
      </c>
      <c r="G337" s="38">
        <v>41518</v>
      </c>
    </row>
    <row r="338" spans="1:7" x14ac:dyDescent="0.2">
      <c r="A338" s="27" t="s">
        <v>175</v>
      </c>
      <c r="B338" s="325" t="s">
        <v>3547</v>
      </c>
      <c r="C338" s="71">
        <v>11000000</v>
      </c>
      <c r="E338" s="27" t="s">
        <v>176</v>
      </c>
      <c r="F338" s="27" t="s">
        <v>177</v>
      </c>
      <c r="G338" s="38">
        <v>41518</v>
      </c>
    </row>
    <row r="339" spans="1:7" x14ac:dyDescent="0.2">
      <c r="A339" s="27" t="s">
        <v>175</v>
      </c>
      <c r="B339" s="325" t="s">
        <v>3548</v>
      </c>
      <c r="C339" s="71">
        <v>7117544</v>
      </c>
      <c r="E339" s="27" t="s">
        <v>176</v>
      </c>
      <c r="F339" s="27" t="s">
        <v>177</v>
      </c>
      <c r="G339" s="38">
        <v>41518</v>
      </c>
    </row>
    <row r="340" spans="1:7" x14ac:dyDescent="0.2">
      <c r="A340" s="27" t="s">
        <v>175</v>
      </c>
      <c r="B340" s="325" t="s">
        <v>3549</v>
      </c>
      <c r="C340" s="71">
        <v>8634204</v>
      </c>
      <c r="E340" s="27" t="s">
        <v>176</v>
      </c>
      <c r="F340" s="27" t="s">
        <v>177</v>
      </c>
      <c r="G340" s="38">
        <v>41518</v>
      </c>
    </row>
    <row r="341" spans="1:7" x14ac:dyDescent="0.2">
      <c r="A341" s="27" t="s">
        <v>175</v>
      </c>
      <c r="B341" s="325" t="s">
        <v>3550</v>
      </c>
      <c r="C341" s="71">
        <v>2913500</v>
      </c>
      <c r="E341" s="27" t="s">
        <v>176</v>
      </c>
      <c r="F341" s="27" t="s">
        <v>177</v>
      </c>
      <c r="G341" s="38">
        <v>41518</v>
      </c>
    </row>
    <row r="342" spans="1:7" x14ac:dyDescent="0.2">
      <c r="A342" s="27" t="s">
        <v>175</v>
      </c>
      <c r="B342" s="325" t="s">
        <v>3551</v>
      </c>
      <c r="C342" s="71">
        <v>15005000</v>
      </c>
      <c r="E342" s="27" t="s">
        <v>176</v>
      </c>
      <c r="F342" s="27" t="s">
        <v>177</v>
      </c>
      <c r="G342" s="38">
        <v>41518</v>
      </c>
    </row>
    <row r="343" spans="1:7" x14ac:dyDescent="0.2">
      <c r="A343" s="27" t="s">
        <v>175</v>
      </c>
      <c r="B343" s="325" t="s">
        <v>3552</v>
      </c>
      <c r="C343" s="71">
        <v>6636297</v>
      </c>
      <c r="E343" s="27" t="s">
        <v>176</v>
      </c>
      <c r="F343" s="27" t="s">
        <v>177</v>
      </c>
      <c r="G343" s="38">
        <v>41518</v>
      </c>
    </row>
    <row r="344" spans="1:7" x14ac:dyDescent="0.2">
      <c r="A344" s="27" t="s">
        <v>175</v>
      </c>
      <c r="B344" s="325" t="s">
        <v>3553</v>
      </c>
      <c r="C344" s="71">
        <v>13000000</v>
      </c>
      <c r="E344" s="27" t="s">
        <v>176</v>
      </c>
      <c r="F344" s="27" t="s">
        <v>177</v>
      </c>
      <c r="G344" s="38">
        <v>41518</v>
      </c>
    </row>
    <row r="345" spans="1:7" x14ac:dyDescent="0.2">
      <c r="A345" s="27" t="s">
        <v>175</v>
      </c>
      <c r="B345" s="325" t="s">
        <v>3554</v>
      </c>
      <c r="C345" s="71">
        <v>3000000</v>
      </c>
      <c r="E345" s="27" t="s">
        <v>176</v>
      </c>
      <c r="F345" s="27" t="s">
        <v>177</v>
      </c>
      <c r="G345" s="38">
        <v>41518</v>
      </c>
    </row>
    <row r="346" spans="1:7" x14ac:dyDescent="0.2">
      <c r="A346" s="27" t="s">
        <v>175</v>
      </c>
      <c r="B346" s="325" t="s">
        <v>3555</v>
      </c>
      <c r="C346" s="71">
        <v>55514000</v>
      </c>
      <c r="E346" s="27" t="s">
        <v>176</v>
      </c>
      <c r="F346" s="27" t="s">
        <v>177</v>
      </c>
      <c r="G346" s="38">
        <v>41518</v>
      </c>
    </row>
    <row r="347" spans="1:7" x14ac:dyDescent="0.2">
      <c r="A347" s="27" t="s">
        <v>175</v>
      </c>
      <c r="B347" s="325" t="s">
        <v>3556</v>
      </c>
      <c r="C347" s="71">
        <v>69000000</v>
      </c>
      <c r="E347" s="27" t="s">
        <v>176</v>
      </c>
      <c r="F347" s="27" t="s">
        <v>177</v>
      </c>
      <c r="G347" s="38">
        <v>41518</v>
      </c>
    </row>
    <row r="348" spans="1:7" x14ac:dyDescent="0.2">
      <c r="A348" s="27" t="s">
        <v>175</v>
      </c>
      <c r="B348" s="325" t="s">
        <v>3557</v>
      </c>
      <c r="C348" s="71">
        <v>5000000</v>
      </c>
      <c r="E348" s="27" t="s">
        <v>176</v>
      </c>
      <c r="F348" s="27" t="s">
        <v>177</v>
      </c>
      <c r="G348" s="38">
        <v>41518</v>
      </c>
    </row>
    <row r="349" spans="1:7" x14ac:dyDescent="0.2">
      <c r="A349" s="27" t="s">
        <v>175</v>
      </c>
      <c r="B349" s="325" t="s">
        <v>3558</v>
      </c>
      <c r="C349" s="71">
        <v>1060000</v>
      </c>
      <c r="E349" s="27" t="s">
        <v>176</v>
      </c>
      <c r="F349" s="27" t="s">
        <v>177</v>
      </c>
      <c r="G349" s="38">
        <v>41518</v>
      </c>
    </row>
    <row r="350" spans="1:7" x14ac:dyDescent="0.2">
      <c r="A350" s="27" t="s">
        <v>175</v>
      </c>
      <c r="B350" s="325" t="s">
        <v>3559</v>
      </c>
      <c r="C350" s="71">
        <v>11194357</v>
      </c>
      <c r="E350" s="27" t="s">
        <v>176</v>
      </c>
      <c r="F350" s="27" t="s">
        <v>177</v>
      </c>
      <c r="G350" s="38">
        <v>41518</v>
      </c>
    </row>
    <row r="351" spans="1:7" x14ac:dyDescent="0.2">
      <c r="A351" s="27" t="s">
        <v>175</v>
      </c>
      <c r="B351" s="325" t="s">
        <v>3560</v>
      </c>
      <c r="C351" s="71">
        <v>115464800</v>
      </c>
      <c r="E351" s="27" t="s">
        <v>176</v>
      </c>
      <c r="F351" s="27" t="s">
        <v>177</v>
      </c>
      <c r="G351" s="38">
        <v>41518</v>
      </c>
    </row>
    <row r="352" spans="1:7" x14ac:dyDescent="0.2">
      <c r="A352" s="27" t="s">
        <v>175</v>
      </c>
      <c r="B352" s="325" t="s">
        <v>3561</v>
      </c>
      <c r="C352" s="71">
        <v>26000000</v>
      </c>
      <c r="E352" s="27" t="s">
        <v>176</v>
      </c>
      <c r="F352" s="27" t="s">
        <v>177</v>
      </c>
      <c r="G352" s="38">
        <v>41518</v>
      </c>
    </row>
    <row r="353" spans="1:7" x14ac:dyDescent="0.2">
      <c r="A353" s="27" t="s">
        <v>175</v>
      </c>
      <c r="B353" s="325" t="s">
        <v>3562</v>
      </c>
      <c r="C353" s="71">
        <v>1500000</v>
      </c>
      <c r="E353" s="27" t="s">
        <v>176</v>
      </c>
      <c r="F353" s="27" t="s">
        <v>177</v>
      </c>
      <c r="G353" s="38">
        <v>41518</v>
      </c>
    </row>
    <row r="354" spans="1:7" x14ac:dyDescent="0.2">
      <c r="A354" s="27" t="s">
        <v>175</v>
      </c>
      <c r="B354" s="325" t="s">
        <v>3563</v>
      </c>
      <c r="C354" s="71">
        <v>5000000</v>
      </c>
      <c r="E354" s="27" t="s">
        <v>176</v>
      </c>
      <c r="F354" s="27" t="s">
        <v>177</v>
      </c>
      <c r="G354" s="38">
        <v>41518</v>
      </c>
    </row>
    <row r="355" spans="1:7" x14ac:dyDescent="0.2">
      <c r="A355" s="27" t="s">
        <v>175</v>
      </c>
      <c r="B355" s="325" t="s">
        <v>3564</v>
      </c>
      <c r="C355" s="71">
        <v>20000000</v>
      </c>
      <c r="E355" s="27" t="s">
        <v>176</v>
      </c>
      <c r="F355" s="27" t="s">
        <v>177</v>
      </c>
      <c r="G355" s="38">
        <v>41518</v>
      </c>
    </row>
    <row r="356" spans="1:7" x14ac:dyDescent="0.2">
      <c r="A356" s="27" t="s">
        <v>175</v>
      </c>
      <c r="B356" s="325" t="s">
        <v>3565</v>
      </c>
      <c r="C356" s="71">
        <v>26000000</v>
      </c>
      <c r="E356" s="27" t="s">
        <v>176</v>
      </c>
      <c r="F356" s="27" t="s">
        <v>177</v>
      </c>
      <c r="G356" s="38">
        <v>41518</v>
      </c>
    </row>
    <row r="357" spans="1:7" x14ac:dyDescent="0.2">
      <c r="A357" s="27" t="s">
        <v>175</v>
      </c>
      <c r="B357" s="325" t="s">
        <v>3566</v>
      </c>
      <c r="C357" s="71">
        <v>5843766</v>
      </c>
      <c r="E357" s="27" t="s">
        <v>176</v>
      </c>
      <c r="F357" s="27" t="s">
        <v>177</v>
      </c>
      <c r="G357" s="38">
        <v>41518</v>
      </c>
    </row>
    <row r="358" spans="1:7" x14ac:dyDescent="0.2">
      <c r="A358" s="27" t="s">
        <v>175</v>
      </c>
      <c r="B358" s="325" t="s">
        <v>3567</v>
      </c>
      <c r="C358" s="71">
        <v>14100000</v>
      </c>
      <c r="E358" s="27" t="s">
        <v>176</v>
      </c>
      <c r="F358" s="27" t="s">
        <v>177</v>
      </c>
      <c r="G358" s="38">
        <v>41518</v>
      </c>
    </row>
    <row r="359" spans="1:7" x14ac:dyDescent="0.2">
      <c r="A359" s="27" t="s">
        <v>175</v>
      </c>
      <c r="B359" s="325" t="s">
        <v>3568</v>
      </c>
      <c r="C359" s="71">
        <v>26792000</v>
      </c>
      <c r="E359" s="27" t="s">
        <v>176</v>
      </c>
      <c r="F359" s="27" t="s">
        <v>177</v>
      </c>
      <c r="G359" s="38">
        <v>41518</v>
      </c>
    </row>
    <row r="360" spans="1:7" x14ac:dyDescent="0.2">
      <c r="A360" s="27" t="s">
        <v>175</v>
      </c>
      <c r="B360" s="325" t="s">
        <v>3569</v>
      </c>
      <c r="C360" s="71">
        <v>27620829</v>
      </c>
      <c r="E360" s="27" t="s">
        <v>176</v>
      </c>
      <c r="F360" s="27" t="s">
        <v>177</v>
      </c>
      <c r="G360" s="38">
        <v>41518</v>
      </c>
    </row>
    <row r="361" spans="1:7" x14ac:dyDescent="0.2">
      <c r="A361" s="27" t="s">
        <v>175</v>
      </c>
      <c r="B361" s="325" t="s">
        <v>3570</v>
      </c>
      <c r="C361" s="71">
        <v>5740000</v>
      </c>
      <c r="E361" s="27" t="s">
        <v>176</v>
      </c>
      <c r="F361" s="27" t="s">
        <v>177</v>
      </c>
      <c r="G361" s="38">
        <v>41518</v>
      </c>
    </row>
    <row r="362" spans="1:7" x14ac:dyDescent="0.2">
      <c r="A362" s="27" t="s">
        <v>175</v>
      </c>
      <c r="B362" s="325" t="s">
        <v>3571</v>
      </c>
      <c r="C362" s="71">
        <v>9300000</v>
      </c>
      <c r="E362" s="27" t="s">
        <v>176</v>
      </c>
      <c r="F362" s="27" t="s">
        <v>177</v>
      </c>
      <c r="G362" s="38">
        <v>41518</v>
      </c>
    </row>
    <row r="363" spans="1:7" x14ac:dyDescent="0.2">
      <c r="A363" s="27" t="s">
        <v>175</v>
      </c>
      <c r="B363" s="325" t="s">
        <v>3572</v>
      </c>
      <c r="C363" s="71">
        <v>1800000</v>
      </c>
      <c r="E363" s="27" t="s">
        <v>176</v>
      </c>
      <c r="F363" s="27" t="s">
        <v>177</v>
      </c>
      <c r="G363" s="38">
        <v>41518</v>
      </c>
    </row>
    <row r="364" spans="1:7" x14ac:dyDescent="0.2">
      <c r="A364" s="27" t="s">
        <v>175</v>
      </c>
      <c r="B364" s="325" t="s">
        <v>3573</v>
      </c>
      <c r="C364" s="71">
        <v>6930000</v>
      </c>
      <c r="E364" s="27" t="s">
        <v>176</v>
      </c>
      <c r="F364" s="27" t="s">
        <v>177</v>
      </c>
      <c r="G364" s="38">
        <v>41518</v>
      </c>
    </row>
    <row r="365" spans="1:7" x14ac:dyDescent="0.2">
      <c r="A365" s="27" t="s">
        <v>175</v>
      </c>
      <c r="B365" s="325" t="s">
        <v>3574</v>
      </c>
      <c r="C365" s="71">
        <v>24484401</v>
      </c>
      <c r="E365" s="27" t="s">
        <v>176</v>
      </c>
      <c r="F365" s="27" t="s">
        <v>177</v>
      </c>
      <c r="G365" s="38">
        <v>41518</v>
      </c>
    </row>
    <row r="366" spans="1:7" x14ac:dyDescent="0.2">
      <c r="A366" s="27" t="s">
        <v>175</v>
      </c>
      <c r="B366" s="325" t="s">
        <v>3575</v>
      </c>
      <c r="C366" s="71">
        <v>2850000</v>
      </c>
      <c r="E366" s="27" t="s">
        <v>176</v>
      </c>
      <c r="F366" s="27" t="s">
        <v>177</v>
      </c>
      <c r="G366" s="38">
        <v>41518</v>
      </c>
    </row>
    <row r="367" spans="1:7" x14ac:dyDescent="0.2">
      <c r="A367" s="27" t="s">
        <v>175</v>
      </c>
      <c r="B367" s="325" t="s">
        <v>3576</v>
      </c>
      <c r="C367" s="71">
        <v>9455122</v>
      </c>
      <c r="E367" s="27" t="s">
        <v>176</v>
      </c>
      <c r="F367" s="27" t="s">
        <v>177</v>
      </c>
      <c r="G367" s="38">
        <v>41518</v>
      </c>
    </row>
    <row r="368" spans="1:7" x14ac:dyDescent="0.2">
      <c r="A368" s="27" t="s">
        <v>175</v>
      </c>
      <c r="B368" s="325" t="s">
        <v>3577</v>
      </c>
      <c r="C368" s="71">
        <v>4050000</v>
      </c>
      <c r="E368" s="27" t="s">
        <v>176</v>
      </c>
      <c r="F368" s="27" t="s">
        <v>177</v>
      </c>
      <c r="G368" s="38">
        <v>41518</v>
      </c>
    </row>
    <row r="369" spans="1:7" x14ac:dyDescent="0.2">
      <c r="A369" s="27" t="s">
        <v>175</v>
      </c>
      <c r="B369" s="325" t="s">
        <v>3578</v>
      </c>
      <c r="C369" s="71">
        <v>9903921</v>
      </c>
      <c r="E369" s="27" t="s">
        <v>176</v>
      </c>
      <c r="F369" s="27" t="s">
        <v>177</v>
      </c>
      <c r="G369" s="38">
        <v>41518</v>
      </c>
    </row>
    <row r="370" spans="1:7" x14ac:dyDescent="0.2">
      <c r="A370" s="27" t="s">
        <v>175</v>
      </c>
      <c r="B370" s="325" t="s">
        <v>3579</v>
      </c>
      <c r="C370" s="71">
        <v>5585000</v>
      </c>
      <c r="E370" s="27" t="s">
        <v>176</v>
      </c>
      <c r="F370" s="27" t="s">
        <v>177</v>
      </c>
      <c r="G370" s="38">
        <v>41518</v>
      </c>
    </row>
    <row r="371" spans="1:7" x14ac:dyDescent="0.2">
      <c r="A371" s="27" t="s">
        <v>175</v>
      </c>
      <c r="B371" s="325" t="s">
        <v>3580</v>
      </c>
      <c r="C371" s="71">
        <v>10025334</v>
      </c>
      <c r="E371" s="27" t="s">
        <v>176</v>
      </c>
      <c r="F371" s="27" t="s">
        <v>177</v>
      </c>
      <c r="G371" s="38">
        <v>41518</v>
      </c>
    </row>
    <row r="372" spans="1:7" x14ac:dyDescent="0.2">
      <c r="A372" s="27" t="s">
        <v>175</v>
      </c>
      <c r="B372" s="325" t="s">
        <v>3581</v>
      </c>
      <c r="C372" s="71">
        <v>1600000</v>
      </c>
      <c r="E372" s="27" t="s">
        <v>176</v>
      </c>
      <c r="F372" s="27" t="s">
        <v>177</v>
      </c>
      <c r="G372" s="38">
        <v>41518</v>
      </c>
    </row>
    <row r="373" spans="1:7" x14ac:dyDescent="0.2">
      <c r="A373" s="27" t="s">
        <v>175</v>
      </c>
      <c r="B373" s="325" t="s">
        <v>3582</v>
      </c>
      <c r="C373" s="71">
        <v>1250000</v>
      </c>
      <c r="E373" s="27" t="s">
        <v>176</v>
      </c>
      <c r="F373" s="27" t="s">
        <v>177</v>
      </c>
      <c r="G373" s="38">
        <v>41518</v>
      </c>
    </row>
    <row r="374" spans="1:7" x14ac:dyDescent="0.2">
      <c r="A374" s="27" t="s">
        <v>175</v>
      </c>
      <c r="B374" s="325" t="s">
        <v>3583</v>
      </c>
      <c r="C374" s="71">
        <v>52800000</v>
      </c>
      <c r="E374" s="27" t="s">
        <v>176</v>
      </c>
      <c r="F374" s="27" t="s">
        <v>177</v>
      </c>
      <c r="G374" s="38">
        <v>41518</v>
      </c>
    </row>
    <row r="375" spans="1:7" x14ac:dyDescent="0.2">
      <c r="A375" s="27" t="s">
        <v>175</v>
      </c>
      <c r="B375" s="325" t="s">
        <v>3584</v>
      </c>
      <c r="C375" s="71">
        <v>15000000</v>
      </c>
      <c r="E375" s="27" t="s">
        <v>176</v>
      </c>
      <c r="F375" s="27" t="s">
        <v>177</v>
      </c>
      <c r="G375" s="38">
        <v>41518</v>
      </c>
    </row>
    <row r="376" spans="1:7" x14ac:dyDescent="0.2">
      <c r="A376" s="27" t="s">
        <v>175</v>
      </c>
      <c r="B376" s="325" t="s">
        <v>3585</v>
      </c>
      <c r="C376" s="71">
        <v>16250000</v>
      </c>
      <c r="E376" s="27" t="s">
        <v>176</v>
      </c>
      <c r="F376" s="27" t="s">
        <v>177</v>
      </c>
      <c r="G376" s="38">
        <v>41518</v>
      </c>
    </row>
    <row r="377" spans="1:7" x14ac:dyDescent="0.2">
      <c r="A377" s="27" t="s">
        <v>175</v>
      </c>
      <c r="B377" s="325" t="s">
        <v>3586</v>
      </c>
      <c r="C377" s="71">
        <v>3320000</v>
      </c>
      <c r="E377" s="27" t="s">
        <v>176</v>
      </c>
      <c r="F377" s="27" t="s">
        <v>177</v>
      </c>
      <c r="G377" s="38">
        <v>41518</v>
      </c>
    </row>
    <row r="378" spans="1:7" x14ac:dyDescent="0.2">
      <c r="A378" s="27" t="s">
        <v>175</v>
      </c>
      <c r="B378" s="325" t="s">
        <v>3587</v>
      </c>
      <c r="C378" s="71">
        <v>25752000</v>
      </c>
      <c r="E378" s="27" t="s">
        <v>176</v>
      </c>
      <c r="F378" s="27" t="s">
        <v>177</v>
      </c>
      <c r="G378" s="38">
        <v>41518</v>
      </c>
    </row>
    <row r="379" spans="1:7" x14ac:dyDescent="0.2">
      <c r="A379" s="27" t="s">
        <v>175</v>
      </c>
      <c r="B379" s="325" t="s">
        <v>3588</v>
      </c>
      <c r="C379" s="71">
        <v>8339500</v>
      </c>
      <c r="E379" s="27" t="s">
        <v>176</v>
      </c>
      <c r="F379" s="27" t="s">
        <v>177</v>
      </c>
      <c r="G379" s="38">
        <v>41518</v>
      </c>
    </row>
    <row r="380" spans="1:7" x14ac:dyDescent="0.2">
      <c r="A380" s="27" t="s">
        <v>175</v>
      </c>
      <c r="B380" s="325" t="s">
        <v>3589</v>
      </c>
      <c r="C380" s="71">
        <v>33765500</v>
      </c>
      <c r="E380" s="27" t="s">
        <v>176</v>
      </c>
      <c r="F380" s="27" t="s">
        <v>177</v>
      </c>
      <c r="G380" s="38">
        <v>41518</v>
      </c>
    </row>
    <row r="381" spans="1:7" x14ac:dyDescent="0.2">
      <c r="A381" s="27" t="s">
        <v>175</v>
      </c>
      <c r="B381" s="325" t="s">
        <v>3590</v>
      </c>
      <c r="C381" s="71">
        <v>23865000</v>
      </c>
      <c r="E381" s="27" t="s">
        <v>176</v>
      </c>
      <c r="F381" s="27" t="s">
        <v>177</v>
      </c>
      <c r="G381" s="38">
        <v>41518</v>
      </c>
    </row>
    <row r="382" spans="1:7" x14ac:dyDescent="0.2">
      <c r="A382" s="27" t="s">
        <v>175</v>
      </c>
      <c r="B382" s="325" t="s">
        <v>3591</v>
      </c>
      <c r="C382" s="71">
        <v>36892000</v>
      </c>
      <c r="E382" s="27" t="s">
        <v>176</v>
      </c>
      <c r="F382" s="27" t="s">
        <v>177</v>
      </c>
      <c r="G382" s="38">
        <v>41518</v>
      </c>
    </row>
    <row r="383" spans="1:7" x14ac:dyDescent="0.2">
      <c r="A383" s="27" t="s">
        <v>175</v>
      </c>
      <c r="B383" s="325" t="s">
        <v>3592</v>
      </c>
      <c r="C383" s="71">
        <v>1200000000</v>
      </c>
      <c r="E383" s="27" t="s">
        <v>176</v>
      </c>
      <c r="F383" s="27" t="s">
        <v>177</v>
      </c>
      <c r="G383" s="38">
        <v>41518</v>
      </c>
    </row>
    <row r="384" spans="1:7" x14ac:dyDescent="0.2">
      <c r="A384" s="27" t="s">
        <v>175</v>
      </c>
      <c r="B384" s="325" t="s">
        <v>3593</v>
      </c>
      <c r="C384" s="71">
        <v>14753400</v>
      </c>
      <c r="E384" s="27" t="s">
        <v>176</v>
      </c>
      <c r="F384" s="27" t="s">
        <v>177</v>
      </c>
      <c r="G384" s="38">
        <v>41518</v>
      </c>
    </row>
    <row r="385" spans="1:7" x14ac:dyDescent="0.2">
      <c r="A385" s="27" t="s">
        <v>175</v>
      </c>
      <c r="B385" s="325" t="s">
        <v>3594</v>
      </c>
      <c r="C385" s="71">
        <v>35000000</v>
      </c>
      <c r="E385" s="27" t="s">
        <v>176</v>
      </c>
      <c r="F385" s="27" t="s">
        <v>177</v>
      </c>
      <c r="G385" s="38">
        <v>41518</v>
      </c>
    </row>
    <row r="386" spans="1:7" x14ac:dyDescent="0.2">
      <c r="A386" s="27" t="s">
        <v>175</v>
      </c>
      <c r="B386" s="325" t="s">
        <v>3595</v>
      </c>
      <c r="C386" s="71">
        <v>3388100</v>
      </c>
      <c r="E386" s="27" t="s">
        <v>176</v>
      </c>
      <c r="F386" s="27" t="s">
        <v>177</v>
      </c>
      <c r="G386" s="38">
        <v>41518</v>
      </c>
    </row>
    <row r="387" spans="1:7" x14ac:dyDescent="0.2">
      <c r="A387" s="27" t="s">
        <v>175</v>
      </c>
      <c r="B387" s="325" t="s">
        <v>3596</v>
      </c>
      <c r="C387" s="71">
        <v>43592500</v>
      </c>
      <c r="E387" s="27" t="s">
        <v>176</v>
      </c>
      <c r="F387" s="27" t="s">
        <v>177</v>
      </c>
      <c r="G387" s="38">
        <v>41518</v>
      </c>
    </row>
    <row r="388" spans="1:7" x14ac:dyDescent="0.2">
      <c r="A388" s="27" t="s">
        <v>175</v>
      </c>
      <c r="B388" s="325" t="s">
        <v>3597</v>
      </c>
      <c r="C388" s="71">
        <v>13691300</v>
      </c>
      <c r="E388" s="27" t="s">
        <v>176</v>
      </c>
      <c r="F388" s="27" t="s">
        <v>177</v>
      </c>
      <c r="G388" s="38">
        <v>41518</v>
      </c>
    </row>
    <row r="389" spans="1:7" x14ac:dyDescent="0.2">
      <c r="A389" s="27" t="s">
        <v>175</v>
      </c>
      <c r="B389" s="325" t="s">
        <v>3598</v>
      </c>
      <c r="C389" s="71">
        <v>46000000</v>
      </c>
      <c r="E389" s="27" t="s">
        <v>176</v>
      </c>
      <c r="F389" s="27" t="s">
        <v>177</v>
      </c>
      <c r="G389" s="38">
        <v>41518</v>
      </c>
    </row>
    <row r="390" spans="1:7" x14ac:dyDescent="0.2">
      <c r="A390" s="27" t="s">
        <v>175</v>
      </c>
      <c r="B390" s="325" t="s">
        <v>3599</v>
      </c>
      <c r="C390" s="71">
        <v>115464800</v>
      </c>
      <c r="E390" s="27" t="s">
        <v>176</v>
      </c>
      <c r="F390" s="27" t="s">
        <v>177</v>
      </c>
      <c r="G390" s="38">
        <v>41518</v>
      </c>
    </row>
    <row r="391" spans="1:7" x14ac:dyDescent="0.2">
      <c r="A391" s="27" t="s">
        <v>175</v>
      </c>
      <c r="B391" s="325" t="s">
        <v>3600</v>
      </c>
      <c r="C391" s="71">
        <v>91270</v>
      </c>
      <c r="E391" s="27" t="s">
        <v>176</v>
      </c>
      <c r="F391" s="27" t="s">
        <v>177</v>
      </c>
      <c r="G391" s="38">
        <v>41518</v>
      </c>
    </row>
    <row r="392" spans="1:7" x14ac:dyDescent="0.2">
      <c r="A392" s="27" t="s">
        <v>175</v>
      </c>
      <c r="B392" s="325" t="s">
        <v>3601</v>
      </c>
      <c r="C392" s="71">
        <v>380000</v>
      </c>
      <c r="E392" s="27" t="s">
        <v>176</v>
      </c>
      <c r="F392" s="27" t="s">
        <v>177</v>
      </c>
      <c r="G392" s="38">
        <v>41518</v>
      </c>
    </row>
    <row r="393" spans="1:7" x14ac:dyDescent="0.2">
      <c r="A393" s="27" t="s">
        <v>175</v>
      </c>
      <c r="B393" s="325" t="s">
        <v>3602</v>
      </c>
      <c r="C393" s="71">
        <v>1331000</v>
      </c>
      <c r="E393" s="27" t="s">
        <v>176</v>
      </c>
      <c r="F393" s="27" t="s">
        <v>177</v>
      </c>
      <c r="G393" s="38">
        <v>41518</v>
      </c>
    </row>
    <row r="394" spans="1:7" x14ac:dyDescent="0.2">
      <c r="A394" s="27" t="s">
        <v>175</v>
      </c>
      <c r="B394" s="325" t="s">
        <v>3603</v>
      </c>
      <c r="C394" s="71">
        <v>40000</v>
      </c>
      <c r="E394" s="27" t="s">
        <v>176</v>
      </c>
      <c r="F394" s="27" t="s">
        <v>177</v>
      </c>
      <c r="G394" s="38">
        <v>41518</v>
      </c>
    </row>
    <row r="395" spans="1:7" x14ac:dyDescent="0.2">
      <c r="A395" s="27" t="s">
        <v>175</v>
      </c>
      <c r="B395" s="325" t="s">
        <v>3604</v>
      </c>
      <c r="C395" s="71">
        <v>550000</v>
      </c>
      <c r="E395" s="27" t="s">
        <v>176</v>
      </c>
      <c r="F395" s="27" t="s">
        <v>177</v>
      </c>
      <c r="G395" s="38">
        <v>41518</v>
      </c>
    </row>
    <row r="396" spans="1:7" x14ac:dyDescent="0.2">
      <c r="A396" s="27" t="s">
        <v>175</v>
      </c>
      <c r="B396" s="325" t="s">
        <v>3605</v>
      </c>
      <c r="C396" s="71">
        <v>52000</v>
      </c>
      <c r="E396" s="27" t="s">
        <v>176</v>
      </c>
      <c r="F396" s="27" t="s">
        <v>177</v>
      </c>
      <c r="G396" s="38">
        <v>41518</v>
      </c>
    </row>
    <row r="397" spans="1:7" x14ac:dyDescent="0.2">
      <c r="A397" s="27" t="s">
        <v>175</v>
      </c>
      <c r="B397" s="325" t="s">
        <v>3606</v>
      </c>
      <c r="C397" s="71">
        <v>1195000</v>
      </c>
      <c r="E397" s="27" t="s">
        <v>176</v>
      </c>
      <c r="F397" s="27" t="s">
        <v>177</v>
      </c>
      <c r="G397" s="38">
        <v>41518</v>
      </c>
    </row>
    <row r="398" spans="1:7" x14ac:dyDescent="0.2">
      <c r="A398" s="27" t="s">
        <v>175</v>
      </c>
      <c r="B398" s="325" t="s">
        <v>3607</v>
      </c>
      <c r="C398" s="71">
        <v>298000</v>
      </c>
      <c r="E398" s="27" t="s">
        <v>176</v>
      </c>
      <c r="F398" s="27" t="s">
        <v>177</v>
      </c>
      <c r="G398" s="38">
        <v>41518</v>
      </c>
    </row>
    <row r="399" spans="1:7" x14ac:dyDescent="0.2">
      <c r="A399" s="27" t="s">
        <v>175</v>
      </c>
      <c r="B399" s="325" t="s">
        <v>3608</v>
      </c>
      <c r="C399" s="71">
        <v>50000</v>
      </c>
      <c r="E399" s="27" t="s">
        <v>176</v>
      </c>
      <c r="F399" s="27" t="s">
        <v>177</v>
      </c>
      <c r="G399" s="38">
        <v>41518</v>
      </c>
    </row>
    <row r="400" spans="1:7" x14ac:dyDescent="0.2">
      <c r="A400" s="27" t="s">
        <v>175</v>
      </c>
      <c r="B400" s="325" t="s">
        <v>3609</v>
      </c>
      <c r="C400" s="71">
        <v>282000</v>
      </c>
      <c r="E400" s="27" t="s">
        <v>176</v>
      </c>
      <c r="F400" s="27" t="s">
        <v>177</v>
      </c>
      <c r="G400" s="38">
        <v>41518</v>
      </c>
    </row>
    <row r="401" spans="1:7" x14ac:dyDescent="0.2">
      <c r="A401" s="27" t="s">
        <v>175</v>
      </c>
      <c r="B401" s="325" t="s">
        <v>3610</v>
      </c>
      <c r="C401" s="71">
        <v>2095000</v>
      </c>
      <c r="E401" s="27" t="s">
        <v>176</v>
      </c>
      <c r="F401" s="27" t="s">
        <v>177</v>
      </c>
      <c r="G401" s="38">
        <v>41518</v>
      </c>
    </row>
    <row r="402" spans="1:7" x14ac:dyDescent="0.2">
      <c r="A402" s="27" t="s">
        <v>175</v>
      </c>
      <c r="B402" s="325" t="s">
        <v>3611</v>
      </c>
      <c r="C402" s="71">
        <v>40000</v>
      </c>
      <c r="E402" s="27" t="s">
        <v>176</v>
      </c>
      <c r="F402" s="27" t="s">
        <v>177</v>
      </c>
      <c r="G402" s="38">
        <v>41518</v>
      </c>
    </row>
    <row r="403" spans="1:7" x14ac:dyDescent="0.2">
      <c r="A403" s="27" t="s">
        <v>175</v>
      </c>
      <c r="B403" s="325" t="s">
        <v>3612</v>
      </c>
      <c r="C403" s="71">
        <v>20000</v>
      </c>
      <c r="E403" s="27" t="s">
        <v>176</v>
      </c>
      <c r="F403" s="27" t="s">
        <v>177</v>
      </c>
      <c r="G403" s="38">
        <v>41518</v>
      </c>
    </row>
    <row r="404" spans="1:7" x14ac:dyDescent="0.2">
      <c r="A404" s="27" t="s">
        <v>175</v>
      </c>
      <c r="B404" s="325" t="s">
        <v>3613</v>
      </c>
      <c r="C404" s="71">
        <v>20000</v>
      </c>
      <c r="E404" s="27" t="s">
        <v>176</v>
      </c>
      <c r="F404" s="27" t="s">
        <v>177</v>
      </c>
      <c r="G404" s="38">
        <v>41518</v>
      </c>
    </row>
    <row r="405" spans="1:7" x14ac:dyDescent="0.2">
      <c r="A405" s="27" t="s">
        <v>175</v>
      </c>
      <c r="B405" s="325" t="s">
        <v>3614</v>
      </c>
      <c r="C405" s="71">
        <v>100000</v>
      </c>
      <c r="E405" s="27" t="s">
        <v>176</v>
      </c>
      <c r="F405" s="27" t="s">
        <v>177</v>
      </c>
      <c r="G405" s="38">
        <v>41518</v>
      </c>
    </row>
    <row r="406" spans="1:7" x14ac:dyDescent="0.2">
      <c r="A406" s="27" t="s">
        <v>175</v>
      </c>
      <c r="B406" s="325" t="s">
        <v>3615</v>
      </c>
      <c r="C406" s="71">
        <v>240000</v>
      </c>
      <c r="E406" s="27" t="s">
        <v>176</v>
      </c>
      <c r="F406" s="27" t="s">
        <v>177</v>
      </c>
      <c r="G406" s="38">
        <v>41518</v>
      </c>
    </row>
    <row r="407" spans="1:7" x14ac:dyDescent="0.2">
      <c r="A407" s="27" t="s">
        <v>175</v>
      </c>
      <c r="B407" s="325" t="s">
        <v>3616</v>
      </c>
      <c r="C407" s="71">
        <v>640000</v>
      </c>
      <c r="E407" s="27" t="s">
        <v>176</v>
      </c>
      <c r="F407" s="27" t="s">
        <v>177</v>
      </c>
      <c r="G407" s="38">
        <v>41518</v>
      </c>
    </row>
    <row r="408" spans="1:7" x14ac:dyDescent="0.2">
      <c r="A408" s="27" t="s">
        <v>175</v>
      </c>
      <c r="B408" s="325" t="s">
        <v>3617</v>
      </c>
      <c r="C408" s="71">
        <v>70000</v>
      </c>
      <c r="E408" s="27" t="s">
        <v>176</v>
      </c>
      <c r="F408" s="27" t="s">
        <v>177</v>
      </c>
      <c r="G408" s="38">
        <v>41518</v>
      </c>
    </row>
    <row r="409" spans="1:7" x14ac:dyDescent="0.2">
      <c r="A409" s="27" t="s">
        <v>175</v>
      </c>
      <c r="B409" s="325" t="s">
        <v>3618</v>
      </c>
      <c r="C409" s="71">
        <v>800000</v>
      </c>
      <c r="E409" s="27" t="s">
        <v>176</v>
      </c>
      <c r="F409" s="27" t="s">
        <v>177</v>
      </c>
      <c r="G409" s="38">
        <v>41518</v>
      </c>
    </row>
    <row r="410" spans="1:7" x14ac:dyDescent="0.2">
      <c r="A410" s="27" t="s">
        <v>175</v>
      </c>
      <c r="B410" s="325" t="s">
        <v>3619</v>
      </c>
      <c r="C410" s="71">
        <v>445000</v>
      </c>
      <c r="E410" s="27" t="s">
        <v>176</v>
      </c>
      <c r="F410" s="27" t="s">
        <v>177</v>
      </c>
      <c r="G410" s="38">
        <v>41518</v>
      </c>
    </row>
    <row r="411" spans="1:7" x14ac:dyDescent="0.2">
      <c r="A411" s="27" t="s">
        <v>175</v>
      </c>
      <c r="B411" s="325" t="s">
        <v>3620</v>
      </c>
      <c r="C411" s="71">
        <v>80000</v>
      </c>
      <c r="E411" s="27" t="s">
        <v>176</v>
      </c>
      <c r="F411" s="27" t="s">
        <v>177</v>
      </c>
      <c r="G411" s="38">
        <v>41518</v>
      </c>
    </row>
    <row r="412" spans="1:7" x14ac:dyDescent="0.2">
      <c r="A412" s="27" t="s">
        <v>175</v>
      </c>
      <c r="B412" s="325" t="s">
        <v>3621</v>
      </c>
      <c r="C412" s="71">
        <v>60000</v>
      </c>
      <c r="E412" s="27" t="s">
        <v>176</v>
      </c>
      <c r="F412" s="27" t="s">
        <v>177</v>
      </c>
      <c r="G412" s="38">
        <v>41518</v>
      </c>
    </row>
    <row r="413" spans="1:7" x14ac:dyDescent="0.2">
      <c r="A413" s="27" t="s">
        <v>175</v>
      </c>
      <c r="B413" s="325" t="s">
        <v>3622</v>
      </c>
      <c r="C413" s="71">
        <v>300000</v>
      </c>
      <c r="E413" s="27" t="s">
        <v>176</v>
      </c>
      <c r="F413" s="27" t="s">
        <v>177</v>
      </c>
      <c r="G413" s="38">
        <v>41518</v>
      </c>
    </row>
    <row r="414" spans="1:7" x14ac:dyDescent="0.2">
      <c r="A414" s="27" t="s">
        <v>175</v>
      </c>
      <c r="B414" s="325" t="s">
        <v>3623</v>
      </c>
      <c r="C414" s="71">
        <v>200000</v>
      </c>
      <c r="E414" s="27" t="s">
        <v>176</v>
      </c>
      <c r="F414" s="27" t="s">
        <v>177</v>
      </c>
      <c r="G414" s="38">
        <v>41518</v>
      </c>
    </row>
    <row r="415" spans="1:7" x14ac:dyDescent="0.2">
      <c r="A415" s="27" t="s">
        <v>175</v>
      </c>
      <c r="B415" s="325" t="s">
        <v>3624</v>
      </c>
      <c r="C415" s="71">
        <v>150000</v>
      </c>
      <c r="E415" s="27" t="s">
        <v>176</v>
      </c>
      <c r="F415" s="27" t="s">
        <v>177</v>
      </c>
      <c r="G415" s="38">
        <v>41518</v>
      </c>
    </row>
    <row r="416" spans="1:7" x14ac:dyDescent="0.2">
      <c r="A416" s="27" t="s">
        <v>175</v>
      </c>
      <c r="B416" s="325" t="s">
        <v>3625</v>
      </c>
      <c r="C416" s="71">
        <v>60000</v>
      </c>
      <c r="E416" s="27" t="s">
        <v>176</v>
      </c>
      <c r="F416" s="27" t="s">
        <v>177</v>
      </c>
      <c r="G416" s="38">
        <v>41518</v>
      </c>
    </row>
    <row r="417" spans="1:7" x14ac:dyDescent="0.2">
      <c r="A417" s="27" t="s">
        <v>175</v>
      </c>
      <c r="B417" s="325" t="s">
        <v>3626</v>
      </c>
      <c r="C417" s="71">
        <v>60000</v>
      </c>
      <c r="E417" s="27" t="s">
        <v>176</v>
      </c>
      <c r="F417" s="27" t="s">
        <v>177</v>
      </c>
      <c r="G417" s="38">
        <v>41518</v>
      </c>
    </row>
    <row r="418" spans="1:7" x14ac:dyDescent="0.2">
      <c r="A418" s="27" t="s">
        <v>175</v>
      </c>
      <c r="B418" s="325" t="s">
        <v>3627</v>
      </c>
      <c r="C418" s="71">
        <v>40000</v>
      </c>
      <c r="E418" s="27" t="s">
        <v>176</v>
      </c>
      <c r="F418" s="27" t="s">
        <v>177</v>
      </c>
      <c r="G418" s="38">
        <v>41518</v>
      </c>
    </row>
    <row r="419" spans="1:7" x14ac:dyDescent="0.2">
      <c r="A419" s="27" t="s">
        <v>175</v>
      </c>
      <c r="B419" s="325" t="s">
        <v>3628</v>
      </c>
      <c r="C419" s="71">
        <v>800000</v>
      </c>
      <c r="E419" s="27" t="s">
        <v>176</v>
      </c>
      <c r="F419" s="27" t="s">
        <v>177</v>
      </c>
      <c r="G419" s="38">
        <v>41518</v>
      </c>
    </row>
    <row r="420" spans="1:7" x14ac:dyDescent="0.2">
      <c r="A420" s="27" t="s">
        <v>175</v>
      </c>
      <c r="B420" s="325" t="s">
        <v>3629</v>
      </c>
      <c r="C420" s="71">
        <v>180000</v>
      </c>
      <c r="E420" s="27" t="s">
        <v>176</v>
      </c>
      <c r="F420" s="27" t="s">
        <v>177</v>
      </c>
      <c r="G420" s="38">
        <v>41518</v>
      </c>
    </row>
    <row r="421" spans="1:7" x14ac:dyDescent="0.2">
      <c r="A421" s="27" t="s">
        <v>175</v>
      </c>
      <c r="B421" s="325" t="s">
        <v>3630</v>
      </c>
      <c r="C421" s="71">
        <v>115000</v>
      </c>
      <c r="E421" s="27" t="s">
        <v>176</v>
      </c>
      <c r="F421" s="27" t="s">
        <v>177</v>
      </c>
      <c r="G421" s="38">
        <v>41518</v>
      </c>
    </row>
    <row r="422" spans="1:7" x14ac:dyDescent="0.2">
      <c r="A422" s="27" t="s">
        <v>175</v>
      </c>
      <c r="B422" s="325" t="s">
        <v>3631</v>
      </c>
      <c r="C422" s="71">
        <v>500000</v>
      </c>
      <c r="E422" s="27" t="s">
        <v>176</v>
      </c>
      <c r="F422" s="27" t="s">
        <v>177</v>
      </c>
      <c r="G422" s="38">
        <v>41518</v>
      </c>
    </row>
    <row r="423" spans="1:7" x14ac:dyDescent="0.2">
      <c r="A423" s="27" t="s">
        <v>175</v>
      </c>
      <c r="B423" s="325" t="s">
        <v>3632</v>
      </c>
      <c r="C423" s="71">
        <v>40000</v>
      </c>
      <c r="E423" s="27" t="s">
        <v>176</v>
      </c>
      <c r="F423" s="27" t="s">
        <v>177</v>
      </c>
      <c r="G423" s="38">
        <v>41518</v>
      </c>
    </row>
    <row r="424" spans="1:7" x14ac:dyDescent="0.2">
      <c r="A424" s="27" t="s">
        <v>175</v>
      </c>
      <c r="B424" s="325" t="s">
        <v>3633</v>
      </c>
      <c r="C424" s="71">
        <v>250000</v>
      </c>
      <c r="E424" s="27" t="s">
        <v>176</v>
      </c>
      <c r="F424" s="27" t="s">
        <v>177</v>
      </c>
      <c r="G424" s="38">
        <v>41518</v>
      </c>
    </row>
    <row r="425" spans="1:7" x14ac:dyDescent="0.2">
      <c r="A425" s="27" t="s">
        <v>175</v>
      </c>
      <c r="B425" s="325" t="s">
        <v>3634</v>
      </c>
      <c r="C425" s="71">
        <v>350000</v>
      </c>
      <c r="E425" s="27" t="s">
        <v>176</v>
      </c>
      <c r="F425" s="27" t="s">
        <v>177</v>
      </c>
      <c r="G425" s="38">
        <v>41518</v>
      </c>
    </row>
    <row r="426" spans="1:7" x14ac:dyDescent="0.2">
      <c r="A426" s="27" t="s">
        <v>175</v>
      </c>
      <c r="B426" s="325" t="s">
        <v>3635</v>
      </c>
      <c r="C426" s="71">
        <v>830000</v>
      </c>
      <c r="E426" s="27" t="s">
        <v>176</v>
      </c>
      <c r="F426" s="27" t="s">
        <v>177</v>
      </c>
      <c r="G426" s="38">
        <v>41518</v>
      </c>
    </row>
    <row r="427" spans="1:7" x14ac:dyDescent="0.2">
      <c r="A427" s="27" t="s">
        <v>175</v>
      </c>
      <c r="B427" s="325" t="s">
        <v>3636</v>
      </c>
      <c r="C427" s="71">
        <v>980000</v>
      </c>
      <c r="E427" s="27" t="s">
        <v>176</v>
      </c>
      <c r="F427" s="27" t="s">
        <v>177</v>
      </c>
      <c r="G427" s="38">
        <v>41518</v>
      </c>
    </row>
    <row r="428" spans="1:7" x14ac:dyDescent="0.2">
      <c r="A428" s="27" t="s">
        <v>175</v>
      </c>
      <c r="B428" s="325" t="s">
        <v>3637</v>
      </c>
      <c r="C428" s="71">
        <v>40000</v>
      </c>
      <c r="E428" s="27" t="s">
        <v>176</v>
      </c>
      <c r="F428" s="27" t="s">
        <v>177</v>
      </c>
      <c r="G428" s="38">
        <v>41518</v>
      </c>
    </row>
    <row r="429" spans="1:7" x14ac:dyDescent="0.2">
      <c r="A429" s="27" t="s">
        <v>175</v>
      </c>
      <c r="B429" s="325" t="s">
        <v>3638</v>
      </c>
      <c r="C429" s="71">
        <v>20000</v>
      </c>
      <c r="E429" s="27" t="s">
        <v>176</v>
      </c>
      <c r="F429" s="27" t="s">
        <v>177</v>
      </c>
      <c r="G429" s="38">
        <v>41518</v>
      </c>
    </row>
    <row r="430" spans="1:7" x14ac:dyDescent="0.2">
      <c r="A430" s="27" t="s">
        <v>175</v>
      </c>
      <c r="B430" s="325" t="s">
        <v>3639</v>
      </c>
      <c r="C430" s="71">
        <v>100000</v>
      </c>
      <c r="E430" s="27" t="s">
        <v>176</v>
      </c>
      <c r="F430" s="27" t="s">
        <v>177</v>
      </c>
      <c r="G430" s="38">
        <v>41518</v>
      </c>
    </row>
    <row r="431" spans="1:7" x14ac:dyDescent="0.2">
      <c r="A431" s="27" t="s">
        <v>175</v>
      </c>
      <c r="B431" s="325" t="s">
        <v>3640</v>
      </c>
      <c r="C431" s="71">
        <v>20000</v>
      </c>
      <c r="E431" s="27" t="s">
        <v>176</v>
      </c>
      <c r="F431" s="27" t="s">
        <v>177</v>
      </c>
      <c r="G431" s="38">
        <v>41518</v>
      </c>
    </row>
    <row r="432" spans="1:7" x14ac:dyDescent="0.2">
      <c r="A432" s="27" t="s">
        <v>175</v>
      </c>
      <c r="B432" s="325" t="s">
        <v>3641</v>
      </c>
      <c r="C432" s="71">
        <v>552627</v>
      </c>
      <c r="E432" s="27" t="s">
        <v>176</v>
      </c>
      <c r="F432" s="27" t="s">
        <v>177</v>
      </c>
      <c r="G432" s="38">
        <v>41518</v>
      </c>
    </row>
    <row r="433" spans="1:7" x14ac:dyDescent="0.2">
      <c r="A433" s="27" t="s">
        <v>175</v>
      </c>
      <c r="B433" s="325" t="s">
        <v>3642</v>
      </c>
      <c r="C433" s="71">
        <v>12510000</v>
      </c>
      <c r="E433" s="27" t="s">
        <v>176</v>
      </c>
      <c r="F433" s="27" t="s">
        <v>177</v>
      </c>
      <c r="G433" s="38">
        <v>41518</v>
      </c>
    </row>
    <row r="434" spans="1:7" x14ac:dyDescent="0.2">
      <c r="A434" s="27" t="s">
        <v>175</v>
      </c>
      <c r="B434" s="325" t="s">
        <v>3643</v>
      </c>
      <c r="C434" s="71">
        <v>1845878</v>
      </c>
      <c r="E434" s="27" t="s">
        <v>176</v>
      </c>
      <c r="F434" s="27" t="s">
        <v>177</v>
      </c>
      <c r="G434" s="38">
        <v>41518</v>
      </c>
    </row>
    <row r="435" spans="1:7" x14ac:dyDescent="0.2">
      <c r="A435" s="27" t="s">
        <v>175</v>
      </c>
      <c r="B435" s="325" t="s">
        <v>3644</v>
      </c>
      <c r="C435" s="71">
        <v>4890000</v>
      </c>
      <c r="E435" s="27" t="s">
        <v>176</v>
      </c>
      <c r="F435" s="27" t="s">
        <v>177</v>
      </c>
      <c r="G435" s="38">
        <v>41518</v>
      </c>
    </row>
    <row r="436" spans="1:7" x14ac:dyDescent="0.2">
      <c r="A436" s="27" t="s">
        <v>175</v>
      </c>
      <c r="B436" s="325" t="s">
        <v>3645</v>
      </c>
      <c r="C436" s="71">
        <v>11747140</v>
      </c>
      <c r="E436" s="27" t="s">
        <v>176</v>
      </c>
      <c r="F436" s="27" t="s">
        <v>177</v>
      </c>
      <c r="G436" s="38">
        <v>41518</v>
      </c>
    </row>
    <row r="437" spans="1:7" x14ac:dyDescent="0.2">
      <c r="A437" s="27" t="s">
        <v>175</v>
      </c>
      <c r="B437" s="325" t="s">
        <v>3646</v>
      </c>
      <c r="C437" s="71">
        <v>30183500</v>
      </c>
      <c r="E437" s="27" t="s">
        <v>176</v>
      </c>
      <c r="F437" s="27" t="s">
        <v>177</v>
      </c>
      <c r="G437" s="38">
        <v>41518</v>
      </c>
    </row>
    <row r="438" spans="1:7" x14ac:dyDescent="0.2">
      <c r="A438" s="27" t="s">
        <v>175</v>
      </c>
      <c r="B438" s="325" t="s">
        <v>3647</v>
      </c>
      <c r="C438" s="71">
        <v>9473500</v>
      </c>
      <c r="E438" s="27" t="s">
        <v>176</v>
      </c>
      <c r="F438" s="27" t="s">
        <v>177</v>
      </c>
      <c r="G438" s="38">
        <v>41518</v>
      </c>
    </row>
    <row r="439" spans="1:7" x14ac:dyDescent="0.2">
      <c r="A439" s="27" t="s">
        <v>175</v>
      </c>
      <c r="B439" s="325" t="s">
        <v>3648</v>
      </c>
      <c r="C439" s="71">
        <v>15410968</v>
      </c>
      <c r="E439" s="27" t="s">
        <v>176</v>
      </c>
      <c r="F439" s="27" t="s">
        <v>177</v>
      </c>
      <c r="G439" s="38">
        <v>41518</v>
      </c>
    </row>
    <row r="440" spans="1:7" x14ac:dyDescent="0.2">
      <c r="A440" s="27" t="s">
        <v>175</v>
      </c>
      <c r="B440" s="325" t="s">
        <v>3649</v>
      </c>
      <c r="C440" s="71">
        <v>17000000</v>
      </c>
      <c r="E440" s="27" t="s">
        <v>176</v>
      </c>
      <c r="F440" s="27" t="s">
        <v>177</v>
      </c>
      <c r="G440" s="38">
        <v>41518</v>
      </c>
    </row>
    <row r="441" spans="1:7" x14ac:dyDescent="0.2">
      <c r="A441" s="27" t="s">
        <v>175</v>
      </c>
      <c r="B441" s="325" t="s">
        <v>3650</v>
      </c>
      <c r="C441" s="71">
        <v>3750000</v>
      </c>
      <c r="E441" s="27" t="s">
        <v>176</v>
      </c>
      <c r="F441" s="27" t="s">
        <v>177</v>
      </c>
      <c r="G441" s="38">
        <v>41518</v>
      </c>
    </row>
    <row r="442" spans="1:7" x14ac:dyDescent="0.2">
      <c r="A442" s="27" t="s">
        <v>175</v>
      </c>
      <c r="B442" s="325" t="s">
        <v>3651</v>
      </c>
      <c r="C442" s="71">
        <v>10000000</v>
      </c>
      <c r="E442" s="27" t="s">
        <v>176</v>
      </c>
      <c r="F442" s="27" t="s">
        <v>177</v>
      </c>
      <c r="G442" s="38">
        <v>41518</v>
      </c>
    </row>
    <row r="443" spans="1:7" x14ac:dyDescent="0.2">
      <c r="A443" s="27" t="s">
        <v>175</v>
      </c>
      <c r="B443" s="325" t="s">
        <v>3652</v>
      </c>
      <c r="C443" s="71">
        <v>4922800</v>
      </c>
      <c r="E443" s="27" t="s">
        <v>176</v>
      </c>
      <c r="F443" s="27" t="s">
        <v>177</v>
      </c>
      <c r="G443" s="38">
        <v>41518</v>
      </c>
    </row>
    <row r="444" spans="1:7" x14ac:dyDescent="0.2">
      <c r="A444" s="27" t="s">
        <v>175</v>
      </c>
      <c r="B444" s="325" t="s">
        <v>3684</v>
      </c>
      <c r="C444" s="71">
        <v>2609500</v>
      </c>
      <c r="E444" s="27" t="s">
        <v>176</v>
      </c>
      <c r="F444" s="27" t="s">
        <v>177</v>
      </c>
      <c r="G444" s="38">
        <v>41518</v>
      </c>
    </row>
    <row r="445" spans="1:7" x14ac:dyDescent="0.2">
      <c r="A445" s="27" t="s">
        <v>175</v>
      </c>
      <c r="B445" s="325" t="s">
        <v>3685</v>
      </c>
      <c r="C445" s="71">
        <v>34249357</v>
      </c>
      <c r="E445" s="27" t="s">
        <v>176</v>
      </c>
      <c r="F445" s="27" t="s">
        <v>177</v>
      </c>
      <c r="G445" s="38">
        <v>41518</v>
      </c>
    </row>
    <row r="446" spans="1:7" x14ac:dyDescent="0.2">
      <c r="D446" s="71"/>
      <c r="E446" s="37"/>
    </row>
    <row r="447" spans="1:7" x14ac:dyDescent="0.2">
      <c r="C447" s="131"/>
      <c r="D447" s="101"/>
    </row>
    <row r="448" spans="1:7" x14ac:dyDescent="0.2">
      <c r="C448" s="101"/>
      <c r="D448" s="101"/>
    </row>
    <row r="449" spans="3:4" x14ac:dyDescent="0.2">
      <c r="C449" s="131"/>
    </row>
    <row r="450" spans="3:4" x14ac:dyDescent="0.2">
      <c r="D450" s="101"/>
    </row>
  </sheetData>
  <conditionalFormatting sqref="C75:C76 B1:B444">
    <cfRule type="duplicateValues" dxfId="8" priority="2"/>
  </conditionalFormatting>
  <conditionalFormatting sqref="B445">
    <cfRule type="duplicateValues" dxfId="7" priority="1"/>
  </conditionalFormatting>
  <pageMargins left="0.7" right="0.7" top="0.25" bottom="0.25" header="0.05" footer="0.0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199"/>
  <sheetViews>
    <sheetView topLeftCell="A156" workbookViewId="0">
      <selection activeCell="G156" sqref="G156"/>
    </sheetView>
  </sheetViews>
  <sheetFormatPr defaultColWidth="8.6640625" defaultRowHeight="12.75" x14ac:dyDescent="0.2"/>
  <cols>
    <col min="1" max="1" width="2.77734375" style="27" customWidth="1"/>
    <col min="2" max="2" width="14.77734375" style="27" customWidth="1"/>
    <col min="3" max="3" width="12.77734375" style="71" customWidth="1"/>
    <col min="4" max="4" width="12.77734375" style="72" customWidth="1"/>
    <col min="5" max="5" width="20.77734375" style="27" customWidth="1"/>
    <col min="6" max="6" width="4.77734375" style="27" customWidth="1"/>
    <col min="7" max="7" width="8.77734375" style="27" customWidth="1"/>
    <col min="8" max="16384" width="8.6640625" style="27"/>
  </cols>
  <sheetData>
    <row r="1" spans="1:7" x14ac:dyDescent="0.2">
      <c r="A1" s="27" t="s">
        <v>3696</v>
      </c>
      <c r="B1" s="325" t="s">
        <v>3538</v>
      </c>
      <c r="D1" s="72">
        <v>3000000</v>
      </c>
      <c r="E1" s="27" t="s">
        <v>3697</v>
      </c>
      <c r="F1" s="27" t="s">
        <v>177</v>
      </c>
      <c r="G1" s="38">
        <v>41729</v>
      </c>
    </row>
    <row r="2" spans="1:7" x14ac:dyDescent="0.2">
      <c r="A2" s="27" t="s">
        <v>3696</v>
      </c>
      <c r="B2" s="325" t="s">
        <v>3547</v>
      </c>
      <c r="D2" s="72">
        <v>7000000</v>
      </c>
      <c r="E2" s="27" t="s">
        <v>3697</v>
      </c>
      <c r="F2" s="27" t="s">
        <v>177</v>
      </c>
      <c r="G2" s="38">
        <v>41729</v>
      </c>
    </row>
    <row r="3" spans="1:7" x14ac:dyDescent="0.2">
      <c r="A3" s="27" t="s">
        <v>3696</v>
      </c>
      <c r="B3" s="325" t="s">
        <v>3554</v>
      </c>
      <c r="D3" s="27">
        <v>599800</v>
      </c>
      <c r="E3" s="27" t="s">
        <v>3697</v>
      </c>
      <c r="F3" s="27" t="s">
        <v>177</v>
      </c>
      <c r="G3" s="38">
        <v>41729</v>
      </c>
    </row>
    <row r="4" spans="1:7" x14ac:dyDescent="0.2">
      <c r="A4" s="27" t="s">
        <v>3696</v>
      </c>
      <c r="B4" s="325" t="s">
        <v>3555</v>
      </c>
      <c r="D4" s="27">
        <v>11099200</v>
      </c>
      <c r="E4" s="27" t="s">
        <v>3697</v>
      </c>
      <c r="F4" s="27" t="s">
        <v>177</v>
      </c>
      <c r="G4" s="38">
        <v>41729</v>
      </c>
    </row>
    <row r="5" spans="1:7" x14ac:dyDescent="0.2">
      <c r="A5" s="27" t="s">
        <v>3696</v>
      </c>
      <c r="B5" s="325" t="s">
        <v>3556</v>
      </c>
      <c r="D5" s="27">
        <v>13795600</v>
      </c>
      <c r="E5" s="27" t="s">
        <v>3697</v>
      </c>
      <c r="F5" s="27" t="s">
        <v>177</v>
      </c>
      <c r="G5" s="38">
        <v>41729</v>
      </c>
    </row>
    <row r="6" spans="1:7" x14ac:dyDescent="0.2">
      <c r="A6" s="27" t="s">
        <v>3696</v>
      </c>
      <c r="B6" s="325" t="s">
        <v>3567</v>
      </c>
      <c r="D6" s="72">
        <v>1535100</v>
      </c>
      <c r="E6" s="27" t="s">
        <v>3697</v>
      </c>
      <c r="F6" s="27" t="s">
        <v>177</v>
      </c>
      <c r="G6" s="38">
        <v>41729</v>
      </c>
    </row>
    <row r="7" spans="1:7" x14ac:dyDescent="0.2">
      <c r="A7" s="27" t="s">
        <v>3696</v>
      </c>
      <c r="B7" s="325" t="s">
        <v>3568</v>
      </c>
      <c r="D7" s="72">
        <v>1228100</v>
      </c>
      <c r="E7" s="27" t="s">
        <v>3697</v>
      </c>
      <c r="F7" s="27" t="s">
        <v>177</v>
      </c>
      <c r="G7" s="38">
        <v>41729</v>
      </c>
    </row>
    <row r="8" spans="1:7" x14ac:dyDescent="0.2">
      <c r="A8" s="27" t="s">
        <v>3696</v>
      </c>
      <c r="B8" s="325" t="s">
        <v>3570</v>
      </c>
      <c r="D8" s="72">
        <v>263100</v>
      </c>
      <c r="E8" s="27" t="s">
        <v>3697</v>
      </c>
      <c r="F8" s="27" t="s">
        <v>177</v>
      </c>
      <c r="G8" s="38">
        <v>41729</v>
      </c>
    </row>
    <row r="9" spans="1:7" x14ac:dyDescent="0.2">
      <c r="A9" s="27" t="s">
        <v>3696</v>
      </c>
      <c r="B9" s="325" t="s">
        <v>3571</v>
      </c>
      <c r="D9" s="72">
        <v>426300</v>
      </c>
      <c r="E9" s="27" t="s">
        <v>3697</v>
      </c>
      <c r="F9" s="27" t="s">
        <v>177</v>
      </c>
      <c r="G9" s="38">
        <v>41729</v>
      </c>
    </row>
    <row r="10" spans="1:7" x14ac:dyDescent="0.2">
      <c r="A10" s="27" t="s">
        <v>3696</v>
      </c>
      <c r="B10" s="325" t="s">
        <v>3572</v>
      </c>
      <c r="D10" s="72">
        <v>82500</v>
      </c>
      <c r="E10" s="27" t="s">
        <v>3697</v>
      </c>
      <c r="F10" s="27" t="s">
        <v>177</v>
      </c>
      <c r="G10" s="38">
        <v>41729</v>
      </c>
    </row>
    <row r="11" spans="1:7" x14ac:dyDescent="0.2">
      <c r="A11" s="27" t="s">
        <v>3696</v>
      </c>
      <c r="B11" s="325" t="s">
        <v>3573</v>
      </c>
      <c r="D11" s="72">
        <v>1002200</v>
      </c>
      <c r="E11" s="27" t="s">
        <v>3697</v>
      </c>
      <c r="F11" s="27" t="s">
        <v>177</v>
      </c>
      <c r="G11" s="38">
        <v>41729</v>
      </c>
    </row>
    <row r="12" spans="1:7" x14ac:dyDescent="0.2">
      <c r="A12" s="27" t="s">
        <v>3696</v>
      </c>
      <c r="B12" s="325" t="s">
        <v>3575</v>
      </c>
      <c r="D12" s="72">
        <v>412100</v>
      </c>
      <c r="E12" s="27" t="s">
        <v>3697</v>
      </c>
      <c r="F12" s="27" t="s">
        <v>177</v>
      </c>
      <c r="G12" s="38">
        <v>41729</v>
      </c>
    </row>
    <row r="13" spans="1:7" x14ac:dyDescent="0.2">
      <c r="A13" s="27" t="s">
        <v>3696</v>
      </c>
      <c r="B13" s="325" t="s">
        <v>3577</v>
      </c>
      <c r="D13" s="72">
        <v>585700</v>
      </c>
      <c r="E13" s="27" t="s">
        <v>3697</v>
      </c>
      <c r="F13" s="27" t="s">
        <v>177</v>
      </c>
      <c r="G13" s="38">
        <v>41729</v>
      </c>
    </row>
    <row r="14" spans="1:7" x14ac:dyDescent="0.2">
      <c r="A14" s="27" t="s">
        <v>3696</v>
      </c>
      <c r="B14" s="325" t="s">
        <v>3579</v>
      </c>
      <c r="D14" s="72">
        <v>1324200</v>
      </c>
      <c r="E14" s="27" t="s">
        <v>3697</v>
      </c>
      <c r="F14" s="27" t="s">
        <v>177</v>
      </c>
      <c r="G14" s="38">
        <v>41729</v>
      </c>
    </row>
    <row r="15" spans="1:7" x14ac:dyDescent="0.2">
      <c r="A15" s="27" t="s">
        <v>3696</v>
      </c>
      <c r="B15" s="325" t="s">
        <v>3581</v>
      </c>
      <c r="D15" s="72">
        <v>379400</v>
      </c>
      <c r="E15" s="27" t="s">
        <v>3697</v>
      </c>
      <c r="F15" s="27" t="s">
        <v>177</v>
      </c>
      <c r="G15" s="38">
        <v>41729</v>
      </c>
    </row>
    <row r="16" spans="1:7" x14ac:dyDescent="0.2">
      <c r="A16" s="27" t="s">
        <v>3696</v>
      </c>
      <c r="B16" s="325" t="s">
        <v>3582</v>
      </c>
      <c r="D16" s="72">
        <v>296400</v>
      </c>
      <c r="E16" s="27" t="s">
        <v>3697</v>
      </c>
      <c r="F16" s="27" t="s">
        <v>177</v>
      </c>
      <c r="G16" s="38">
        <v>41729</v>
      </c>
    </row>
    <row r="17" spans="1:7" x14ac:dyDescent="0.2">
      <c r="A17" s="27" t="s">
        <v>3696</v>
      </c>
      <c r="B17" s="325" t="s">
        <v>3270</v>
      </c>
      <c r="D17" s="72">
        <v>1480740</v>
      </c>
      <c r="E17" s="27" t="s">
        <v>3697</v>
      </c>
      <c r="F17" s="27" t="s">
        <v>177</v>
      </c>
      <c r="G17" s="38">
        <v>41729</v>
      </c>
    </row>
    <row r="18" spans="1:7" x14ac:dyDescent="0.2">
      <c r="A18" s="27" t="s">
        <v>3696</v>
      </c>
      <c r="B18" s="325" t="s">
        <v>3271</v>
      </c>
      <c r="D18" s="72">
        <v>310520</v>
      </c>
      <c r="E18" s="27" t="s">
        <v>3697</v>
      </c>
      <c r="F18" s="27" t="s">
        <v>177</v>
      </c>
      <c r="G18" s="38">
        <v>41729</v>
      </c>
    </row>
    <row r="19" spans="1:7" x14ac:dyDescent="0.2">
      <c r="A19" s="27" t="s">
        <v>3696</v>
      </c>
      <c r="B19" s="325" t="s">
        <v>3272</v>
      </c>
      <c r="D19" s="72">
        <v>231800</v>
      </c>
      <c r="E19" s="27" t="s">
        <v>3697</v>
      </c>
      <c r="F19" s="27" t="s">
        <v>177</v>
      </c>
      <c r="G19" s="38">
        <v>41729</v>
      </c>
    </row>
    <row r="20" spans="1:7" x14ac:dyDescent="0.2">
      <c r="A20" s="27" t="s">
        <v>3696</v>
      </c>
      <c r="B20" s="325" t="s">
        <v>3273</v>
      </c>
      <c r="D20" s="72">
        <v>220000</v>
      </c>
      <c r="E20" s="27" t="s">
        <v>3697</v>
      </c>
      <c r="F20" s="27" t="s">
        <v>177</v>
      </c>
      <c r="G20" s="38">
        <v>41729</v>
      </c>
    </row>
    <row r="21" spans="1:7" x14ac:dyDescent="0.2">
      <c r="A21" s="27" t="s">
        <v>3696</v>
      </c>
      <c r="B21" s="325" t="s">
        <v>3274</v>
      </c>
      <c r="D21" s="72">
        <v>40000</v>
      </c>
      <c r="E21" s="27" t="s">
        <v>3697</v>
      </c>
      <c r="F21" s="27" t="s">
        <v>177</v>
      </c>
      <c r="G21" s="38">
        <v>41729</v>
      </c>
    </row>
    <row r="22" spans="1:7" x14ac:dyDescent="0.2">
      <c r="A22" s="27" t="s">
        <v>3696</v>
      </c>
      <c r="B22" s="325" t="s">
        <v>3275</v>
      </c>
      <c r="D22" s="72">
        <v>271700</v>
      </c>
      <c r="E22" s="27" t="s">
        <v>3697</v>
      </c>
      <c r="F22" s="27" t="s">
        <v>177</v>
      </c>
      <c r="G22" s="38">
        <v>41729</v>
      </c>
    </row>
    <row r="23" spans="1:7" x14ac:dyDescent="0.2">
      <c r="A23" s="27" t="s">
        <v>3696</v>
      </c>
      <c r="B23" s="325" t="s">
        <v>3276</v>
      </c>
      <c r="D23" s="72">
        <v>18020</v>
      </c>
      <c r="E23" s="27" t="s">
        <v>3697</v>
      </c>
      <c r="F23" s="27" t="s">
        <v>177</v>
      </c>
      <c r="G23" s="38">
        <v>41729</v>
      </c>
    </row>
    <row r="24" spans="1:7" x14ac:dyDescent="0.2">
      <c r="A24" s="27" t="s">
        <v>3696</v>
      </c>
      <c r="B24" s="325" t="s">
        <v>3277</v>
      </c>
      <c r="D24" s="72">
        <v>12000</v>
      </c>
      <c r="E24" s="27" t="s">
        <v>3697</v>
      </c>
      <c r="F24" s="27" t="s">
        <v>177</v>
      </c>
      <c r="G24" s="38">
        <v>41729</v>
      </c>
    </row>
    <row r="25" spans="1:7" x14ac:dyDescent="0.2">
      <c r="A25" s="27" t="s">
        <v>3696</v>
      </c>
      <c r="B25" s="325" t="s">
        <v>3278</v>
      </c>
      <c r="D25" s="72">
        <v>74400</v>
      </c>
      <c r="E25" s="27" t="s">
        <v>3697</v>
      </c>
      <c r="F25" s="27" t="s">
        <v>177</v>
      </c>
      <c r="G25" s="38">
        <v>41729</v>
      </c>
    </row>
    <row r="26" spans="1:7" x14ac:dyDescent="0.2">
      <c r="A26" s="27" t="s">
        <v>3696</v>
      </c>
      <c r="B26" s="325" t="s">
        <v>3279</v>
      </c>
      <c r="D26" s="72">
        <v>26500</v>
      </c>
      <c r="E26" s="27" t="s">
        <v>3697</v>
      </c>
      <c r="F26" s="27" t="s">
        <v>177</v>
      </c>
      <c r="G26" s="38">
        <v>41729</v>
      </c>
    </row>
    <row r="27" spans="1:7" x14ac:dyDescent="0.2">
      <c r="A27" s="27" t="s">
        <v>3696</v>
      </c>
      <c r="B27" s="325" t="s">
        <v>3280</v>
      </c>
      <c r="D27" s="72">
        <v>60000</v>
      </c>
      <c r="E27" s="27" t="s">
        <v>3697</v>
      </c>
      <c r="F27" s="27" t="s">
        <v>177</v>
      </c>
      <c r="G27" s="38">
        <v>41729</v>
      </c>
    </row>
    <row r="28" spans="1:7" x14ac:dyDescent="0.2">
      <c r="A28" s="27" t="s">
        <v>3696</v>
      </c>
      <c r="B28" s="325" t="s">
        <v>3281</v>
      </c>
      <c r="D28" s="72">
        <v>7277</v>
      </c>
      <c r="E28" s="27" t="s">
        <v>3697</v>
      </c>
      <c r="F28" s="27" t="s">
        <v>177</v>
      </c>
      <c r="G28" s="38">
        <v>41729</v>
      </c>
    </row>
    <row r="29" spans="1:7" x14ac:dyDescent="0.2">
      <c r="A29" s="27" t="s">
        <v>3696</v>
      </c>
      <c r="B29" s="325" t="s">
        <v>3282</v>
      </c>
      <c r="D29" s="72">
        <v>6298</v>
      </c>
      <c r="E29" s="27" t="s">
        <v>3697</v>
      </c>
      <c r="F29" s="27" t="s">
        <v>177</v>
      </c>
      <c r="G29" s="38">
        <v>41729</v>
      </c>
    </row>
    <row r="30" spans="1:7" x14ac:dyDescent="0.2">
      <c r="A30" s="27" t="s">
        <v>3696</v>
      </c>
      <c r="B30" s="325" t="s">
        <v>3283</v>
      </c>
      <c r="D30" s="72">
        <v>8925</v>
      </c>
      <c r="E30" s="27" t="s">
        <v>3697</v>
      </c>
      <c r="F30" s="27" t="s">
        <v>177</v>
      </c>
      <c r="G30" s="38">
        <v>41729</v>
      </c>
    </row>
    <row r="31" spans="1:7" x14ac:dyDescent="0.2">
      <c r="A31" s="27" t="s">
        <v>3696</v>
      </c>
      <c r="B31" s="325" t="s">
        <v>3284</v>
      </c>
      <c r="D31" s="72">
        <v>1223522</v>
      </c>
      <c r="E31" s="27" t="s">
        <v>3697</v>
      </c>
      <c r="F31" s="27" t="s">
        <v>177</v>
      </c>
      <c r="G31" s="38">
        <v>41729</v>
      </c>
    </row>
    <row r="32" spans="1:7" x14ac:dyDescent="0.2">
      <c r="A32" s="27" t="s">
        <v>3696</v>
      </c>
      <c r="B32" s="325" t="s">
        <v>3286</v>
      </c>
      <c r="D32" s="72">
        <v>1079827</v>
      </c>
      <c r="E32" s="27" t="s">
        <v>3697</v>
      </c>
      <c r="F32" s="27" t="s">
        <v>177</v>
      </c>
      <c r="G32" s="38">
        <v>41729</v>
      </c>
    </row>
    <row r="33" spans="1:7" x14ac:dyDescent="0.2">
      <c r="A33" s="27" t="s">
        <v>3696</v>
      </c>
      <c r="B33" s="325" t="s">
        <v>3287</v>
      </c>
      <c r="D33" s="72">
        <v>895981</v>
      </c>
      <c r="E33" s="27" t="s">
        <v>3697</v>
      </c>
      <c r="F33" s="27" t="s">
        <v>177</v>
      </c>
      <c r="G33" s="38">
        <v>41729</v>
      </c>
    </row>
    <row r="34" spans="1:7" x14ac:dyDescent="0.2">
      <c r="A34" s="27" t="s">
        <v>3696</v>
      </c>
      <c r="B34" s="325" t="s">
        <v>3290</v>
      </c>
      <c r="D34" s="71">
        <v>717000</v>
      </c>
      <c r="E34" s="27" t="s">
        <v>3697</v>
      </c>
      <c r="F34" s="27" t="s">
        <v>177</v>
      </c>
      <c r="G34" s="38">
        <v>41729</v>
      </c>
    </row>
    <row r="35" spans="1:7" x14ac:dyDescent="0.2">
      <c r="A35" s="27" t="s">
        <v>3696</v>
      </c>
      <c r="B35" s="325" t="s">
        <v>3291</v>
      </c>
      <c r="D35" s="71">
        <v>69700</v>
      </c>
      <c r="E35" s="27" t="s">
        <v>3697</v>
      </c>
      <c r="F35" s="27" t="s">
        <v>177</v>
      </c>
      <c r="G35" s="38">
        <v>41729</v>
      </c>
    </row>
    <row r="36" spans="1:7" x14ac:dyDescent="0.2">
      <c r="A36" s="27" t="s">
        <v>3696</v>
      </c>
      <c r="B36" s="325" t="s">
        <v>3292</v>
      </c>
      <c r="D36" s="72">
        <v>15556</v>
      </c>
      <c r="E36" s="27" t="s">
        <v>3697</v>
      </c>
      <c r="F36" s="27" t="s">
        <v>177</v>
      </c>
      <c r="G36" s="38">
        <v>41729</v>
      </c>
    </row>
    <row r="37" spans="1:7" x14ac:dyDescent="0.2">
      <c r="A37" s="27" t="s">
        <v>3696</v>
      </c>
      <c r="B37" s="325" t="s">
        <v>3293</v>
      </c>
      <c r="D37" s="72">
        <v>3310</v>
      </c>
      <c r="E37" s="27" t="s">
        <v>3697</v>
      </c>
      <c r="F37" s="27" t="s">
        <v>177</v>
      </c>
      <c r="G37" s="38">
        <v>41729</v>
      </c>
    </row>
    <row r="38" spans="1:7" x14ac:dyDescent="0.2">
      <c r="A38" s="27" t="s">
        <v>3696</v>
      </c>
      <c r="B38" s="325" t="s">
        <v>3294</v>
      </c>
      <c r="D38" s="72">
        <v>4634</v>
      </c>
      <c r="E38" s="27" t="s">
        <v>3697</v>
      </c>
      <c r="F38" s="27" t="s">
        <v>177</v>
      </c>
      <c r="G38" s="38">
        <v>41729</v>
      </c>
    </row>
    <row r="39" spans="1:7" x14ac:dyDescent="0.2">
      <c r="A39" s="27" t="s">
        <v>3696</v>
      </c>
      <c r="B39" s="325" t="s">
        <v>3295</v>
      </c>
      <c r="D39" s="72">
        <v>67440</v>
      </c>
      <c r="E39" s="27" t="s">
        <v>3697</v>
      </c>
      <c r="F39" s="27" t="s">
        <v>177</v>
      </c>
      <c r="G39" s="38">
        <v>41729</v>
      </c>
    </row>
    <row r="40" spans="1:7" x14ac:dyDescent="0.2">
      <c r="A40" s="27" t="s">
        <v>3696</v>
      </c>
      <c r="B40" s="325" t="s">
        <v>3296</v>
      </c>
      <c r="D40" s="72">
        <v>81000</v>
      </c>
      <c r="E40" s="27" t="s">
        <v>3697</v>
      </c>
      <c r="F40" s="27" t="s">
        <v>177</v>
      </c>
      <c r="G40" s="38">
        <v>41729</v>
      </c>
    </row>
    <row r="41" spans="1:7" x14ac:dyDescent="0.2">
      <c r="A41" s="27" t="s">
        <v>3696</v>
      </c>
      <c r="B41" s="325" t="s">
        <v>3297</v>
      </c>
      <c r="D41" s="72">
        <v>40000</v>
      </c>
      <c r="E41" s="27" t="s">
        <v>3697</v>
      </c>
      <c r="F41" s="27" t="s">
        <v>177</v>
      </c>
      <c r="G41" s="38">
        <v>41729</v>
      </c>
    </row>
    <row r="42" spans="1:7" x14ac:dyDescent="0.2">
      <c r="A42" s="27" t="s">
        <v>3696</v>
      </c>
      <c r="B42" s="325" t="s">
        <v>3302</v>
      </c>
      <c r="D42" s="72">
        <v>62441</v>
      </c>
      <c r="E42" s="27" t="s">
        <v>3697</v>
      </c>
      <c r="F42" s="27" t="s">
        <v>177</v>
      </c>
      <c r="G42" s="38">
        <v>41729</v>
      </c>
    </row>
    <row r="43" spans="1:7" x14ac:dyDescent="0.2">
      <c r="A43" s="27" t="s">
        <v>3696</v>
      </c>
      <c r="B43" s="325" t="s">
        <v>3305</v>
      </c>
      <c r="D43" s="72">
        <v>62100</v>
      </c>
      <c r="E43" s="27" t="s">
        <v>3697</v>
      </c>
      <c r="F43" s="27" t="s">
        <v>177</v>
      </c>
      <c r="G43" s="38">
        <v>41729</v>
      </c>
    </row>
    <row r="44" spans="1:7" x14ac:dyDescent="0.2">
      <c r="A44" s="27" t="s">
        <v>3696</v>
      </c>
      <c r="B44" s="325" t="s">
        <v>3306</v>
      </c>
      <c r="D44" s="72">
        <v>11400</v>
      </c>
      <c r="E44" s="27" t="s">
        <v>3697</v>
      </c>
      <c r="F44" s="27" t="s">
        <v>177</v>
      </c>
      <c r="G44" s="38">
        <v>41729</v>
      </c>
    </row>
    <row r="45" spans="1:7" x14ac:dyDescent="0.2">
      <c r="A45" s="27" t="s">
        <v>3696</v>
      </c>
      <c r="B45" s="325" t="s">
        <v>3309</v>
      </c>
      <c r="D45" s="72">
        <v>24500</v>
      </c>
      <c r="E45" s="27" t="s">
        <v>3697</v>
      </c>
      <c r="F45" s="27" t="s">
        <v>177</v>
      </c>
      <c r="G45" s="38">
        <v>41729</v>
      </c>
    </row>
    <row r="46" spans="1:7" x14ac:dyDescent="0.2">
      <c r="A46" s="27" t="s">
        <v>3696</v>
      </c>
      <c r="B46" s="325" t="s">
        <v>3310</v>
      </c>
      <c r="D46" s="72">
        <v>5500</v>
      </c>
      <c r="E46" s="27" t="s">
        <v>3697</v>
      </c>
      <c r="F46" s="27" t="s">
        <v>177</v>
      </c>
      <c r="G46" s="38">
        <v>41729</v>
      </c>
    </row>
    <row r="47" spans="1:7" x14ac:dyDescent="0.2">
      <c r="A47" s="27" t="s">
        <v>3696</v>
      </c>
      <c r="B47" s="325" t="s">
        <v>3311</v>
      </c>
      <c r="D47" s="72">
        <v>14900</v>
      </c>
      <c r="E47" s="27" t="s">
        <v>3697</v>
      </c>
      <c r="F47" s="27" t="s">
        <v>177</v>
      </c>
      <c r="G47" s="38">
        <v>41729</v>
      </c>
    </row>
    <row r="48" spans="1:7" x14ac:dyDescent="0.2">
      <c r="A48" s="27" t="s">
        <v>3696</v>
      </c>
      <c r="B48" s="325" t="s">
        <v>3312</v>
      </c>
      <c r="D48" s="72">
        <v>28660</v>
      </c>
      <c r="E48" s="27" t="s">
        <v>3697</v>
      </c>
      <c r="F48" s="27" t="s">
        <v>177</v>
      </c>
      <c r="G48" s="38">
        <v>41729</v>
      </c>
    </row>
    <row r="49" spans="1:7" x14ac:dyDescent="0.2">
      <c r="A49" s="27" t="s">
        <v>3696</v>
      </c>
      <c r="B49" s="325" t="s">
        <v>3313</v>
      </c>
      <c r="D49" s="72">
        <v>316900</v>
      </c>
      <c r="E49" s="27" t="s">
        <v>3697</v>
      </c>
      <c r="F49" s="27" t="s">
        <v>177</v>
      </c>
      <c r="G49" s="38">
        <v>41729</v>
      </c>
    </row>
    <row r="50" spans="1:7" x14ac:dyDescent="0.2">
      <c r="A50" s="27" t="s">
        <v>3696</v>
      </c>
      <c r="B50" s="325" t="s">
        <v>3314</v>
      </c>
      <c r="D50" s="72">
        <v>20000</v>
      </c>
      <c r="E50" s="27" t="s">
        <v>3697</v>
      </c>
      <c r="F50" s="27" t="s">
        <v>177</v>
      </c>
      <c r="G50" s="38">
        <v>41729</v>
      </c>
    </row>
    <row r="51" spans="1:7" x14ac:dyDescent="0.2">
      <c r="A51" s="27" t="s">
        <v>3696</v>
      </c>
      <c r="B51" s="325" t="s">
        <v>3315</v>
      </c>
      <c r="D51" s="72">
        <v>27629</v>
      </c>
      <c r="E51" s="27" t="s">
        <v>3697</v>
      </c>
      <c r="F51" s="27" t="s">
        <v>177</v>
      </c>
      <c r="G51" s="38">
        <v>41729</v>
      </c>
    </row>
    <row r="52" spans="1:7" x14ac:dyDescent="0.2">
      <c r="A52" s="27" t="s">
        <v>3696</v>
      </c>
      <c r="B52" s="325" t="s">
        <v>3316</v>
      </c>
      <c r="D52" s="72">
        <v>18937</v>
      </c>
      <c r="E52" s="27" t="s">
        <v>3697</v>
      </c>
      <c r="F52" s="27" t="s">
        <v>177</v>
      </c>
      <c r="G52" s="38">
        <v>41729</v>
      </c>
    </row>
    <row r="53" spans="1:7" x14ac:dyDescent="0.2">
      <c r="A53" s="27" t="s">
        <v>3696</v>
      </c>
      <c r="B53" s="325" t="s">
        <v>3317</v>
      </c>
      <c r="D53" s="72">
        <v>23048</v>
      </c>
      <c r="E53" s="27" t="s">
        <v>3697</v>
      </c>
      <c r="F53" s="27" t="s">
        <v>177</v>
      </c>
      <c r="G53" s="38">
        <v>41729</v>
      </c>
    </row>
    <row r="54" spans="1:7" x14ac:dyDescent="0.2">
      <c r="A54" s="27" t="s">
        <v>3696</v>
      </c>
      <c r="B54" s="325" t="s">
        <v>3318</v>
      </c>
      <c r="D54" s="72">
        <v>1417</v>
      </c>
      <c r="E54" s="27" t="s">
        <v>3697</v>
      </c>
      <c r="F54" s="27" t="s">
        <v>177</v>
      </c>
      <c r="G54" s="38">
        <v>41729</v>
      </c>
    </row>
    <row r="55" spans="1:7" x14ac:dyDescent="0.2">
      <c r="A55" s="27" t="s">
        <v>3696</v>
      </c>
      <c r="B55" s="325" t="s">
        <v>3319</v>
      </c>
      <c r="D55" s="72">
        <v>1417</v>
      </c>
      <c r="E55" s="27" t="s">
        <v>3697</v>
      </c>
      <c r="F55" s="27" t="s">
        <v>177</v>
      </c>
      <c r="G55" s="38">
        <v>41729</v>
      </c>
    </row>
    <row r="56" spans="1:7" x14ac:dyDescent="0.2">
      <c r="A56" s="27" t="s">
        <v>3696</v>
      </c>
      <c r="B56" s="325" t="s">
        <v>3320</v>
      </c>
      <c r="D56" s="72">
        <v>1418</v>
      </c>
      <c r="E56" s="27" t="s">
        <v>3697</v>
      </c>
      <c r="F56" s="27" t="s">
        <v>177</v>
      </c>
      <c r="G56" s="38">
        <v>41729</v>
      </c>
    </row>
    <row r="57" spans="1:7" x14ac:dyDescent="0.2">
      <c r="A57" s="27" t="s">
        <v>3696</v>
      </c>
      <c r="B57" s="325" t="s">
        <v>3321</v>
      </c>
      <c r="D57" s="72">
        <v>1134</v>
      </c>
      <c r="E57" s="27" t="s">
        <v>3697</v>
      </c>
      <c r="F57" s="27" t="s">
        <v>177</v>
      </c>
      <c r="G57" s="38">
        <v>41729</v>
      </c>
    </row>
    <row r="58" spans="1:7" x14ac:dyDescent="0.2">
      <c r="A58" s="27" t="s">
        <v>3696</v>
      </c>
      <c r="B58" s="325" t="s">
        <v>3322</v>
      </c>
      <c r="D58" s="72">
        <v>7941</v>
      </c>
      <c r="E58" s="27" t="s">
        <v>3697</v>
      </c>
      <c r="F58" s="27" t="s">
        <v>177</v>
      </c>
      <c r="G58" s="38">
        <v>41729</v>
      </c>
    </row>
    <row r="59" spans="1:7" x14ac:dyDescent="0.2">
      <c r="A59" s="27" t="s">
        <v>3696</v>
      </c>
      <c r="B59" s="325" t="s">
        <v>3323</v>
      </c>
      <c r="D59" s="72">
        <v>2059</v>
      </c>
      <c r="E59" s="27" t="s">
        <v>3697</v>
      </c>
      <c r="F59" s="27" t="s">
        <v>177</v>
      </c>
      <c r="G59" s="38">
        <v>41729</v>
      </c>
    </row>
    <row r="60" spans="1:7" x14ac:dyDescent="0.2">
      <c r="A60" s="27" t="s">
        <v>3696</v>
      </c>
      <c r="B60" s="325" t="s">
        <v>3324</v>
      </c>
      <c r="D60" s="72">
        <v>48500</v>
      </c>
      <c r="E60" s="27" t="s">
        <v>3697</v>
      </c>
      <c r="F60" s="27" t="s">
        <v>177</v>
      </c>
      <c r="G60" s="38">
        <v>41729</v>
      </c>
    </row>
    <row r="61" spans="1:7" x14ac:dyDescent="0.2">
      <c r="A61" s="27" t="s">
        <v>3696</v>
      </c>
      <c r="B61" s="325" t="s">
        <v>3325</v>
      </c>
      <c r="D61" s="72">
        <v>42820</v>
      </c>
      <c r="E61" s="27" t="s">
        <v>3697</v>
      </c>
      <c r="F61" s="27" t="s">
        <v>177</v>
      </c>
      <c r="G61" s="38">
        <v>41729</v>
      </c>
    </row>
    <row r="62" spans="1:7" x14ac:dyDescent="0.2">
      <c r="A62" s="27" t="s">
        <v>3696</v>
      </c>
      <c r="B62" s="325" t="s">
        <v>3326</v>
      </c>
      <c r="D62" s="72">
        <v>66000</v>
      </c>
      <c r="E62" s="27" t="s">
        <v>3697</v>
      </c>
      <c r="F62" s="27" t="s">
        <v>177</v>
      </c>
      <c r="G62" s="38">
        <v>41729</v>
      </c>
    </row>
    <row r="63" spans="1:7" x14ac:dyDescent="0.2">
      <c r="A63" s="27" t="s">
        <v>3696</v>
      </c>
      <c r="B63" s="325" t="s">
        <v>3327</v>
      </c>
      <c r="D63" s="72">
        <v>20000</v>
      </c>
      <c r="E63" s="27" t="s">
        <v>3697</v>
      </c>
      <c r="F63" s="27" t="s">
        <v>177</v>
      </c>
      <c r="G63" s="38">
        <v>41729</v>
      </c>
    </row>
    <row r="64" spans="1:7" x14ac:dyDescent="0.2">
      <c r="A64" s="27" t="s">
        <v>3696</v>
      </c>
      <c r="B64" s="325" t="s">
        <v>3328</v>
      </c>
      <c r="D64" s="72">
        <v>138000</v>
      </c>
      <c r="E64" s="27" t="s">
        <v>3697</v>
      </c>
      <c r="F64" s="27" t="s">
        <v>177</v>
      </c>
      <c r="G64" s="38">
        <v>41729</v>
      </c>
    </row>
    <row r="65" spans="1:7" x14ac:dyDescent="0.2">
      <c r="A65" s="27" t="s">
        <v>3696</v>
      </c>
      <c r="B65" s="325" t="s">
        <v>3329</v>
      </c>
      <c r="D65" s="72">
        <v>85700</v>
      </c>
      <c r="E65" s="27" t="s">
        <v>3697</v>
      </c>
      <c r="F65" s="27" t="s">
        <v>177</v>
      </c>
      <c r="G65" s="38">
        <v>41729</v>
      </c>
    </row>
    <row r="66" spans="1:7" x14ac:dyDescent="0.2">
      <c r="A66" s="27" t="s">
        <v>3696</v>
      </c>
      <c r="B66" s="325" t="s">
        <v>3330</v>
      </c>
      <c r="D66" s="72">
        <v>139000</v>
      </c>
      <c r="E66" s="27" t="s">
        <v>3697</v>
      </c>
      <c r="F66" s="27" t="s">
        <v>177</v>
      </c>
      <c r="G66" s="38">
        <v>41729</v>
      </c>
    </row>
    <row r="67" spans="1:7" x14ac:dyDescent="0.2">
      <c r="A67" s="27" t="s">
        <v>3696</v>
      </c>
      <c r="B67" s="325" t="s">
        <v>3331</v>
      </c>
      <c r="D67" s="72">
        <v>30000</v>
      </c>
      <c r="E67" s="27" t="s">
        <v>3697</v>
      </c>
      <c r="F67" s="27" t="s">
        <v>177</v>
      </c>
      <c r="G67" s="38">
        <v>41729</v>
      </c>
    </row>
    <row r="68" spans="1:7" x14ac:dyDescent="0.2">
      <c r="A68" s="27" t="s">
        <v>3696</v>
      </c>
      <c r="B68" s="325" t="s">
        <v>3332</v>
      </c>
      <c r="D68" s="72">
        <v>8000</v>
      </c>
      <c r="E68" s="27" t="s">
        <v>3697</v>
      </c>
      <c r="F68" s="27" t="s">
        <v>177</v>
      </c>
      <c r="G68" s="38">
        <v>41729</v>
      </c>
    </row>
    <row r="69" spans="1:7" x14ac:dyDescent="0.2">
      <c r="A69" s="27" t="s">
        <v>3696</v>
      </c>
      <c r="B69" s="325" t="s">
        <v>3333</v>
      </c>
      <c r="D69" s="72">
        <v>8000</v>
      </c>
      <c r="E69" s="27" t="s">
        <v>3697</v>
      </c>
      <c r="F69" s="27" t="s">
        <v>177</v>
      </c>
      <c r="G69" s="38">
        <v>41729</v>
      </c>
    </row>
    <row r="70" spans="1:7" x14ac:dyDescent="0.2">
      <c r="A70" s="27" t="s">
        <v>3696</v>
      </c>
      <c r="B70" s="325" t="s">
        <v>3334</v>
      </c>
      <c r="D70" s="72">
        <v>15000</v>
      </c>
      <c r="E70" s="27" t="s">
        <v>3697</v>
      </c>
      <c r="F70" s="27" t="s">
        <v>177</v>
      </c>
      <c r="G70" s="38">
        <v>41729</v>
      </c>
    </row>
    <row r="71" spans="1:7" x14ac:dyDescent="0.2">
      <c r="A71" s="27" t="s">
        <v>3696</v>
      </c>
      <c r="B71" s="325" t="s">
        <v>3335</v>
      </c>
      <c r="D71" s="72">
        <v>2042000</v>
      </c>
      <c r="E71" s="27" t="s">
        <v>3697</v>
      </c>
      <c r="F71" s="27" t="s">
        <v>177</v>
      </c>
      <c r="G71" s="38">
        <v>41729</v>
      </c>
    </row>
    <row r="72" spans="1:7" x14ac:dyDescent="0.2">
      <c r="A72" s="27" t="s">
        <v>3696</v>
      </c>
      <c r="B72" s="325" t="s">
        <v>3337</v>
      </c>
      <c r="D72" s="72">
        <v>99900</v>
      </c>
      <c r="E72" s="27" t="s">
        <v>3697</v>
      </c>
      <c r="F72" s="27" t="s">
        <v>177</v>
      </c>
      <c r="G72" s="38">
        <v>41729</v>
      </c>
    </row>
    <row r="73" spans="1:7" x14ac:dyDescent="0.2">
      <c r="A73" s="27" t="s">
        <v>3696</v>
      </c>
      <c r="B73" s="325" t="s">
        <v>3338</v>
      </c>
      <c r="D73" s="72">
        <v>21440</v>
      </c>
      <c r="E73" s="27" t="s">
        <v>3697</v>
      </c>
      <c r="F73" s="27" t="s">
        <v>177</v>
      </c>
      <c r="G73" s="38">
        <v>41729</v>
      </c>
    </row>
    <row r="74" spans="1:7" x14ac:dyDescent="0.2">
      <c r="A74" s="27" t="s">
        <v>3696</v>
      </c>
      <c r="B74" s="325" t="s">
        <v>3339</v>
      </c>
      <c r="D74" s="72">
        <v>276800</v>
      </c>
      <c r="E74" s="27" t="s">
        <v>3697</v>
      </c>
      <c r="F74" s="27" t="s">
        <v>177</v>
      </c>
      <c r="G74" s="38">
        <v>41729</v>
      </c>
    </row>
    <row r="75" spans="1:7" x14ac:dyDescent="0.2">
      <c r="A75" s="27" t="s">
        <v>3696</v>
      </c>
      <c r="B75" s="325" t="s">
        <v>3340</v>
      </c>
      <c r="D75" s="72">
        <v>51000</v>
      </c>
      <c r="E75" s="27" t="s">
        <v>3697</v>
      </c>
      <c r="F75" s="27" t="s">
        <v>177</v>
      </c>
      <c r="G75" s="38">
        <v>41729</v>
      </c>
    </row>
    <row r="76" spans="1:7" x14ac:dyDescent="0.2">
      <c r="A76" s="27" t="s">
        <v>3696</v>
      </c>
      <c r="B76" s="325" t="s">
        <v>3341</v>
      </c>
      <c r="D76" s="72">
        <v>104420</v>
      </c>
      <c r="E76" s="27" t="s">
        <v>3697</v>
      </c>
      <c r="F76" s="27" t="s">
        <v>177</v>
      </c>
      <c r="G76" s="38">
        <v>41729</v>
      </c>
    </row>
    <row r="77" spans="1:7" x14ac:dyDescent="0.2">
      <c r="A77" s="27" t="s">
        <v>3696</v>
      </c>
      <c r="B77" s="325" t="s">
        <v>3342</v>
      </c>
      <c r="D77" s="72">
        <v>99900</v>
      </c>
      <c r="E77" s="27" t="s">
        <v>3697</v>
      </c>
      <c r="F77" s="27" t="s">
        <v>177</v>
      </c>
      <c r="G77" s="38">
        <v>41729</v>
      </c>
    </row>
    <row r="78" spans="1:7" x14ac:dyDescent="0.2">
      <c r="A78" s="27" t="s">
        <v>3696</v>
      </c>
      <c r="B78" s="325" t="s">
        <v>3343</v>
      </c>
      <c r="D78" s="72">
        <v>30000</v>
      </c>
      <c r="E78" s="27" t="s">
        <v>3697</v>
      </c>
      <c r="F78" s="27" t="s">
        <v>177</v>
      </c>
      <c r="G78" s="38">
        <v>41729</v>
      </c>
    </row>
    <row r="79" spans="1:7" x14ac:dyDescent="0.2">
      <c r="A79" s="27" t="s">
        <v>3696</v>
      </c>
      <c r="B79" s="325" t="s">
        <v>3344</v>
      </c>
      <c r="D79" s="72">
        <v>8000</v>
      </c>
      <c r="E79" s="27" t="s">
        <v>3697</v>
      </c>
      <c r="F79" s="27" t="s">
        <v>177</v>
      </c>
      <c r="G79" s="38">
        <v>41729</v>
      </c>
    </row>
    <row r="80" spans="1:7" x14ac:dyDescent="0.2">
      <c r="A80" s="27" t="s">
        <v>3696</v>
      </c>
      <c r="B80" s="325" t="s">
        <v>3345</v>
      </c>
      <c r="D80" s="72">
        <v>8000</v>
      </c>
      <c r="E80" s="27" t="s">
        <v>3697</v>
      </c>
      <c r="F80" s="27" t="s">
        <v>177</v>
      </c>
      <c r="G80" s="38">
        <v>41729</v>
      </c>
    </row>
    <row r="81" spans="1:7" x14ac:dyDescent="0.2">
      <c r="A81" s="27" t="s">
        <v>3696</v>
      </c>
      <c r="B81" s="325" t="s">
        <v>3346</v>
      </c>
      <c r="D81" s="72">
        <v>8000</v>
      </c>
      <c r="E81" s="27" t="s">
        <v>3697</v>
      </c>
      <c r="F81" s="27" t="s">
        <v>177</v>
      </c>
      <c r="G81" s="38">
        <v>41729</v>
      </c>
    </row>
    <row r="82" spans="1:7" x14ac:dyDescent="0.2">
      <c r="A82" s="27" t="s">
        <v>3696</v>
      </c>
      <c r="B82" s="325" t="s">
        <v>3347</v>
      </c>
      <c r="D82" s="72">
        <v>71000</v>
      </c>
      <c r="E82" s="27" t="s">
        <v>3697</v>
      </c>
      <c r="F82" s="27" t="s">
        <v>177</v>
      </c>
      <c r="G82" s="38">
        <v>41729</v>
      </c>
    </row>
    <row r="83" spans="1:7" x14ac:dyDescent="0.2">
      <c r="A83" s="27" t="s">
        <v>3696</v>
      </c>
      <c r="B83" s="325" t="s">
        <v>3348</v>
      </c>
      <c r="D83" s="72">
        <v>44620</v>
      </c>
      <c r="E83" s="27" t="s">
        <v>3697</v>
      </c>
      <c r="F83" s="27" t="s">
        <v>177</v>
      </c>
      <c r="G83" s="38">
        <v>41729</v>
      </c>
    </row>
    <row r="84" spans="1:7" x14ac:dyDescent="0.2">
      <c r="A84" s="27" t="s">
        <v>3696</v>
      </c>
      <c r="B84" s="325" t="s">
        <v>3349</v>
      </c>
      <c r="D84" s="72">
        <v>37800</v>
      </c>
      <c r="E84" s="27" t="s">
        <v>3697</v>
      </c>
      <c r="F84" s="27" t="s">
        <v>177</v>
      </c>
      <c r="G84" s="38">
        <v>41729</v>
      </c>
    </row>
    <row r="85" spans="1:7" x14ac:dyDescent="0.2">
      <c r="A85" s="27" t="s">
        <v>3696</v>
      </c>
      <c r="B85" s="325" t="s">
        <v>3350</v>
      </c>
      <c r="D85" s="72">
        <v>10000</v>
      </c>
      <c r="E85" s="27" t="s">
        <v>3697</v>
      </c>
      <c r="F85" s="27" t="s">
        <v>177</v>
      </c>
      <c r="G85" s="38">
        <v>41729</v>
      </c>
    </row>
    <row r="86" spans="1:7" x14ac:dyDescent="0.2">
      <c r="A86" s="27" t="s">
        <v>3696</v>
      </c>
      <c r="B86" s="325" t="s">
        <v>3351</v>
      </c>
      <c r="D86" s="72">
        <v>8000</v>
      </c>
      <c r="E86" s="27" t="s">
        <v>3697</v>
      </c>
      <c r="F86" s="27" t="s">
        <v>177</v>
      </c>
      <c r="G86" s="38">
        <v>41729</v>
      </c>
    </row>
    <row r="87" spans="1:7" x14ac:dyDescent="0.2">
      <c r="A87" s="27" t="s">
        <v>3696</v>
      </c>
      <c r="B87" s="325" t="s">
        <v>3352</v>
      </c>
      <c r="D87" s="72">
        <v>8000</v>
      </c>
      <c r="E87" s="27" t="s">
        <v>3697</v>
      </c>
      <c r="F87" s="27" t="s">
        <v>177</v>
      </c>
      <c r="G87" s="38">
        <v>41729</v>
      </c>
    </row>
    <row r="88" spans="1:7" x14ac:dyDescent="0.2">
      <c r="A88" s="27" t="s">
        <v>3696</v>
      </c>
      <c r="B88" s="325" t="s">
        <v>3353</v>
      </c>
      <c r="D88" s="72">
        <v>74500</v>
      </c>
      <c r="E88" s="27" t="s">
        <v>3697</v>
      </c>
      <c r="F88" s="27" t="s">
        <v>177</v>
      </c>
      <c r="G88" s="38">
        <v>41729</v>
      </c>
    </row>
    <row r="89" spans="1:7" x14ac:dyDescent="0.2">
      <c r="A89" s="27" t="s">
        <v>3696</v>
      </c>
      <c r="B89" s="325" t="s">
        <v>3354</v>
      </c>
      <c r="D89" s="72">
        <v>61280</v>
      </c>
      <c r="E89" s="27" t="s">
        <v>3697</v>
      </c>
      <c r="F89" s="27" t="s">
        <v>177</v>
      </c>
      <c r="G89" s="38">
        <v>41729</v>
      </c>
    </row>
    <row r="90" spans="1:7" x14ac:dyDescent="0.2">
      <c r="A90" s="27" t="s">
        <v>3696</v>
      </c>
      <c r="B90" s="325" t="s">
        <v>3355</v>
      </c>
      <c r="D90" s="72">
        <v>66040</v>
      </c>
      <c r="E90" s="27" t="s">
        <v>3697</v>
      </c>
      <c r="F90" s="27" t="s">
        <v>177</v>
      </c>
      <c r="G90" s="38">
        <v>41729</v>
      </c>
    </row>
    <row r="91" spans="1:7" x14ac:dyDescent="0.2">
      <c r="A91" s="27" t="s">
        <v>3696</v>
      </c>
      <c r="B91" s="325" t="s">
        <v>3356</v>
      </c>
      <c r="D91" s="72">
        <v>10000</v>
      </c>
      <c r="E91" s="27" t="s">
        <v>3697</v>
      </c>
      <c r="F91" s="27" t="s">
        <v>177</v>
      </c>
      <c r="G91" s="38">
        <v>41729</v>
      </c>
    </row>
    <row r="92" spans="1:7" x14ac:dyDescent="0.2">
      <c r="A92" s="27" t="s">
        <v>3696</v>
      </c>
      <c r="B92" s="325" t="s">
        <v>3357</v>
      </c>
      <c r="D92" s="72">
        <v>8000</v>
      </c>
      <c r="E92" s="27" t="s">
        <v>3697</v>
      </c>
      <c r="F92" s="27" t="s">
        <v>177</v>
      </c>
      <c r="G92" s="38">
        <v>41729</v>
      </c>
    </row>
    <row r="93" spans="1:7" x14ac:dyDescent="0.2">
      <c r="A93" s="27" t="s">
        <v>3696</v>
      </c>
      <c r="B93" s="325" t="s">
        <v>3358</v>
      </c>
      <c r="D93" s="72">
        <v>8000</v>
      </c>
      <c r="E93" s="27" t="s">
        <v>3697</v>
      </c>
      <c r="F93" s="27" t="s">
        <v>177</v>
      </c>
      <c r="G93" s="38">
        <v>41729</v>
      </c>
    </row>
    <row r="94" spans="1:7" x14ac:dyDescent="0.2">
      <c r="A94" s="27" t="s">
        <v>3696</v>
      </c>
      <c r="B94" s="325" t="s">
        <v>3359</v>
      </c>
      <c r="D94" s="72">
        <v>35000</v>
      </c>
      <c r="E94" s="27" t="s">
        <v>3697</v>
      </c>
      <c r="F94" s="27" t="s">
        <v>177</v>
      </c>
      <c r="G94" s="38">
        <v>41729</v>
      </c>
    </row>
    <row r="95" spans="1:7" x14ac:dyDescent="0.2">
      <c r="A95" s="27" t="s">
        <v>3696</v>
      </c>
      <c r="B95" s="325" t="s">
        <v>3360</v>
      </c>
      <c r="D95" s="72">
        <v>8500</v>
      </c>
      <c r="E95" s="27" t="s">
        <v>3697</v>
      </c>
      <c r="F95" s="27" t="s">
        <v>177</v>
      </c>
      <c r="G95" s="38">
        <v>41729</v>
      </c>
    </row>
    <row r="96" spans="1:7" x14ac:dyDescent="0.2">
      <c r="A96" s="27" t="s">
        <v>3696</v>
      </c>
      <c r="B96" s="325" t="s">
        <v>3361</v>
      </c>
      <c r="D96" s="72">
        <v>10000</v>
      </c>
      <c r="E96" s="27" t="s">
        <v>3697</v>
      </c>
      <c r="F96" s="27" t="s">
        <v>177</v>
      </c>
      <c r="G96" s="38">
        <v>41729</v>
      </c>
    </row>
    <row r="97" spans="1:7" x14ac:dyDescent="0.2">
      <c r="A97" s="27" t="s">
        <v>3696</v>
      </c>
      <c r="B97" s="325" t="s">
        <v>3362</v>
      </c>
      <c r="D97" s="72">
        <v>8000</v>
      </c>
      <c r="E97" s="27" t="s">
        <v>3697</v>
      </c>
      <c r="F97" s="27" t="s">
        <v>177</v>
      </c>
      <c r="G97" s="38">
        <v>41729</v>
      </c>
    </row>
    <row r="98" spans="1:7" x14ac:dyDescent="0.2">
      <c r="A98" s="27" t="s">
        <v>3696</v>
      </c>
      <c r="B98" s="325" t="s">
        <v>3363</v>
      </c>
      <c r="D98" s="72">
        <v>64000</v>
      </c>
      <c r="E98" s="27" t="s">
        <v>3697</v>
      </c>
      <c r="F98" s="27" t="s">
        <v>177</v>
      </c>
      <c r="G98" s="38">
        <v>41729</v>
      </c>
    </row>
    <row r="99" spans="1:7" x14ac:dyDescent="0.2">
      <c r="A99" s="27" t="s">
        <v>3696</v>
      </c>
      <c r="B99" s="325" t="s">
        <v>3364</v>
      </c>
      <c r="D99" s="72">
        <v>19280</v>
      </c>
      <c r="E99" s="27" t="s">
        <v>3697</v>
      </c>
      <c r="F99" s="27" t="s">
        <v>177</v>
      </c>
      <c r="G99" s="38">
        <v>41729</v>
      </c>
    </row>
    <row r="100" spans="1:7" x14ac:dyDescent="0.2">
      <c r="A100" s="27" t="s">
        <v>3696</v>
      </c>
      <c r="B100" s="325" t="s">
        <v>3365</v>
      </c>
      <c r="D100" s="72">
        <v>2429223</v>
      </c>
      <c r="E100" s="27" t="s">
        <v>3697</v>
      </c>
      <c r="F100" s="27" t="s">
        <v>177</v>
      </c>
      <c r="G100" s="38">
        <v>41729</v>
      </c>
    </row>
    <row r="101" spans="1:7" x14ac:dyDescent="0.2">
      <c r="A101" s="27" t="s">
        <v>3696</v>
      </c>
      <c r="B101" s="325" t="s">
        <v>3367</v>
      </c>
      <c r="D101" s="72">
        <v>1149928</v>
      </c>
      <c r="E101" s="27" t="s">
        <v>3697</v>
      </c>
      <c r="F101" s="27" t="s">
        <v>177</v>
      </c>
      <c r="G101" s="38">
        <v>41729</v>
      </c>
    </row>
    <row r="102" spans="1:7" x14ac:dyDescent="0.2">
      <c r="A102" s="27" t="s">
        <v>3696</v>
      </c>
      <c r="B102" s="325" t="s">
        <v>3368</v>
      </c>
      <c r="D102" s="72">
        <v>1159511</v>
      </c>
      <c r="E102" s="27" t="s">
        <v>3697</v>
      </c>
      <c r="F102" s="27" t="s">
        <v>177</v>
      </c>
      <c r="G102" s="38">
        <v>41729</v>
      </c>
    </row>
    <row r="103" spans="1:7" x14ac:dyDescent="0.2">
      <c r="A103" s="27" t="s">
        <v>3696</v>
      </c>
      <c r="B103" s="325" t="s">
        <v>3369</v>
      </c>
      <c r="D103" s="72">
        <v>1095626</v>
      </c>
      <c r="E103" s="27" t="s">
        <v>3697</v>
      </c>
      <c r="F103" s="27" t="s">
        <v>177</v>
      </c>
      <c r="G103" s="38">
        <v>41729</v>
      </c>
    </row>
    <row r="104" spans="1:7" x14ac:dyDescent="0.2">
      <c r="A104" s="27" t="s">
        <v>3696</v>
      </c>
      <c r="B104" s="325" t="s">
        <v>3370</v>
      </c>
      <c r="D104" s="72">
        <v>79856</v>
      </c>
      <c r="E104" s="27" t="s">
        <v>3697</v>
      </c>
      <c r="F104" s="27" t="s">
        <v>177</v>
      </c>
      <c r="G104" s="38">
        <v>41729</v>
      </c>
    </row>
    <row r="105" spans="1:7" x14ac:dyDescent="0.2">
      <c r="A105" s="27" t="s">
        <v>3696</v>
      </c>
      <c r="B105" s="325" t="s">
        <v>3371</v>
      </c>
      <c r="D105" s="72">
        <v>79856</v>
      </c>
      <c r="E105" s="27" t="s">
        <v>3697</v>
      </c>
      <c r="F105" s="27" t="s">
        <v>177</v>
      </c>
      <c r="G105" s="38">
        <v>41729</v>
      </c>
    </row>
    <row r="106" spans="1:7" x14ac:dyDescent="0.2">
      <c r="A106" s="27" t="s">
        <v>3696</v>
      </c>
      <c r="B106" s="325" t="s">
        <v>3372</v>
      </c>
      <c r="D106" s="72">
        <v>238000</v>
      </c>
      <c r="E106" s="27" t="s">
        <v>3697</v>
      </c>
      <c r="F106" s="27" t="s">
        <v>177</v>
      </c>
      <c r="G106" s="38">
        <v>41729</v>
      </c>
    </row>
    <row r="107" spans="1:7" x14ac:dyDescent="0.2">
      <c r="A107" s="27" t="s">
        <v>3696</v>
      </c>
      <c r="B107" s="325" t="s">
        <v>3373</v>
      </c>
      <c r="D107" s="72">
        <v>92000</v>
      </c>
      <c r="E107" s="27" t="s">
        <v>3697</v>
      </c>
      <c r="F107" s="27" t="s">
        <v>177</v>
      </c>
      <c r="G107" s="38">
        <v>41729</v>
      </c>
    </row>
    <row r="108" spans="1:7" x14ac:dyDescent="0.2">
      <c r="A108" s="27" t="s">
        <v>3696</v>
      </c>
      <c r="B108" s="325" t="s">
        <v>3374</v>
      </c>
      <c r="D108" s="72">
        <v>16720</v>
      </c>
      <c r="E108" s="27" t="s">
        <v>3697</v>
      </c>
      <c r="F108" s="27" t="s">
        <v>177</v>
      </c>
      <c r="G108" s="38">
        <v>41729</v>
      </c>
    </row>
    <row r="109" spans="1:7" x14ac:dyDescent="0.2">
      <c r="A109" s="27" t="s">
        <v>3696</v>
      </c>
      <c r="B109" s="325" t="s">
        <v>3375</v>
      </c>
      <c r="D109" s="72">
        <v>13600</v>
      </c>
      <c r="E109" s="27" t="s">
        <v>3697</v>
      </c>
      <c r="F109" s="27" t="s">
        <v>177</v>
      </c>
      <c r="G109" s="38">
        <v>41729</v>
      </c>
    </row>
    <row r="110" spans="1:7" x14ac:dyDescent="0.2">
      <c r="A110" s="27" t="s">
        <v>3696</v>
      </c>
      <c r="B110" s="325" t="s">
        <v>3376</v>
      </c>
      <c r="D110" s="72">
        <v>198300</v>
      </c>
      <c r="E110" s="27" t="s">
        <v>3697</v>
      </c>
      <c r="F110" s="27" t="s">
        <v>177</v>
      </c>
      <c r="G110" s="38">
        <v>41729</v>
      </c>
    </row>
    <row r="111" spans="1:7" x14ac:dyDescent="0.2">
      <c r="A111" s="27" t="s">
        <v>3696</v>
      </c>
      <c r="B111" s="325" t="s">
        <v>3377</v>
      </c>
      <c r="D111" s="72">
        <v>75820</v>
      </c>
      <c r="E111" s="27" t="s">
        <v>3697</v>
      </c>
      <c r="F111" s="27" t="s">
        <v>177</v>
      </c>
      <c r="G111" s="38">
        <v>41729</v>
      </c>
    </row>
    <row r="112" spans="1:7" x14ac:dyDescent="0.2">
      <c r="A112" s="27" t="s">
        <v>3696</v>
      </c>
      <c r="B112" s="325" t="s">
        <v>3378</v>
      </c>
      <c r="D112" s="72">
        <v>8000</v>
      </c>
      <c r="E112" s="27" t="s">
        <v>3697</v>
      </c>
      <c r="F112" s="27" t="s">
        <v>177</v>
      </c>
      <c r="G112" s="38">
        <v>41729</v>
      </c>
    </row>
    <row r="113" spans="1:7" x14ac:dyDescent="0.2">
      <c r="A113" s="27" t="s">
        <v>3696</v>
      </c>
      <c r="B113" s="325" t="s">
        <v>3379</v>
      </c>
      <c r="D113" s="72">
        <v>102240</v>
      </c>
      <c r="E113" s="27" t="s">
        <v>3697</v>
      </c>
      <c r="F113" s="27" t="s">
        <v>177</v>
      </c>
      <c r="G113" s="38">
        <v>41729</v>
      </c>
    </row>
    <row r="114" spans="1:7" x14ac:dyDescent="0.2">
      <c r="A114" s="27" t="s">
        <v>3696</v>
      </c>
      <c r="B114" s="325" t="s">
        <v>3380</v>
      </c>
      <c r="D114" s="72">
        <v>138000</v>
      </c>
      <c r="E114" s="27" t="s">
        <v>3697</v>
      </c>
      <c r="F114" s="27" t="s">
        <v>177</v>
      </c>
      <c r="G114" s="38">
        <v>41729</v>
      </c>
    </row>
    <row r="115" spans="1:7" x14ac:dyDescent="0.2">
      <c r="A115" s="27" t="s">
        <v>3696</v>
      </c>
      <c r="B115" s="325" t="s">
        <v>3381</v>
      </c>
      <c r="D115" s="72">
        <v>108000</v>
      </c>
      <c r="E115" s="27" t="s">
        <v>3697</v>
      </c>
      <c r="F115" s="27" t="s">
        <v>177</v>
      </c>
      <c r="G115" s="38">
        <v>41729</v>
      </c>
    </row>
    <row r="116" spans="1:7" x14ac:dyDescent="0.2">
      <c r="A116" s="27" t="s">
        <v>3696</v>
      </c>
      <c r="B116" s="325" t="s">
        <v>3382</v>
      </c>
      <c r="D116" s="72">
        <v>19240</v>
      </c>
      <c r="E116" s="27" t="s">
        <v>3697</v>
      </c>
      <c r="F116" s="27" t="s">
        <v>177</v>
      </c>
      <c r="G116" s="38">
        <v>41729</v>
      </c>
    </row>
    <row r="117" spans="1:7" x14ac:dyDescent="0.2">
      <c r="A117" s="27" t="s">
        <v>3696</v>
      </c>
      <c r="B117" s="325" t="s">
        <v>3383</v>
      </c>
      <c r="D117" s="72">
        <v>20600</v>
      </c>
      <c r="E117" s="27" t="s">
        <v>3697</v>
      </c>
      <c r="F117" s="27" t="s">
        <v>177</v>
      </c>
      <c r="G117" s="38">
        <v>41729</v>
      </c>
    </row>
    <row r="118" spans="1:7" x14ac:dyDescent="0.2">
      <c r="A118" s="27" t="s">
        <v>3696</v>
      </c>
      <c r="B118" s="325" t="s">
        <v>3384</v>
      </c>
      <c r="D118" s="72">
        <v>162000</v>
      </c>
      <c r="E118" s="27" t="s">
        <v>3697</v>
      </c>
      <c r="F118" s="27" t="s">
        <v>177</v>
      </c>
      <c r="G118" s="38">
        <v>41729</v>
      </c>
    </row>
    <row r="119" spans="1:7" x14ac:dyDescent="0.2">
      <c r="A119" s="27" t="s">
        <v>3696</v>
      </c>
      <c r="B119" s="325" t="s">
        <v>3385</v>
      </c>
      <c r="D119" s="72">
        <v>717660</v>
      </c>
      <c r="E119" s="27" t="s">
        <v>3697</v>
      </c>
      <c r="F119" s="27" t="s">
        <v>177</v>
      </c>
      <c r="G119" s="38">
        <v>41729</v>
      </c>
    </row>
    <row r="120" spans="1:7" x14ac:dyDescent="0.2">
      <c r="A120" s="27" t="s">
        <v>3696</v>
      </c>
      <c r="B120" s="325" t="s">
        <v>3386</v>
      </c>
      <c r="D120" s="72">
        <v>599400</v>
      </c>
      <c r="E120" s="27" t="s">
        <v>3697</v>
      </c>
      <c r="F120" s="27" t="s">
        <v>177</v>
      </c>
      <c r="G120" s="38">
        <v>41729</v>
      </c>
    </row>
    <row r="121" spans="1:7" x14ac:dyDescent="0.2">
      <c r="A121" s="27" t="s">
        <v>3696</v>
      </c>
      <c r="B121" s="325" t="s">
        <v>3389</v>
      </c>
      <c r="D121" s="72">
        <v>224500</v>
      </c>
      <c r="E121" s="27" t="s">
        <v>3697</v>
      </c>
      <c r="F121" s="27" t="s">
        <v>177</v>
      </c>
      <c r="G121" s="38">
        <v>41729</v>
      </c>
    </row>
    <row r="122" spans="1:7" x14ac:dyDescent="0.2">
      <c r="A122" s="27" t="s">
        <v>3696</v>
      </c>
      <c r="B122" s="325" t="s">
        <v>3390</v>
      </c>
      <c r="D122" s="72">
        <v>630500</v>
      </c>
      <c r="E122" s="27" t="s">
        <v>3697</v>
      </c>
      <c r="F122" s="27" t="s">
        <v>177</v>
      </c>
      <c r="G122" s="38">
        <v>41729</v>
      </c>
    </row>
    <row r="123" spans="1:7" x14ac:dyDescent="0.2">
      <c r="A123" s="27" t="s">
        <v>3696</v>
      </c>
      <c r="B123" s="325" t="s">
        <v>3391</v>
      </c>
      <c r="D123" s="72">
        <v>372000</v>
      </c>
      <c r="E123" s="27" t="s">
        <v>3697</v>
      </c>
      <c r="F123" s="27" t="s">
        <v>177</v>
      </c>
      <c r="G123" s="38">
        <v>41729</v>
      </c>
    </row>
    <row r="124" spans="1:7" x14ac:dyDescent="0.2">
      <c r="A124" s="27" t="s">
        <v>3696</v>
      </c>
      <c r="B124" s="325" t="s">
        <v>3392</v>
      </c>
      <c r="D124" s="72">
        <v>100000</v>
      </c>
      <c r="E124" s="27" t="s">
        <v>3697</v>
      </c>
      <c r="F124" s="27" t="s">
        <v>177</v>
      </c>
      <c r="G124" s="38">
        <v>41729</v>
      </c>
    </row>
    <row r="125" spans="1:7" x14ac:dyDescent="0.2">
      <c r="A125" s="27" t="s">
        <v>3696</v>
      </c>
      <c r="B125" s="325" t="s">
        <v>3393</v>
      </c>
      <c r="D125" s="72">
        <v>118800</v>
      </c>
      <c r="E125" s="27" t="s">
        <v>3697</v>
      </c>
      <c r="F125" s="27" t="s">
        <v>177</v>
      </c>
      <c r="G125" s="38">
        <v>41729</v>
      </c>
    </row>
    <row r="126" spans="1:7" x14ac:dyDescent="0.2">
      <c r="A126" s="27" t="s">
        <v>3696</v>
      </c>
      <c r="B126" s="325" t="s">
        <v>3394</v>
      </c>
      <c r="D126" s="72">
        <v>667000</v>
      </c>
      <c r="E126" s="27" t="s">
        <v>3697</v>
      </c>
      <c r="F126" s="27" t="s">
        <v>177</v>
      </c>
      <c r="G126" s="38">
        <v>41729</v>
      </c>
    </row>
    <row r="127" spans="1:7" x14ac:dyDescent="0.2">
      <c r="A127" s="27" t="s">
        <v>3696</v>
      </c>
      <c r="B127" s="325" t="s">
        <v>3396</v>
      </c>
      <c r="D127" s="72">
        <v>548000</v>
      </c>
      <c r="E127" s="27" t="s">
        <v>3697</v>
      </c>
      <c r="F127" s="27" t="s">
        <v>177</v>
      </c>
      <c r="G127" s="38">
        <v>41729</v>
      </c>
    </row>
    <row r="128" spans="1:7" x14ac:dyDescent="0.2">
      <c r="A128" s="27" t="s">
        <v>3696</v>
      </c>
      <c r="B128" s="325" t="s">
        <v>3398</v>
      </c>
      <c r="D128" s="72">
        <v>2306000</v>
      </c>
      <c r="E128" s="27" t="s">
        <v>3697</v>
      </c>
      <c r="F128" s="27" t="s">
        <v>177</v>
      </c>
      <c r="G128" s="38">
        <v>41729</v>
      </c>
    </row>
    <row r="129" spans="1:7" x14ac:dyDescent="0.2">
      <c r="A129" s="27" t="s">
        <v>3696</v>
      </c>
      <c r="B129" s="325" t="s">
        <v>3400</v>
      </c>
      <c r="D129" s="72">
        <v>365109</v>
      </c>
      <c r="E129" s="27" t="s">
        <v>3697</v>
      </c>
      <c r="F129" s="27" t="s">
        <v>177</v>
      </c>
      <c r="G129" s="38">
        <v>41729</v>
      </c>
    </row>
    <row r="130" spans="1:7" x14ac:dyDescent="0.2">
      <c r="A130" s="27" t="s">
        <v>3696</v>
      </c>
      <c r="B130" s="325" t="s">
        <v>3402</v>
      </c>
      <c r="D130" s="72">
        <v>410650</v>
      </c>
      <c r="E130" s="27" t="s">
        <v>3697</v>
      </c>
      <c r="F130" s="27" t="s">
        <v>177</v>
      </c>
      <c r="G130" s="38">
        <v>41729</v>
      </c>
    </row>
    <row r="131" spans="1:7" x14ac:dyDescent="0.2">
      <c r="A131" s="27" t="s">
        <v>3696</v>
      </c>
      <c r="B131" s="325" t="s">
        <v>3404</v>
      </c>
      <c r="D131" s="72">
        <v>399950</v>
      </c>
      <c r="E131" s="27" t="s">
        <v>3697</v>
      </c>
      <c r="F131" s="27" t="s">
        <v>177</v>
      </c>
      <c r="G131" s="38">
        <v>41729</v>
      </c>
    </row>
    <row r="132" spans="1:7" x14ac:dyDescent="0.2">
      <c r="A132" s="27" t="s">
        <v>3696</v>
      </c>
      <c r="B132" s="325" t="s">
        <v>3405</v>
      </c>
      <c r="D132" s="72">
        <v>141000</v>
      </c>
      <c r="E132" s="27" t="s">
        <v>3697</v>
      </c>
      <c r="F132" s="27" t="s">
        <v>177</v>
      </c>
      <c r="G132" s="38">
        <v>41729</v>
      </c>
    </row>
    <row r="133" spans="1:7" x14ac:dyDescent="0.2">
      <c r="A133" s="27" t="s">
        <v>3696</v>
      </c>
      <c r="B133" s="325" t="s">
        <v>3408</v>
      </c>
      <c r="D133" s="72">
        <v>1100280</v>
      </c>
      <c r="E133" s="27" t="s">
        <v>3697</v>
      </c>
      <c r="F133" s="27" t="s">
        <v>177</v>
      </c>
      <c r="G133" s="38">
        <v>41729</v>
      </c>
    </row>
    <row r="134" spans="1:7" x14ac:dyDescent="0.2">
      <c r="A134" s="27" t="s">
        <v>3696</v>
      </c>
      <c r="B134" s="325" t="s">
        <v>3410</v>
      </c>
      <c r="D134" s="72">
        <v>3107500</v>
      </c>
      <c r="E134" s="27" t="s">
        <v>3697</v>
      </c>
      <c r="F134" s="27" t="s">
        <v>177</v>
      </c>
      <c r="G134" s="38">
        <v>41729</v>
      </c>
    </row>
    <row r="135" spans="1:7" x14ac:dyDescent="0.2">
      <c r="A135" s="27" t="s">
        <v>3696</v>
      </c>
      <c r="B135" s="327" t="s">
        <v>3411</v>
      </c>
      <c r="C135" s="142"/>
      <c r="D135" s="142">
        <v>1120000</v>
      </c>
      <c r="E135" s="27" t="s">
        <v>3697</v>
      </c>
      <c r="F135" s="27" t="s">
        <v>177</v>
      </c>
      <c r="G135" s="38">
        <v>41729</v>
      </c>
    </row>
    <row r="136" spans="1:7" x14ac:dyDescent="0.2">
      <c r="A136" s="27" t="s">
        <v>3696</v>
      </c>
      <c r="B136" s="325" t="s">
        <v>3412</v>
      </c>
      <c r="D136" s="72">
        <v>1273000</v>
      </c>
      <c r="E136" s="27" t="s">
        <v>3697</v>
      </c>
      <c r="F136" s="27" t="s">
        <v>177</v>
      </c>
      <c r="G136" s="38">
        <v>41729</v>
      </c>
    </row>
    <row r="137" spans="1:7" x14ac:dyDescent="0.2">
      <c r="A137" s="27" t="s">
        <v>3696</v>
      </c>
      <c r="B137" s="325" t="s">
        <v>3413</v>
      </c>
      <c r="D137" s="72">
        <v>233000</v>
      </c>
      <c r="E137" s="27" t="s">
        <v>3697</v>
      </c>
      <c r="F137" s="27" t="s">
        <v>177</v>
      </c>
      <c r="G137" s="38">
        <v>41729</v>
      </c>
    </row>
    <row r="138" spans="1:7" x14ac:dyDescent="0.2">
      <c r="A138" s="27" t="s">
        <v>3696</v>
      </c>
      <c r="B138" s="325" t="s">
        <v>3414</v>
      </c>
      <c r="D138" s="72">
        <v>552000</v>
      </c>
      <c r="E138" s="27" t="s">
        <v>3697</v>
      </c>
      <c r="F138" s="27" t="s">
        <v>177</v>
      </c>
      <c r="G138" s="38">
        <v>41729</v>
      </c>
    </row>
    <row r="139" spans="1:7" x14ac:dyDescent="0.2">
      <c r="A139" s="27" t="s">
        <v>3696</v>
      </c>
      <c r="B139" s="325" t="s">
        <v>3429</v>
      </c>
      <c r="D139" s="72">
        <v>1172000</v>
      </c>
      <c r="E139" s="27" t="s">
        <v>3697</v>
      </c>
      <c r="F139" s="27" t="s">
        <v>177</v>
      </c>
      <c r="G139" s="38">
        <v>41729</v>
      </c>
    </row>
    <row r="140" spans="1:7" x14ac:dyDescent="0.2">
      <c r="A140" s="27" t="s">
        <v>3696</v>
      </c>
      <c r="B140" s="325" t="s">
        <v>3430</v>
      </c>
      <c r="D140" s="72">
        <v>2484300</v>
      </c>
      <c r="E140" s="27" t="s">
        <v>3697</v>
      </c>
      <c r="F140" s="27" t="s">
        <v>177</v>
      </c>
      <c r="G140" s="38">
        <v>41729</v>
      </c>
    </row>
    <row r="141" spans="1:7" x14ac:dyDescent="0.2">
      <c r="A141" s="27" t="s">
        <v>3696</v>
      </c>
      <c r="B141" s="325" t="s">
        <v>3432</v>
      </c>
      <c r="D141" s="72">
        <v>284300</v>
      </c>
      <c r="E141" s="27" t="s">
        <v>3697</v>
      </c>
      <c r="F141" s="27" t="s">
        <v>177</v>
      </c>
      <c r="G141" s="38">
        <v>41729</v>
      </c>
    </row>
    <row r="142" spans="1:7" x14ac:dyDescent="0.2">
      <c r="A142" s="27" t="s">
        <v>3696</v>
      </c>
      <c r="B142" s="325" t="s">
        <v>3434</v>
      </c>
      <c r="D142" s="72">
        <v>284300</v>
      </c>
      <c r="E142" s="27" t="s">
        <v>3697</v>
      </c>
      <c r="F142" s="27" t="s">
        <v>177</v>
      </c>
      <c r="G142" s="38">
        <v>41729</v>
      </c>
    </row>
    <row r="143" spans="1:7" x14ac:dyDescent="0.2">
      <c r="A143" s="27" t="s">
        <v>3696</v>
      </c>
      <c r="B143" s="325" t="s">
        <v>3436</v>
      </c>
      <c r="D143" s="72">
        <v>340000</v>
      </c>
      <c r="E143" s="27" t="s">
        <v>3697</v>
      </c>
      <c r="F143" s="27" t="s">
        <v>177</v>
      </c>
      <c r="G143" s="38">
        <v>41729</v>
      </c>
    </row>
    <row r="144" spans="1:7" x14ac:dyDescent="0.2">
      <c r="A144" s="27" t="s">
        <v>3696</v>
      </c>
      <c r="B144" s="325" t="s">
        <v>3438</v>
      </c>
      <c r="D144" s="72">
        <v>137000</v>
      </c>
      <c r="E144" s="27" t="s">
        <v>3697</v>
      </c>
      <c r="F144" s="27" t="s">
        <v>177</v>
      </c>
      <c r="G144" s="38">
        <v>41729</v>
      </c>
    </row>
    <row r="145" spans="1:7" x14ac:dyDescent="0.2">
      <c r="A145" s="27" t="s">
        <v>3696</v>
      </c>
      <c r="B145" s="325" t="s">
        <v>3440</v>
      </c>
      <c r="D145" s="72">
        <v>646500</v>
      </c>
      <c r="E145" s="27" t="s">
        <v>3697</v>
      </c>
      <c r="F145" s="27" t="s">
        <v>177</v>
      </c>
      <c r="G145" s="38">
        <v>41729</v>
      </c>
    </row>
    <row r="146" spans="1:7" x14ac:dyDescent="0.2">
      <c r="A146" s="27" t="s">
        <v>3696</v>
      </c>
      <c r="B146" s="325" t="s">
        <v>3446</v>
      </c>
      <c r="D146" s="72">
        <v>657750</v>
      </c>
      <c r="E146" s="27" t="s">
        <v>3697</v>
      </c>
      <c r="F146" s="27" t="s">
        <v>177</v>
      </c>
      <c r="G146" s="38">
        <v>41729</v>
      </c>
    </row>
    <row r="147" spans="1:7" x14ac:dyDescent="0.2">
      <c r="A147" s="27" t="s">
        <v>3696</v>
      </c>
      <c r="B147" s="325" t="s">
        <v>3448</v>
      </c>
      <c r="D147" s="72">
        <v>171000</v>
      </c>
      <c r="E147" s="27" t="s">
        <v>3697</v>
      </c>
      <c r="F147" s="27" t="s">
        <v>177</v>
      </c>
      <c r="G147" s="38">
        <v>41729</v>
      </c>
    </row>
    <row r="148" spans="1:7" x14ac:dyDescent="0.2">
      <c r="A148" s="27" t="s">
        <v>3696</v>
      </c>
      <c r="B148" s="325" t="s">
        <v>3449</v>
      </c>
      <c r="D148" s="72">
        <v>27000</v>
      </c>
      <c r="E148" s="27" t="s">
        <v>3697</v>
      </c>
      <c r="F148" s="27" t="s">
        <v>177</v>
      </c>
      <c r="G148" s="38">
        <v>41729</v>
      </c>
    </row>
    <row r="149" spans="1:7" x14ac:dyDescent="0.2">
      <c r="A149" s="27" t="s">
        <v>3696</v>
      </c>
      <c r="B149" s="325" t="s">
        <v>3450</v>
      </c>
      <c r="D149" s="72">
        <v>150000</v>
      </c>
      <c r="E149" s="27" t="s">
        <v>3697</v>
      </c>
      <c r="F149" s="27" t="s">
        <v>177</v>
      </c>
      <c r="G149" s="38">
        <v>41729</v>
      </c>
    </row>
    <row r="150" spans="1:7" x14ac:dyDescent="0.2">
      <c r="A150" s="27" t="s">
        <v>3696</v>
      </c>
      <c r="B150" s="325" t="s">
        <v>3451</v>
      </c>
      <c r="D150" s="72">
        <v>1228000</v>
      </c>
      <c r="E150" s="27" t="s">
        <v>3697</v>
      </c>
      <c r="F150" s="27" t="s">
        <v>177</v>
      </c>
      <c r="G150" s="38">
        <v>41729</v>
      </c>
    </row>
    <row r="151" spans="1:7" x14ac:dyDescent="0.2">
      <c r="A151" s="27" t="s">
        <v>3696</v>
      </c>
      <c r="B151" s="325" t="s">
        <v>3452</v>
      </c>
      <c r="D151" s="72">
        <v>427000</v>
      </c>
      <c r="E151" s="27" t="s">
        <v>3697</v>
      </c>
      <c r="F151" s="27" t="s">
        <v>177</v>
      </c>
      <c r="G151" s="38">
        <v>41729</v>
      </c>
    </row>
    <row r="152" spans="1:7" x14ac:dyDescent="0.2">
      <c r="A152" s="27" t="s">
        <v>3696</v>
      </c>
      <c r="B152" s="325" t="s">
        <v>3456</v>
      </c>
      <c r="D152" s="72">
        <v>737000</v>
      </c>
      <c r="E152" s="27" t="s">
        <v>3697</v>
      </c>
      <c r="F152" s="27" t="s">
        <v>177</v>
      </c>
      <c r="G152" s="38">
        <v>41729</v>
      </c>
    </row>
    <row r="153" spans="1:7" x14ac:dyDescent="0.2">
      <c r="A153" s="27" t="s">
        <v>3696</v>
      </c>
      <c r="B153" s="325" t="s">
        <v>3458</v>
      </c>
      <c r="D153" s="72">
        <v>69500</v>
      </c>
      <c r="E153" s="27" t="s">
        <v>3697</v>
      </c>
      <c r="F153" s="27" t="s">
        <v>177</v>
      </c>
      <c r="G153" s="38">
        <v>41729</v>
      </c>
    </row>
    <row r="154" spans="1:7" x14ac:dyDescent="0.2">
      <c r="A154" s="27" t="s">
        <v>3696</v>
      </c>
      <c r="B154" s="325" t="s">
        <v>3460</v>
      </c>
      <c r="D154" s="72">
        <v>89200</v>
      </c>
      <c r="E154" s="27" t="s">
        <v>3697</v>
      </c>
      <c r="F154" s="27" t="s">
        <v>177</v>
      </c>
      <c r="G154" s="38">
        <v>41729</v>
      </c>
    </row>
    <row r="155" spans="1:7" x14ac:dyDescent="0.2">
      <c r="A155" s="27" t="s">
        <v>3696</v>
      </c>
      <c r="B155" s="325" t="s">
        <v>3462</v>
      </c>
      <c r="D155" s="72">
        <v>122000</v>
      </c>
      <c r="E155" s="27" t="s">
        <v>3697</v>
      </c>
      <c r="F155" s="27" t="s">
        <v>177</v>
      </c>
      <c r="G155" s="38">
        <v>41729</v>
      </c>
    </row>
    <row r="156" spans="1:7" x14ac:dyDescent="0.2">
      <c r="A156" s="27" t="s">
        <v>3696</v>
      </c>
      <c r="B156" s="325" t="s">
        <v>3464</v>
      </c>
      <c r="D156" s="72">
        <v>1008000</v>
      </c>
      <c r="E156" s="27" t="s">
        <v>3697</v>
      </c>
      <c r="F156" s="27" t="s">
        <v>177</v>
      </c>
      <c r="G156" s="38">
        <v>41729</v>
      </c>
    </row>
    <row r="157" spans="1:7" x14ac:dyDescent="0.2">
      <c r="A157" s="27" t="s">
        <v>3696</v>
      </c>
      <c r="B157" s="325" t="s">
        <v>3468</v>
      </c>
      <c r="D157" s="72">
        <v>2000000</v>
      </c>
      <c r="E157" s="27" t="s">
        <v>3697</v>
      </c>
      <c r="F157" s="27" t="s">
        <v>177</v>
      </c>
      <c r="G157" s="38">
        <v>41729</v>
      </c>
    </row>
    <row r="158" spans="1:7" x14ac:dyDescent="0.2">
      <c r="A158" s="27" t="s">
        <v>3696</v>
      </c>
      <c r="B158" s="325" t="s">
        <v>3474</v>
      </c>
      <c r="D158" s="72">
        <v>1156000</v>
      </c>
      <c r="E158" s="27" t="s">
        <v>3697</v>
      </c>
      <c r="F158" s="27" t="s">
        <v>177</v>
      </c>
      <c r="G158" s="38">
        <v>41729</v>
      </c>
    </row>
    <row r="159" spans="1:7" x14ac:dyDescent="0.2">
      <c r="A159" s="27" t="s">
        <v>3696</v>
      </c>
      <c r="B159" s="325" t="s">
        <v>3476</v>
      </c>
      <c r="D159" s="72">
        <v>100000</v>
      </c>
      <c r="E159" s="27" t="s">
        <v>3697</v>
      </c>
      <c r="F159" s="27" t="s">
        <v>177</v>
      </c>
      <c r="G159" s="38">
        <v>41729</v>
      </c>
    </row>
    <row r="160" spans="1:7" x14ac:dyDescent="0.2">
      <c r="A160" s="27" t="s">
        <v>3696</v>
      </c>
      <c r="B160" s="325" t="s">
        <v>3478</v>
      </c>
      <c r="D160" s="72">
        <v>59740</v>
      </c>
      <c r="E160" s="27" t="s">
        <v>3697</v>
      </c>
      <c r="F160" s="27" t="s">
        <v>177</v>
      </c>
      <c r="G160" s="38">
        <v>41729</v>
      </c>
    </row>
    <row r="161" spans="1:7" x14ac:dyDescent="0.2">
      <c r="A161" s="27" t="s">
        <v>3696</v>
      </c>
      <c r="B161" s="325" t="s">
        <v>3480</v>
      </c>
      <c r="D161" s="72">
        <v>60200</v>
      </c>
      <c r="E161" s="27" t="s">
        <v>3697</v>
      </c>
      <c r="F161" s="27" t="s">
        <v>177</v>
      </c>
      <c r="G161" s="38">
        <v>41729</v>
      </c>
    </row>
    <row r="162" spans="1:7" x14ac:dyDescent="0.2">
      <c r="A162" s="27" t="s">
        <v>3696</v>
      </c>
      <c r="B162" s="325" t="s">
        <v>3482</v>
      </c>
      <c r="D162" s="72">
        <v>800000</v>
      </c>
      <c r="E162" s="27" t="s">
        <v>3697</v>
      </c>
      <c r="F162" s="27" t="s">
        <v>177</v>
      </c>
      <c r="G162" s="38">
        <v>41729</v>
      </c>
    </row>
    <row r="163" spans="1:7" x14ac:dyDescent="0.2">
      <c r="A163" s="27" t="s">
        <v>3696</v>
      </c>
      <c r="B163" s="325" t="s">
        <v>3486</v>
      </c>
      <c r="D163" s="72">
        <v>90000</v>
      </c>
      <c r="E163" s="27" t="s">
        <v>3697</v>
      </c>
      <c r="F163" s="27" t="s">
        <v>177</v>
      </c>
      <c r="G163" s="38">
        <v>41729</v>
      </c>
    </row>
    <row r="164" spans="1:7" x14ac:dyDescent="0.2">
      <c r="A164" s="27" t="s">
        <v>3696</v>
      </c>
      <c r="B164" s="325" t="s">
        <v>3487</v>
      </c>
      <c r="D164" s="72">
        <v>78000</v>
      </c>
      <c r="E164" s="27" t="s">
        <v>3697</v>
      </c>
      <c r="F164" s="27" t="s">
        <v>177</v>
      </c>
      <c r="G164" s="38">
        <v>41729</v>
      </c>
    </row>
    <row r="165" spans="1:7" x14ac:dyDescent="0.2">
      <c r="A165" s="27" t="s">
        <v>3696</v>
      </c>
      <c r="B165" s="325" t="s">
        <v>3489</v>
      </c>
      <c r="D165" s="72">
        <v>416000</v>
      </c>
      <c r="E165" s="27" t="s">
        <v>3697</v>
      </c>
      <c r="F165" s="27" t="s">
        <v>177</v>
      </c>
      <c r="G165" s="38">
        <v>41729</v>
      </c>
    </row>
    <row r="166" spans="1:7" x14ac:dyDescent="0.2">
      <c r="A166" s="27" t="s">
        <v>3696</v>
      </c>
      <c r="B166" s="325" t="s">
        <v>3494</v>
      </c>
      <c r="D166" s="72">
        <v>568500</v>
      </c>
      <c r="E166" s="27" t="s">
        <v>3697</v>
      </c>
      <c r="F166" s="27" t="s">
        <v>177</v>
      </c>
      <c r="G166" s="38">
        <v>41729</v>
      </c>
    </row>
    <row r="167" spans="1:7" x14ac:dyDescent="0.2">
      <c r="A167" s="27" t="s">
        <v>3696</v>
      </c>
      <c r="B167" s="325" t="s">
        <v>3495</v>
      </c>
      <c r="D167" s="72">
        <v>84000</v>
      </c>
      <c r="E167" s="27" t="s">
        <v>3697</v>
      </c>
      <c r="F167" s="27" t="s">
        <v>177</v>
      </c>
      <c r="G167" s="38">
        <v>41729</v>
      </c>
    </row>
    <row r="168" spans="1:7" x14ac:dyDescent="0.2">
      <c r="A168" s="27" t="s">
        <v>3696</v>
      </c>
      <c r="B168" s="325" t="s">
        <v>3496</v>
      </c>
      <c r="D168" s="72">
        <v>78000</v>
      </c>
      <c r="E168" s="27" t="s">
        <v>3697</v>
      </c>
      <c r="F168" s="27" t="s">
        <v>177</v>
      </c>
      <c r="G168" s="38">
        <v>41729</v>
      </c>
    </row>
    <row r="169" spans="1:7" x14ac:dyDescent="0.2">
      <c r="A169" s="27" t="s">
        <v>3696</v>
      </c>
      <c r="B169" s="326" t="s">
        <v>3497</v>
      </c>
      <c r="D169" s="72">
        <v>11500000</v>
      </c>
      <c r="E169" s="27" t="s">
        <v>3697</v>
      </c>
      <c r="F169" s="27" t="s">
        <v>177</v>
      </c>
      <c r="G169" s="38">
        <v>41729</v>
      </c>
    </row>
    <row r="170" spans="1:7" x14ac:dyDescent="0.2">
      <c r="A170" s="27" t="s">
        <v>3696</v>
      </c>
      <c r="B170" s="326" t="s">
        <v>3502</v>
      </c>
      <c r="D170" s="72">
        <v>182000</v>
      </c>
      <c r="E170" s="27" t="s">
        <v>3697</v>
      </c>
      <c r="F170" s="27" t="s">
        <v>177</v>
      </c>
      <c r="G170" s="38">
        <v>41729</v>
      </c>
    </row>
    <row r="171" spans="1:7" x14ac:dyDescent="0.2">
      <c r="A171" s="27" t="s">
        <v>3696</v>
      </c>
      <c r="B171" s="325" t="s">
        <v>3504</v>
      </c>
      <c r="D171" s="72">
        <v>2432800</v>
      </c>
      <c r="E171" s="27" t="s">
        <v>3697</v>
      </c>
      <c r="F171" s="27" t="s">
        <v>177</v>
      </c>
      <c r="G171" s="38">
        <v>41729</v>
      </c>
    </row>
    <row r="172" spans="1:7" x14ac:dyDescent="0.2">
      <c r="A172" s="27" t="s">
        <v>3696</v>
      </c>
      <c r="B172" s="325" t="s">
        <v>3506</v>
      </c>
      <c r="D172" s="72">
        <v>624600</v>
      </c>
      <c r="E172" s="27" t="s">
        <v>3697</v>
      </c>
      <c r="F172" s="27" t="s">
        <v>177</v>
      </c>
      <c r="G172" s="38">
        <v>41729</v>
      </c>
    </row>
    <row r="173" spans="1:7" x14ac:dyDescent="0.2">
      <c r="A173" s="27" t="s">
        <v>3696</v>
      </c>
      <c r="B173" s="325" t="s">
        <v>3508</v>
      </c>
      <c r="D173" s="72">
        <v>363500</v>
      </c>
      <c r="E173" s="27" t="s">
        <v>3697</v>
      </c>
      <c r="F173" s="27" t="s">
        <v>177</v>
      </c>
      <c r="G173" s="38">
        <v>41729</v>
      </c>
    </row>
    <row r="174" spans="1:7" x14ac:dyDescent="0.2">
      <c r="A174" s="27" t="s">
        <v>3696</v>
      </c>
      <c r="B174" s="325" t="s">
        <v>3511</v>
      </c>
      <c r="D174" s="72">
        <v>9013060</v>
      </c>
      <c r="E174" s="27" t="s">
        <v>3697</v>
      </c>
      <c r="F174" s="27" t="s">
        <v>177</v>
      </c>
      <c r="G174" s="38">
        <v>41729</v>
      </c>
    </row>
    <row r="175" spans="1:7" x14ac:dyDescent="0.2">
      <c r="A175" s="27" t="s">
        <v>3696</v>
      </c>
      <c r="B175" s="325" t="s">
        <v>3513</v>
      </c>
      <c r="D175" s="72">
        <v>10369222</v>
      </c>
      <c r="E175" s="27" t="s">
        <v>3697</v>
      </c>
      <c r="F175" s="27" t="s">
        <v>177</v>
      </c>
      <c r="G175" s="38">
        <v>41729</v>
      </c>
    </row>
    <row r="176" spans="1:7" x14ac:dyDescent="0.2">
      <c r="A176" s="27" t="s">
        <v>3696</v>
      </c>
      <c r="B176" s="325" t="s">
        <v>3515</v>
      </c>
      <c r="D176" s="72">
        <v>2494000</v>
      </c>
      <c r="E176" s="27" t="s">
        <v>3697</v>
      </c>
      <c r="F176" s="27" t="s">
        <v>177</v>
      </c>
      <c r="G176" s="38">
        <v>41729</v>
      </c>
    </row>
    <row r="177" spans="1:7" x14ac:dyDescent="0.2">
      <c r="A177" s="27" t="s">
        <v>3696</v>
      </c>
      <c r="B177" s="325" t="s">
        <v>3518</v>
      </c>
      <c r="D177" s="72">
        <v>200000</v>
      </c>
      <c r="E177" s="27" t="s">
        <v>3697</v>
      </c>
      <c r="F177" s="27" t="s">
        <v>177</v>
      </c>
      <c r="G177" s="38">
        <v>41729</v>
      </c>
    </row>
    <row r="178" spans="1:7" x14ac:dyDescent="0.2">
      <c r="A178" s="27" t="s">
        <v>3696</v>
      </c>
      <c r="B178" s="325" t="s">
        <v>3521</v>
      </c>
      <c r="D178" s="72">
        <v>1200000</v>
      </c>
      <c r="E178" s="27" t="s">
        <v>3697</v>
      </c>
      <c r="F178" s="27" t="s">
        <v>177</v>
      </c>
      <c r="G178" s="38">
        <v>41729</v>
      </c>
    </row>
    <row r="179" spans="1:7" x14ac:dyDescent="0.2">
      <c r="A179" s="27" t="s">
        <v>3696</v>
      </c>
      <c r="B179" s="325" t="s">
        <v>3524</v>
      </c>
      <c r="D179" s="72">
        <v>180000</v>
      </c>
      <c r="E179" s="27" t="s">
        <v>3697</v>
      </c>
      <c r="F179" s="27" t="s">
        <v>177</v>
      </c>
      <c r="G179" s="38">
        <v>41729</v>
      </c>
    </row>
    <row r="180" spans="1:7" x14ac:dyDescent="0.2">
      <c r="A180" s="27" t="s">
        <v>3696</v>
      </c>
      <c r="B180" s="325" t="s">
        <v>3525</v>
      </c>
      <c r="D180" s="72">
        <v>520200</v>
      </c>
      <c r="E180" s="27" t="s">
        <v>3697</v>
      </c>
      <c r="F180" s="27" t="s">
        <v>177</v>
      </c>
      <c r="G180" s="38">
        <v>41729</v>
      </c>
    </row>
    <row r="181" spans="1:7" x14ac:dyDescent="0.2">
      <c r="A181" s="27" t="s">
        <v>3696</v>
      </c>
      <c r="B181" s="325" t="s">
        <v>3527</v>
      </c>
      <c r="D181" s="72">
        <v>453000</v>
      </c>
      <c r="E181" s="27" t="s">
        <v>3697</v>
      </c>
      <c r="F181" s="27" t="s">
        <v>177</v>
      </c>
      <c r="G181" s="38">
        <v>41729</v>
      </c>
    </row>
    <row r="182" spans="1:7" x14ac:dyDescent="0.2">
      <c r="A182" s="27" t="s">
        <v>3696</v>
      </c>
      <c r="B182" s="325" t="s">
        <v>3532</v>
      </c>
      <c r="D182" s="72">
        <v>300000</v>
      </c>
      <c r="E182" s="27" t="s">
        <v>3697</v>
      </c>
      <c r="F182" s="27" t="s">
        <v>177</v>
      </c>
      <c r="G182" s="38">
        <v>41729</v>
      </c>
    </row>
    <row r="183" spans="1:7" x14ac:dyDescent="0.2">
      <c r="A183" s="27" t="s">
        <v>3696</v>
      </c>
      <c r="B183" s="325" t="s">
        <v>3534</v>
      </c>
      <c r="D183" s="72">
        <v>4000000</v>
      </c>
      <c r="E183" s="27" t="s">
        <v>3697</v>
      </c>
      <c r="F183" s="27" t="s">
        <v>177</v>
      </c>
      <c r="G183" s="38">
        <v>41729</v>
      </c>
    </row>
    <row r="184" spans="1:7" x14ac:dyDescent="0.2">
      <c r="A184" s="27" t="s">
        <v>3696</v>
      </c>
      <c r="B184" s="325" t="s">
        <v>3536</v>
      </c>
      <c r="D184" s="72">
        <v>1000000</v>
      </c>
      <c r="E184" s="27" t="s">
        <v>3697</v>
      </c>
      <c r="F184" s="27" t="s">
        <v>177</v>
      </c>
      <c r="G184" s="38">
        <v>41729</v>
      </c>
    </row>
    <row r="185" spans="1:7" x14ac:dyDescent="0.2">
      <c r="A185" s="27" t="s">
        <v>3696</v>
      </c>
      <c r="B185" s="325" t="s">
        <v>3537</v>
      </c>
      <c r="D185" s="72">
        <v>10000</v>
      </c>
      <c r="E185" s="27" t="s">
        <v>3697</v>
      </c>
      <c r="F185" s="27" t="s">
        <v>177</v>
      </c>
      <c r="G185" s="38">
        <v>41729</v>
      </c>
    </row>
    <row r="186" spans="1:7" x14ac:dyDescent="0.2">
      <c r="A186" s="27" t="s">
        <v>3696</v>
      </c>
      <c r="B186" s="325" t="s">
        <v>3539</v>
      </c>
      <c r="D186" s="72">
        <v>195000</v>
      </c>
      <c r="E186" s="27" t="s">
        <v>3697</v>
      </c>
      <c r="F186" s="27" t="s">
        <v>177</v>
      </c>
      <c r="G186" s="38">
        <v>41729</v>
      </c>
    </row>
    <row r="187" spans="1:7" x14ac:dyDescent="0.2">
      <c r="A187" s="27" t="s">
        <v>3696</v>
      </c>
      <c r="B187" s="326" t="s">
        <v>3540</v>
      </c>
      <c r="D187" s="72">
        <v>1000000</v>
      </c>
      <c r="E187" s="27" t="s">
        <v>3697</v>
      </c>
      <c r="F187" s="27" t="s">
        <v>177</v>
      </c>
      <c r="G187" s="38">
        <v>41729</v>
      </c>
    </row>
    <row r="188" spans="1:7" x14ac:dyDescent="0.2">
      <c r="A188" s="27" t="s">
        <v>3696</v>
      </c>
      <c r="B188" s="325" t="s">
        <v>3541</v>
      </c>
      <c r="D188" s="72">
        <v>1500000</v>
      </c>
      <c r="E188" s="27" t="s">
        <v>3697</v>
      </c>
      <c r="F188" s="27" t="s">
        <v>177</v>
      </c>
      <c r="G188" s="38">
        <v>41729</v>
      </c>
    </row>
    <row r="189" spans="1:7" x14ac:dyDescent="0.2">
      <c r="A189" s="27" t="s">
        <v>3696</v>
      </c>
      <c r="B189" s="325" t="s">
        <v>3542</v>
      </c>
      <c r="D189" s="72">
        <v>150000</v>
      </c>
      <c r="E189" s="27" t="s">
        <v>3697</v>
      </c>
      <c r="F189" s="27" t="s">
        <v>177</v>
      </c>
      <c r="G189" s="38">
        <v>41729</v>
      </c>
    </row>
    <row r="190" spans="1:7" x14ac:dyDescent="0.2">
      <c r="A190" s="27" t="s">
        <v>3696</v>
      </c>
      <c r="B190" s="325" t="s">
        <v>3543</v>
      </c>
      <c r="D190" s="72">
        <v>50000</v>
      </c>
      <c r="E190" s="27" t="s">
        <v>3697</v>
      </c>
      <c r="F190" s="27" t="s">
        <v>177</v>
      </c>
      <c r="G190" s="38">
        <v>41729</v>
      </c>
    </row>
    <row r="191" spans="1:7" x14ac:dyDescent="0.2">
      <c r="A191" s="27" t="s">
        <v>3696</v>
      </c>
      <c r="B191" s="325" t="s">
        <v>3545</v>
      </c>
      <c r="D191" s="72">
        <v>3000000</v>
      </c>
      <c r="E191" s="27" t="s">
        <v>3697</v>
      </c>
      <c r="F191" s="27" t="s">
        <v>177</v>
      </c>
      <c r="G191" s="38">
        <v>41729</v>
      </c>
    </row>
    <row r="192" spans="1:7" x14ac:dyDescent="0.2">
      <c r="A192" s="27" t="s">
        <v>3696</v>
      </c>
      <c r="B192" s="325" t="s">
        <v>3546</v>
      </c>
      <c r="D192" s="72">
        <v>535000</v>
      </c>
      <c r="E192" s="27" t="s">
        <v>3697</v>
      </c>
      <c r="F192" s="27" t="s">
        <v>177</v>
      </c>
      <c r="G192" s="38">
        <v>41729</v>
      </c>
    </row>
    <row r="193" spans="1:7" x14ac:dyDescent="0.2">
      <c r="A193" s="27" t="s">
        <v>3696</v>
      </c>
      <c r="B193" s="325" t="s">
        <v>3558</v>
      </c>
      <c r="D193" s="72">
        <v>212000</v>
      </c>
      <c r="E193" s="27" t="s">
        <v>3697</v>
      </c>
      <c r="F193" s="27" t="s">
        <v>177</v>
      </c>
      <c r="G193" s="38">
        <v>41729</v>
      </c>
    </row>
    <row r="194" spans="1:7" x14ac:dyDescent="0.2">
      <c r="A194" s="27" t="s">
        <v>3696</v>
      </c>
      <c r="B194" s="325" t="s">
        <v>3544</v>
      </c>
      <c r="D194" s="72">
        <v>380000</v>
      </c>
      <c r="E194" s="27" t="s">
        <v>3697</v>
      </c>
      <c r="F194" s="27" t="s">
        <v>177</v>
      </c>
      <c r="G194" s="38">
        <v>41729</v>
      </c>
    </row>
    <row r="195" spans="1:7" x14ac:dyDescent="0.2">
      <c r="A195" s="27" t="s">
        <v>3696</v>
      </c>
      <c r="B195" s="375" t="s">
        <v>3557</v>
      </c>
      <c r="D195" s="72">
        <v>2000000</v>
      </c>
      <c r="E195" s="27" t="s">
        <v>3697</v>
      </c>
      <c r="F195" s="27" t="s">
        <v>177</v>
      </c>
      <c r="G195" s="38">
        <v>41729</v>
      </c>
    </row>
    <row r="196" spans="1:7" x14ac:dyDescent="0.2">
      <c r="C196" s="131"/>
      <c r="D196" s="101"/>
    </row>
    <row r="197" spans="1:7" x14ac:dyDescent="0.2">
      <c r="C197" s="101"/>
      <c r="D197" s="101"/>
    </row>
    <row r="198" spans="1:7" x14ac:dyDescent="0.2">
      <c r="C198" s="131"/>
    </row>
    <row r="199" spans="1:7" x14ac:dyDescent="0.2">
      <c r="D199" s="101"/>
    </row>
  </sheetData>
  <conditionalFormatting sqref="B195">
    <cfRule type="duplicateValues" dxfId="6" priority="1"/>
  </conditionalFormatting>
  <conditionalFormatting sqref="C27:C28 B1:B194">
    <cfRule type="duplicateValues" dxfId="5" priority="2"/>
  </conditionalFormatting>
  <printOptions headings="1" gridLines="1"/>
  <pageMargins left="0.7" right="0.7" top="0.25" bottom="0.25" header="0.05" footer="0.0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85"/>
  <sheetViews>
    <sheetView topLeftCell="A46" workbookViewId="0"/>
  </sheetViews>
  <sheetFormatPr defaultColWidth="8.6640625" defaultRowHeight="12.75" x14ac:dyDescent="0.2"/>
  <cols>
    <col min="1" max="1" width="2.77734375" style="27" customWidth="1"/>
    <col min="2" max="2" width="14.77734375" style="27" customWidth="1"/>
    <col min="3" max="3" width="12.77734375" style="71" customWidth="1"/>
    <col min="4" max="4" width="12.77734375" style="72" customWidth="1"/>
    <col min="5" max="5" width="20.77734375" style="27" customWidth="1"/>
    <col min="6" max="6" width="4.77734375" style="27" customWidth="1"/>
    <col min="7" max="7" width="8.77734375" style="27" customWidth="1"/>
    <col min="8" max="16384" width="8.6640625" style="27"/>
  </cols>
  <sheetData>
    <row r="1" spans="1:7" x14ac:dyDescent="0.2">
      <c r="A1" s="27" t="s">
        <v>3696</v>
      </c>
      <c r="B1" s="375" t="s">
        <v>3584</v>
      </c>
      <c r="D1" s="72">
        <v>3000000</v>
      </c>
      <c r="E1" s="27" t="s">
        <v>3697</v>
      </c>
      <c r="F1" s="27" t="s">
        <v>177</v>
      </c>
      <c r="G1" s="38">
        <v>41730</v>
      </c>
    </row>
    <row r="2" spans="1:7" x14ac:dyDescent="0.2">
      <c r="A2" s="27" t="s">
        <v>3696</v>
      </c>
      <c r="B2" s="375" t="s">
        <v>3585</v>
      </c>
      <c r="D2" s="72">
        <v>6000000</v>
      </c>
      <c r="E2" s="27" t="s">
        <v>3697</v>
      </c>
      <c r="F2" s="27" t="s">
        <v>177</v>
      </c>
      <c r="G2" s="38">
        <v>41730</v>
      </c>
    </row>
    <row r="3" spans="1:7" x14ac:dyDescent="0.2">
      <c r="A3" s="27" t="s">
        <v>3696</v>
      </c>
      <c r="B3" s="375" t="s">
        <v>3583</v>
      </c>
      <c r="D3" s="72">
        <v>10000000</v>
      </c>
      <c r="E3" s="27" t="s">
        <v>3697</v>
      </c>
      <c r="F3" s="27" t="s">
        <v>177</v>
      </c>
      <c r="G3" s="38">
        <v>41730</v>
      </c>
    </row>
    <row r="4" spans="1:7" x14ac:dyDescent="0.2">
      <c r="A4" s="27" t="s">
        <v>3696</v>
      </c>
      <c r="B4" s="325" t="s">
        <v>3571</v>
      </c>
      <c r="D4" s="72">
        <v>3800000</v>
      </c>
      <c r="E4" s="27" t="s">
        <v>3697</v>
      </c>
      <c r="F4" s="27" t="s">
        <v>177</v>
      </c>
      <c r="G4" s="38">
        <v>41730</v>
      </c>
    </row>
    <row r="5" spans="1:7" x14ac:dyDescent="0.2">
      <c r="A5" s="27" t="s">
        <v>3696</v>
      </c>
      <c r="B5" s="325" t="s">
        <v>3572</v>
      </c>
      <c r="D5" s="72">
        <v>1500000</v>
      </c>
      <c r="E5" s="27" t="s">
        <v>3697</v>
      </c>
      <c r="F5" s="27" t="s">
        <v>177</v>
      </c>
      <c r="G5" s="38">
        <v>41730</v>
      </c>
    </row>
    <row r="6" spans="1:7" x14ac:dyDescent="0.2">
      <c r="A6" s="27" t="s">
        <v>3696</v>
      </c>
      <c r="B6" s="325" t="s">
        <v>3573</v>
      </c>
      <c r="D6" s="72">
        <v>1000000</v>
      </c>
      <c r="E6" s="27" t="s">
        <v>3697</v>
      </c>
      <c r="F6" s="27" t="s">
        <v>177</v>
      </c>
      <c r="G6" s="38">
        <v>41730</v>
      </c>
    </row>
    <row r="7" spans="1:7" x14ac:dyDescent="0.2">
      <c r="A7" s="27" t="s">
        <v>3696</v>
      </c>
      <c r="B7" s="325" t="s">
        <v>3575</v>
      </c>
      <c r="D7" s="72">
        <v>1000000</v>
      </c>
      <c r="E7" s="27" t="s">
        <v>3697</v>
      </c>
      <c r="F7" s="27" t="s">
        <v>177</v>
      </c>
      <c r="G7" s="38">
        <v>41730</v>
      </c>
    </row>
    <row r="8" spans="1:7" x14ac:dyDescent="0.2">
      <c r="A8" s="27" t="s">
        <v>3696</v>
      </c>
      <c r="B8" s="325" t="s">
        <v>3577</v>
      </c>
      <c r="D8" s="72">
        <v>1500000</v>
      </c>
      <c r="E8" s="27" t="s">
        <v>3697</v>
      </c>
      <c r="F8" s="27" t="s">
        <v>177</v>
      </c>
      <c r="G8" s="38">
        <v>41730</v>
      </c>
    </row>
    <row r="9" spans="1:7" x14ac:dyDescent="0.2">
      <c r="A9" s="27" t="s">
        <v>3696</v>
      </c>
      <c r="B9" s="325" t="s">
        <v>3579</v>
      </c>
      <c r="D9" s="72">
        <v>1500000</v>
      </c>
      <c r="E9" s="27" t="s">
        <v>3697</v>
      </c>
      <c r="F9" s="27" t="s">
        <v>177</v>
      </c>
      <c r="G9" s="38">
        <v>41730</v>
      </c>
    </row>
    <row r="10" spans="1:7" x14ac:dyDescent="0.2">
      <c r="A10" s="27" t="s">
        <v>3696</v>
      </c>
      <c r="B10" s="325" t="s">
        <v>3581</v>
      </c>
      <c r="D10" s="72">
        <v>800000</v>
      </c>
      <c r="E10" s="27" t="s">
        <v>3697</v>
      </c>
      <c r="F10" s="27" t="s">
        <v>177</v>
      </c>
      <c r="G10" s="38">
        <v>41730</v>
      </c>
    </row>
    <row r="11" spans="1:7" x14ac:dyDescent="0.2">
      <c r="A11" s="27" t="s">
        <v>3696</v>
      </c>
      <c r="B11" s="325" t="s">
        <v>3582</v>
      </c>
      <c r="D11" s="72">
        <v>500000</v>
      </c>
      <c r="E11" s="27" t="s">
        <v>3697</v>
      </c>
      <c r="F11" s="27" t="s">
        <v>177</v>
      </c>
      <c r="G11" s="38">
        <v>41730</v>
      </c>
    </row>
    <row r="12" spans="1:7" x14ac:dyDescent="0.2">
      <c r="A12" s="27" t="s">
        <v>3696</v>
      </c>
      <c r="B12" s="325" t="s">
        <v>3270</v>
      </c>
      <c r="D12" s="72">
        <v>3000000</v>
      </c>
      <c r="E12" s="27" t="s">
        <v>3697</v>
      </c>
      <c r="F12" s="27" t="s">
        <v>177</v>
      </c>
      <c r="G12" s="38">
        <v>41730</v>
      </c>
    </row>
    <row r="13" spans="1:7" x14ac:dyDescent="0.2">
      <c r="A13" s="27" t="s">
        <v>3696</v>
      </c>
      <c r="B13" s="325" t="s">
        <v>3272</v>
      </c>
      <c r="D13" s="72">
        <v>200000</v>
      </c>
      <c r="E13" s="27" t="s">
        <v>3697</v>
      </c>
      <c r="F13" s="27" t="s">
        <v>177</v>
      </c>
      <c r="G13" s="38">
        <v>41730</v>
      </c>
    </row>
    <row r="14" spans="1:7" x14ac:dyDescent="0.2">
      <c r="A14" s="27" t="s">
        <v>3696</v>
      </c>
      <c r="B14" s="325" t="s">
        <v>3274</v>
      </c>
      <c r="D14" s="72">
        <v>160000</v>
      </c>
      <c r="E14" s="27" t="s">
        <v>3697</v>
      </c>
      <c r="F14" s="27" t="s">
        <v>177</v>
      </c>
      <c r="G14" s="38">
        <v>41730</v>
      </c>
    </row>
    <row r="15" spans="1:7" x14ac:dyDescent="0.2">
      <c r="A15" s="27" t="s">
        <v>3696</v>
      </c>
      <c r="B15" s="325" t="s">
        <v>3275</v>
      </c>
      <c r="D15" s="72">
        <v>600000</v>
      </c>
      <c r="E15" s="27" t="s">
        <v>3697</v>
      </c>
      <c r="F15" s="27" t="s">
        <v>177</v>
      </c>
      <c r="G15" s="38">
        <v>41730</v>
      </c>
    </row>
    <row r="16" spans="1:7" x14ac:dyDescent="0.2">
      <c r="A16" s="27" t="s">
        <v>3696</v>
      </c>
      <c r="B16" s="375" t="s">
        <v>3464</v>
      </c>
      <c r="D16" s="72">
        <v>1500000</v>
      </c>
      <c r="E16" s="27" t="s">
        <v>3697</v>
      </c>
      <c r="F16" s="27" t="s">
        <v>177</v>
      </c>
      <c r="G16" s="38">
        <v>41730</v>
      </c>
    </row>
    <row r="17" spans="1:7" x14ac:dyDescent="0.2">
      <c r="A17" s="27" t="s">
        <v>3696</v>
      </c>
      <c r="B17" s="325" t="s">
        <v>3278</v>
      </c>
      <c r="D17" s="72">
        <v>100000</v>
      </c>
      <c r="E17" s="27" t="s">
        <v>3697</v>
      </c>
      <c r="F17" s="27" t="s">
        <v>177</v>
      </c>
      <c r="G17" s="38">
        <v>41730</v>
      </c>
    </row>
    <row r="18" spans="1:7" x14ac:dyDescent="0.2">
      <c r="A18" s="27" t="s">
        <v>3696</v>
      </c>
      <c r="B18" s="325" t="s">
        <v>3279</v>
      </c>
      <c r="D18" s="72">
        <v>100000</v>
      </c>
      <c r="E18" s="27" t="s">
        <v>3697</v>
      </c>
      <c r="F18" s="27" t="s">
        <v>177</v>
      </c>
      <c r="G18" s="38">
        <v>41730</v>
      </c>
    </row>
    <row r="19" spans="1:7" x14ac:dyDescent="0.2">
      <c r="A19" s="27" t="s">
        <v>3696</v>
      </c>
      <c r="B19" s="325" t="s">
        <v>3282</v>
      </c>
      <c r="D19" s="72">
        <v>150000</v>
      </c>
      <c r="E19" s="27" t="s">
        <v>3697</v>
      </c>
      <c r="F19" s="27" t="s">
        <v>177</v>
      </c>
      <c r="G19" s="38">
        <v>41730</v>
      </c>
    </row>
    <row r="20" spans="1:7" x14ac:dyDescent="0.2">
      <c r="A20" s="27" t="s">
        <v>3696</v>
      </c>
      <c r="B20" s="325" t="s">
        <v>3283</v>
      </c>
      <c r="D20" s="72">
        <v>100000</v>
      </c>
      <c r="E20" s="27" t="s">
        <v>3697</v>
      </c>
      <c r="F20" s="27" t="s">
        <v>177</v>
      </c>
      <c r="G20" s="38">
        <v>41730</v>
      </c>
    </row>
    <row r="21" spans="1:7" x14ac:dyDescent="0.2">
      <c r="A21" s="27" t="s">
        <v>3696</v>
      </c>
      <c r="B21" s="375" t="s">
        <v>3299</v>
      </c>
      <c r="D21" s="72">
        <v>300000</v>
      </c>
      <c r="E21" s="27" t="s">
        <v>3697</v>
      </c>
      <c r="F21" s="27" t="s">
        <v>177</v>
      </c>
      <c r="G21" s="38">
        <v>41730</v>
      </c>
    </row>
    <row r="22" spans="1:7" x14ac:dyDescent="0.2">
      <c r="A22" s="27" t="s">
        <v>3696</v>
      </c>
      <c r="B22" s="375" t="s">
        <v>3300</v>
      </c>
      <c r="D22" s="72">
        <v>100000</v>
      </c>
      <c r="E22" s="27" t="s">
        <v>3697</v>
      </c>
      <c r="F22" s="27" t="s">
        <v>177</v>
      </c>
      <c r="G22" s="38">
        <v>41730</v>
      </c>
    </row>
    <row r="23" spans="1:7" x14ac:dyDescent="0.2">
      <c r="A23" s="27" t="s">
        <v>3696</v>
      </c>
      <c r="B23" s="325" t="s">
        <v>3302</v>
      </c>
      <c r="D23" s="72">
        <v>500000</v>
      </c>
      <c r="E23" s="27" t="s">
        <v>3697</v>
      </c>
      <c r="F23" s="27" t="s">
        <v>177</v>
      </c>
      <c r="G23" s="38">
        <v>41730</v>
      </c>
    </row>
    <row r="24" spans="1:7" x14ac:dyDescent="0.2">
      <c r="A24" s="27" t="s">
        <v>3696</v>
      </c>
      <c r="B24" s="325" t="s">
        <v>3305</v>
      </c>
      <c r="D24" s="72">
        <v>500000</v>
      </c>
      <c r="E24" s="27" t="s">
        <v>3697</v>
      </c>
      <c r="F24" s="27" t="s">
        <v>177</v>
      </c>
      <c r="G24" s="38">
        <v>41730</v>
      </c>
    </row>
    <row r="25" spans="1:7" x14ac:dyDescent="0.2">
      <c r="A25" s="27" t="s">
        <v>3696</v>
      </c>
      <c r="B25" s="325" t="s">
        <v>3312</v>
      </c>
      <c r="D25" s="72">
        <v>700000</v>
      </c>
      <c r="E25" s="27" t="s">
        <v>3697</v>
      </c>
      <c r="F25" s="27" t="s">
        <v>177</v>
      </c>
      <c r="G25" s="38">
        <v>41730</v>
      </c>
    </row>
    <row r="26" spans="1:7" x14ac:dyDescent="0.2">
      <c r="A26" s="27" t="s">
        <v>3696</v>
      </c>
      <c r="B26" s="325" t="s">
        <v>3315</v>
      </c>
      <c r="D26" s="72">
        <v>300000</v>
      </c>
      <c r="E26" s="27" t="s">
        <v>3697</v>
      </c>
      <c r="F26" s="27" t="s">
        <v>177</v>
      </c>
      <c r="G26" s="38">
        <v>41730</v>
      </c>
    </row>
    <row r="27" spans="1:7" x14ac:dyDescent="0.2">
      <c r="A27" s="27" t="s">
        <v>3696</v>
      </c>
      <c r="B27" s="325" t="s">
        <v>3317</v>
      </c>
      <c r="D27" s="72">
        <v>200000</v>
      </c>
      <c r="E27" s="27" t="s">
        <v>3697</v>
      </c>
      <c r="F27" s="27" t="s">
        <v>177</v>
      </c>
      <c r="G27" s="38">
        <v>41730</v>
      </c>
    </row>
    <row r="28" spans="1:7" x14ac:dyDescent="0.2">
      <c r="A28" s="27" t="s">
        <v>3696</v>
      </c>
      <c r="B28" s="325" t="s">
        <v>3326</v>
      </c>
      <c r="D28" s="72">
        <v>150000</v>
      </c>
      <c r="E28" s="27" t="s">
        <v>3697</v>
      </c>
      <c r="F28" s="27" t="s">
        <v>177</v>
      </c>
      <c r="G28" s="38">
        <v>41730</v>
      </c>
    </row>
    <row r="29" spans="1:7" x14ac:dyDescent="0.2">
      <c r="A29" s="27" t="s">
        <v>3696</v>
      </c>
      <c r="B29" s="325" t="s">
        <v>3329</v>
      </c>
      <c r="D29" s="72">
        <v>100000</v>
      </c>
      <c r="E29" s="27" t="s">
        <v>3697</v>
      </c>
      <c r="F29" s="27" t="s">
        <v>177</v>
      </c>
      <c r="G29" s="38">
        <v>41730</v>
      </c>
    </row>
    <row r="30" spans="1:7" x14ac:dyDescent="0.2">
      <c r="A30" s="27" t="s">
        <v>3696</v>
      </c>
      <c r="B30" s="325" t="s">
        <v>3335</v>
      </c>
      <c r="D30" s="72">
        <v>3000000</v>
      </c>
      <c r="E30" s="27" t="s">
        <v>3697</v>
      </c>
      <c r="F30" s="27" t="s">
        <v>177</v>
      </c>
      <c r="G30" s="38">
        <v>41730</v>
      </c>
    </row>
    <row r="31" spans="1:7" x14ac:dyDescent="0.2">
      <c r="A31" s="27" t="s">
        <v>3696</v>
      </c>
      <c r="B31" s="325" t="s">
        <v>3337</v>
      </c>
      <c r="D31" s="72">
        <v>200000</v>
      </c>
      <c r="E31" s="27" t="s">
        <v>3697</v>
      </c>
      <c r="F31" s="27" t="s">
        <v>177</v>
      </c>
      <c r="G31" s="38">
        <v>41730</v>
      </c>
    </row>
    <row r="32" spans="1:7" x14ac:dyDescent="0.2">
      <c r="A32" s="27" t="s">
        <v>3696</v>
      </c>
      <c r="B32" s="325" t="s">
        <v>3339</v>
      </c>
      <c r="D32" s="72">
        <v>700000</v>
      </c>
      <c r="E32" s="27" t="s">
        <v>3697</v>
      </c>
      <c r="F32" s="27" t="s">
        <v>177</v>
      </c>
      <c r="G32" s="38">
        <v>41730</v>
      </c>
    </row>
    <row r="33" spans="1:7" x14ac:dyDescent="0.2">
      <c r="A33" s="27" t="s">
        <v>3696</v>
      </c>
      <c r="B33" s="325" t="s">
        <v>3341</v>
      </c>
      <c r="D33" s="72">
        <v>300000</v>
      </c>
      <c r="E33" s="27" t="s">
        <v>3697</v>
      </c>
      <c r="F33" s="27" t="s">
        <v>177</v>
      </c>
      <c r="G33" s="38">
        <v>41730</v>
      </c>
    </row>
    <row r="34" spans="1:7" x14ac:dyDescent="0.2">
      <c r="A34" s="27" t="s">
        <v>3696</v>
      </c>
      <c r="B34" s="325" t="s">
        <v>3373</v>
      </c>
      <c r="D34" s="72">
        <v>100000</v>
      </c>
      <c r="E34" s="27" t="s">
        <v>3697</v>
      </c>
      <c r="F34" s="27" t="s">
        <v>177</v>
      </c>
      <c r="G34" s="38">
        <v>41730</v>
      </c>
    </row>
    <row r="35" spans="1:7" x14ac:dyDescent="0.2">
      <c r="A35" s="27" t="s">
        <v>3696</v>
      </c>
      <c r="B35" s="325" t="s">
        <v>3376</v>
      </c>
      <c r="D35" s="72">
        <v>150000</v>
      </c>
      <c r="E35" s="27" t="s">
        <v>3697</v>
      </c>
      <c r="F35" s="27" t="s">
        <v>177</v>
      </c>
      <c r="G35" s="38">
        <v>41730</v>
      </c>
    </row>
    <row r="36" spans="1:7" x14ac:dyDescent="0.2">
      <c r="A36" s="27" t="s">
        <v>3696</v>
      </c>
      <c r="B36" s="325" t="s">
        <v>3377</v>
      </c>
      <c r="D36" s="72">
        <v>100000</v>
      </c>
      <c r="E36" s="27" t="s">
        <v>3697</v>
      </c>
      <c r="F36" s="27" t="s">
        <v>177</v>
      </c>
      <c r="G36" s="38">
        <v>41730</v>
      </c>
    </row>
    <row r="37" spans="1:7" x14ac:dyDescent="0.2">
      <c r="A37" s="27" t="s">
        <v>3696</v>
      </c>
      <c r="B37" s="325" t="s">
        <v>3380</v>
      </c>
      <c r="D37" s="72">
        <v>500000</v>
      </c>
      <c r="E37" s="27" t="s">
        <v>3697</v>
      </c>
      <c r="F37" s="27" t="s">
        <v>177</v>
      </c>
      <c r="G37" s="38">
        <v>41730</v>
      </c>
    </row>
    <row r="38" spans="1:7" x14ac:dyDescent="0.2">
      <c r="A38" s="27" t="s">
        <v>3696</v>
      </c>
      <c r="B38" s="325" t="s">
        <v>3381</v>
      </c>
      <c r="D38" s="72">
        <v>250000</v>
      </c>
      <c r="E38" s="27" t="s">
        <v>3697</v>
      </c>
      <c r="F38" s="27" t="s">
        <v>177</v>
      </c>
      <c r="G38" s="38">
        <v>41730</v>
      </c>
    </row>
    <row r="39" spans="1:7" x14ac:dyDescent="0.2">
      <c r="A39" s="27" t="s">
        <v>3696</v>
      </c>
      <c r="B39" s="375" t="s">
        <v>3722</v>
      </c>
      <c r="D39" s="72">
        <v>700000</v>
      </c>
      <c r="E39" s="27" t="s">
        <v>3697</v>
      </c>
      <c r="F39" s="27" t="s">
        <v>177</v>
      </c>
      <c r="G39" s="38">
        <v>41730</v>
      </c>
    </row>
    <row r="40" spans="1:7" x14ac:dyDescent="0.2">
      <c r="A40" s="27" t="s">
        <v>3696</v>
      </c>
      <c r="B40" s="325" t="s">
        <v>3400</v>
      </c>
      <c r="D40" s="72">
        <v>500000</v>
      </c>
      <c r="E40" s="27" t="s">
        <v>3697</v>
      </c>
      <c r="F40" s="27" t="s">
        <v>177</v>
      </c>
      <c r="G40" s="38">
        <v>41730</v>
      </c>
    </row>
    <row r="41" spans="1:7" x14ac:dyDescent="0.2">
      <c r="A41" s="27" t="s">
        <v>3696</v>
      </c>
      <c r="B41" s="325" t="s">
        <v>3402</v>
      </c>
      <c r="D41" s="72">
        <v>500000</v>
      </c>
      <c r="E41" s="27" t="s">
        <v>3697</v>
      </c>
      <c r="F41" s="27" t="s">
        <v>177</v>
      </c>
      <c r="G41" s="38">
        <v>41730</v>
      </c>
    </row>
    <row r="42" spans="1:7" x14ac:dyDescent="0.2">
      <c r="A42" s="27" t="s">
        <v>3696</v>
      </c>
      <c r="B42" s="325" t="s">
        <v>3408</v>
      </c>
      <c r="D42" s="72">
        <v>5000000</v>
      </c>
      <c r="E42" s="27" t="s">
        <v>3697</v>
      </c>
      <c r="F42" s="27" t="s">
        <v>177</v>
      </c>
      <c r="G42" s="38">
        <v>41730</v>
      </c>
    </row>
    <row r="43" spans="1:7" x14ac:dyDescent="0.2">
      <c r="A43" s="27" t="s">
        <v>3696</v>
      </c>
      <c r="B43" s="325" t="s">
        <v>3429</v>
      </c>
      <c r="D43" s="72">
        <v>1000000</v>
      </c>
      <c r="E43" s="27" t="s">
        <v>3697</v>
      </c>
      <c r="F43" s="27" t="s">
        <v>177</v>
      </c>
      <c r="G43" s="38">
        <v>41730</v>
      </c>
    </row>
    <row r="44" spans="1:7" x14ac:dyDescent="0.2">
      <c r="A44" s="27" t="s">
        <v>3696</v>
      </c>
      <c r="B44" s="325" t="s">
        <v>3430</v>
      </c>
      <c r="D44" s="72">
        <v>1000000</v>
      </c>
      <c r="E44" s="27" t="s">
        <v>3697</v>
      </c>
      <c r="F44" s="27" t="s">
        <v>177</v>
      </c>
      <c r="G44" s="38">
        <v>41730</v>
      </c>
    </row>
    <row r="45" spans="1:7" x14ac:dyDescent="0.2">
      <c r="A45" s="27" t="s">
        <v>3696</v>
      </c>
      <c r="B45" s="325" t="s">
        <v>3436</v>
      </c>
      <c r="D45" s="72">
        <v>800000</v>
      </c>
      <c r="E45" s="27" t="s">
        <v>3697</v>
      </c>
      <c r="F45" s="27" t="s">
        <v>177</v>
      </c>
      <c r="G45" s="38">
        <v>41730</v>
      </c>
    </row>
    <row r="46" spans="1:7" x14ac:dyDescent="0.2">
      <c r="A46" s="27" t="s">
        <v>3696</v>
      </c>
      <c r="B46" s="325" t="s">
        <v>3446</v>
      </c>
      <c r="D46" s="72">
        <v>2000000</v>
      </c>
      <c r="E46" s="27" t="s">
        <v>3697</v>
      </c>
      <c r="F46" s="27" t="s">
        <v>177</v>
      </c>
      <c r="G46" s="38">
        <v>41730</v>
      </c>
    </row>
    <row r="47" spans="1:7" x14ac:dyDescent="0.2">
      <c r="A47" s="27" t="s">
        <v>3696</v>
      </c>
      <c r="B47" s="325" t="s">
        <v>3448</v>
      </c>
      <c r="D47" s="72">
        <v>500000</v>
      </c>
      <c r="E47" s="27" t="s">
        <v>3697</v>
      </c>
      <c r="F47" s="27" t="s">
        <v>177</v>
      </c>
      <c r="G47" s="38">
        <v>41730</v>
      </c>
    </row>
    <row r="48" spans="1:7" x14ac:dyDescent="0.2">
      <c r="A48" s="27" t="s">
        <v>3696</v>
      </c>
      <c r="B48" s="325" t="s">
        <v>3449</v>
      </c>
      <c r="D48" s="72">
        <v>100000</v>
      </c>
      <c r="E48" s="27" t="s">
        <v>3697</v>
      </c>
      <c r="F48" s="27" t="s">
        <v>177</v>
      </c>
      <c r="G48" s="38">
        <v>41730</v>
      </c>
    </row>
    <row r="49" spans="1:7" x14ac:dyDescent="0.2">
      <c r="A49" s="27" t="s">
        <v>3696</v>
      </c>
      <c r="B49" s="325" t="s">
        <v>3451</v>
      </c>
      <c r="D49" s="72">
        <v>4000000</v>
      </c>
      <c r="E49" s="27" t="s">
        <v>3697</v>
      </c>
      <c r="F49" s="27" t="s">
        <v>177</v>
      </c>
      <c r="G49" s="38">
        <v>41730</v>
      </c>
    </row>
    <row r="50" spans="1:7" x14ac:dyDescent="0.2">
      <c r="A50" s="27" t="s">
        <v>3696</v>
      </c>
      <c r="B50" s="325" t="s">
        <v>3458</v>
      </c>
      <c r="D50" s="72">
        <v>150000</v>
      </c>
      <c r="E50" s="27" t="s">
        <v>3697</v>
      </c>
      <c r="F50" s="27" t="s">
        <v>177</v>
      </c>
      <c r="G50" s="38">
        <v>41730</v>
      </c>
    </row>
    <row r="51" spans="1:7" x14ac:dyDescent="0.2">
      <c r="A51" s="27" t="s">
        <v>3696</v>
      </c>
      <c r="B51" s="325" t="s">
        <v>3474</v>
      </c>
      <c r="D51" s="72">
        <v>500000</v>
      </c>
      <c r="E51" s="27" t="s">
        <v>3697</v>
      </c>
      <c r="F51" s="27" t="s">
        <v>177</v>
      </c>
      <c r="G51" s="38">
        <v>41730</v>
      </c>
    </row>
    <row r="52" spans="1:7" x14ac:dyDescent="0.2">
      <c r="A52" s="27" t="s">
        <v>3696</v>
      </c>
      <c r="B52" s="325" t="s">
        <v>3476</v>
      </c>
      <c r="D52" s="72">
        <v>100000</v>
      </c>
      <c r="E52" s="27" t="s">
        <v>3697</v>
      </c>
      <c r="F52" s="27" t="s">
        <v>177</v>
      </c>
      <c r="G52" s="38">
        <v>41730</v>
      </c>
    </row>
    <row r="53" spans="1:7" x14ac:dyDescent="0.2">
      <c r="A53" s="27" t="s">
        <v>3696</v>
      </c>
      <c r="B53" s="325" t="s">
        <v>3478</v>
      </c>
      <c r="D53" s="72">
        <v>150000</v>
      </c>
      <c r="E53" s="27" t="s">
        <v>3697</v>
      </c>
      <c r="F53" s="27" t="s">
        <v>177</v>
      </c>
      <c r="G53" s="38">
        <v>41730</v>
      </c>
    </row>
    <row r="54" spans="1:7" x14ac:dyDescent="0.2">
      <c r="A54" s="27" t="s">
        <v>3696</v>
      </c>
      <c r="B54" s="325" t="s">
        <v>3480</v>
      </c>
      <c r="D54" s="72">
        <v>100000</v>
      </c>
      <c r="E54" s="27" t="s">
        <v>3697</v>
      </c>
      <c r="F54" s="27" t="s">
        <v>177</v>
      </c>
      <c r="G54" s="38">
        <v>41730</v>
      </c>
    </row>
    <row r="55" spans="1:7" x14ac:dyDescent="0.2">
      <c r="A55" s="27" t="s">
        <v>3696</v>
      </c>
      <c r="B55" s="325" t="s">
        <v>3487</v>
      </c>
      <c r="D55" s="72">
        <v>100000</v>
      </c>
      <c r="E55" s="27" t="s">
        <v>3697</v>
      </c>
      <c r="F55" s="27" t="s">
        <v>177</v>
      </c>
      <c r="G55" s="38">
        <v>41730</v>
      </c>
    </row>
    <row r="56" spans="1:7" x14ac:dyDescent="0.2">
      <c r="A56" s="27" t="s">
        <v>3696</v>
      </c>
      <c r="B56" s="375" t="s">
        <v>3490</v>
      </c>
      <c r="D56" s="72">
        <v>1518000</v>
      </c>
      <c r="E56" s="27" t="s">
        <v>3697</v>
      </c>
      <c r="F56" s="27" t="s">
        <v>177</v>
      </c>
      <c r="G56" s="38">
        <v>41730</v>
      </c>
    </row>
    <row r="57" spans="1:7" x14ac:dyDescent="0.2">
      <c r="A57" s="27" t="s">
        <v>3696</v>
      </c>
      <c r="B57" s="325" t="s">
        <v>3495</v>
      </c>
      <c r="D57" s="72">
        <v>100000</v>
      </c>
      <c r="E57" s="27" t="s">
        <v>3697</v>
      </c>
      <c r="F57" s="27" t="s">
        <v>177</v>
      </c>
      <c r="G57" s="38">
        <v>41730</v>
      </c>
    </row>
    <row r="58" spans="1:7" x14ac:dyDescent="0.2">
      <c r="A58" s="27" t="s">
        <v>3696</v>
      </c>
      <c r="B58" s="325" t="s">
        <v>3496</v>
      </c>
      <c r="D58" s="72">
        <v>100000</v>
      </c>
      <c r="E58" s="27" t="s">
        <v>3697</v>
      </c>
      <c r="F58" s="27" t="s">
        <v>177</v>
      </c>
      <c r="G58" s="38">
        <v>41730</v>
      </c>
    </row>
    <row r="59" spans="1:7" x14ac:dyDescent="0.2">
      <c r="A59" s="27" t="s">
        <v>3696</v>
      </c>
      <c r="B59" s="326" t="s">
        <v>3497</v>
      </c>
      <c r="D59" s="72">
        <v>100000</v>
      </c>
      <c r="E59" s="27" t="s">
        <v>3697</v>
      </c>
      <c r="F59" s="27" t="s">
        <v>177</v>
      </c>
      <c r="G59" s="38">
        <v>41730</v>
      </c>
    </row>
    <row r="60" spans="1:7" x14ac:dyDescent="0.2">
      <c r="A60" s="27" t="s">
        <v>3696</v>
      </c>
      <c r="B60" s="326" t="s">
        <v>3502</v>
      </c>
      <c r="D60" s="72">
        <v>300000</v>
      </c>
      <c r="E60" s="27" t="s">
        <v>3697</v>
      </c>
      <c r="F60" s="27" t="s">
        <v>177</v>
      </c>
      <c r="G60" s="38">
        <v>41730</v>
      </c>
    </row>
    <row r="61" spans="1:7" x14ac:dyDescent="0.2">
      <c r="A61" s="27" t="s">
        <v>3696</v>
      </c>
      <c r="B61" s="325" t="s">
        <v>3504</v>
      </c>
      <c r="D61" s="72">
        <v>500000</v>
      </c>
      <c r="E61" s="27" t="s">
        <v>3697</v>
      </c>
      <c r="F61" s="27" t="s">
        <v>177</v>
      </c>
      <c r="G61" s="38">
        <v>41730</v>
      </c>
    </row>
    <row r="62" spans="1:7" x14ac:dyDescent="0.2">
      <c r="A62" s="27" t="s">
        <v>3696</v>
      </c>
      <c r="B62" s="375" t="s">
        <v>3507</v>
      </c>
      <c r="D62" s="72">
        <v>4048000</v>
      </c>
      <c r="E62" s="27" t="s">
        <v>3697</v>
      </c>
      <c r="F62" s="27" t="s">
        <v>177</v>
      </c>
      <c r="G62" s="38">
        <v>41730</v>
      </c>
    </row>
    <row r="63" spans="1:7" x14ac:dyDescent="0.2">
      <c r="A63" s="27" t="s">
        <v>3696</v>
      </c>
      <c r="B63" s="375" t="s">
        <v>3518</v>
      </c>
      <c r="D63" s="72">
        <v>500000</v>
      </c>
      <c r="E63" s="27" t="s">
        <v>3697</v>
      </c>
      <c r="F63" s="27" t="s">
        <v>177</v>
      </c>
      <c r="G63" s="38">
        <v>41730</v>
      </c>
    </row>
    <row r="64" spans="1:7" x14ac:dyDescent="0.2">
      <c r="A64" s="27" t="s">
        <v>3696</v>
      </c>
      <c r="B64" s="375" t="s">
        <v>3520</v>
      </c>
      <c r="D64" s="72">
        <v>10000000</v>
      </c>
      <c r="E64" s="27" t="s">
        <v>3697</v>
      </c>
      <c r="F64" s="27" t="s">
        <v>177</v>
      </c>
      <c r="G64" s="38">
        <v>41730</v>
      </c>
    </row>
    <row r="65" spans="1:7" x14ac:dyDescent="0.2">
      <c r="A65" s="27" t="s">
        <v>3696</v>
      </c>
      <c r="B65" s="325" t="s">
        <v>3524</v>
      </c>
      <c r="D65" s="72">
        <v>200000</v>
      </c>
      <c r="E65" s="27" t="s">
        <v>3697</v>
      </c>
      <c r="F65" s="27" t="s">
        <v>177</v>
      </c>
      <c r="G65" s="38">
        <v>41730</v>
      </c>
    </row>
    <row r="66" spans="1:7" x14ac:dyDescent="0.2">
      <c r="A66" s="27" t="s">
        <v>3696</v>
      </c>
      <c r="B66" s="375" t="s">
        <v>3535</v>
      </c>
      <c r="D66" s="72">
        <v>2024000</v>
      </c>
      <c r="E66" s="27" t="s">
        <v>3697</v>
      </c>
      <c r="F66" s="27" t="s">
        <v>177</v>
      </c>
      <c r="G66" s="38">
        <v>41730</v>
      </c>
    </row>
    <row r="67" spans="1:7" x14ac:dyDescent="0.2">
      <c r="A67" s="27" t="s">
        <v>3696</v>
      </c>
      <c r="B67" s="325" t="s">
        <v>3542</v>
      </c>
      <c r="D67" s="72">
        <v>300000</v>
      </c>
      <c r="E67" s="27" t="s">
        <v>3697</v>
      </c>
      <c r="F67" s="27" t="s">
        <v>177</v>
      </c>
      <c r="G67" s="38">
        <v>41730</v>
      </c>
    </row>
    <row r="68" spans="1:7" x14ac:dyDescent="0.2">
      <c r="A68" s="27" t="s">
        <v>3696</v>
      </c>
      <c r="B68" s="375" t="s">
        <v>3544</v>
      </c>
      <c r="D68" s="72">
        <v>1000000</v>
      </c>
      <c r="E68" s="27" t="s">
        <v>3697</v>
      </c>
      <c r="F68" s="27" t="s">
        <v>177</v>
      </c>
      <c r="G68" s="38">
        <v>41730</v>
      </c>
    </row>
    <row r="69" spans="1:7" x14ac:dyDescent="0.2">
      <c r="A69" s="27" t="s">
        <v>3696</v>
      </c>
      <c r="B69" s="375" t="s">
        <v>3642</v>
      </c>
      <c r="D69" s="72">
        <v>2500000</v>
      </c>
      <c r="E69" s="27" t="s">
        <v>3697</v>
      </c>
      <c r="F69" s="27" t="s">
        <v>177</v>
      </c>
      <c r="G69" s="38">
        <v>41730</v>
      </c>
    </row>
    <row r="70" spans="1:7" x14ac:dyDescent="0.2">
      <c r="A70" s="27" t="s">
        <v>3696</v>
      </c>
      <c r="B70" s="375" t="s">
        <v>3646</v>
      </c>
      <c r="D70" s="72">
        <v>5000000</v>
      </c>
      <c r="E70" s="27" t="s">
        <v>3697</v>
      </c>
      <c r="F70" s="27" t="s">
        <v>177</v>
      </c>
      <c r="G70" s="38">
        <v>41730</v>
      </c>
    </row>
    <row r="71" spans="1:7" x14ac:dyDescent="0.2">
      <c r="A71" s="27" t="s">
        <v>3696</v>
      </c>
      <c r="B71" s="375" t="s">
        <v>3601</v>
      </c>
      <c r="D71" s="72">
        <v>380000</v>
      </c>
      <c r="E71" s="27" t="s">
        <v>3697</v>
      </c>
      <c r="F71" s="27" t="s">
        <v>177</v>
      </c>
      <c r="G71" s="38">
        <v>41730</v>
      </c>
    </row>
    <row r="72" spans="1:7" x14ac:dyDescent="0.2">
      <c r="A72" s="27" t="s">
        <v>3696</v>
      </c>
      <c r="B72" s="375" t="s">
        <v>3608</v>
      </c>
      <c r="D72" s="72">
        <v>50000</v>
      </c>
      <c r="E72" s="27" t="s">
        <v>3697</v>
      </c>
      <c r="F72" s="27" t="s">
        <v>177</v>
      </c>
      <c r="G72" s="38">
        <v>41730</v>
      </c>
    </row>
    <row r="73" spans="1:7" x14ac:dyDescent="0.2">
      <c r="A73" s="27" t="s">
        <v>3696</v>
      </c>
      <c r="B73" s="375" t="s">
        <v>3609</v>
      </c>
      <c r="D73" s="72">
        <v>282000</v>
      </c>
      <c r="E73" s="27" t="s">
        <v>3697</v>
      </c>
      <c r="F73" s="27" t="s">
        <v>177</v>
      </c>
      <c r="G73" s="38">
        <v>41730</v>
      </c>
    </row>
    <row r="74" spans="1:7" x14ac:dyDescent="0.2">
      <c r="A74" s="27" t="s">
        <v>3696</v>
      </c>
      <c r="B74" s="375" t="s">
        <v>3620</v>
      </c>
      <c r="D74" s="72">
        <v>80000</v>
      </c>
      <c r="E74" s="27" t="s">
        <v>3697</v>
      </c>
      <c r="F74" s="27" t="s">
        <v>177</v>
      </c>
      <c r="G74" s="38">
        <v>41730</v>
      </c>
    </row>
    <row r="75" spans="1:7" x14ac:dyDescent="0.2">
      <c r="A75" s="27" t="s">
        <v>3696</v>
      </c>
      <c r="B75" s="375" t="s">
        <v>3621</v>
      </c>
      <c r="D75" s="72">
        <v>60000</v>
      </c>
      <c r="E75" s="27" t="s">
        <v>3697</v>
      </c>
      <c r="F75" s="27" t="s">
        <v>177</v>
      </c>
      <c r="G75" s="38">
        <v>41730</v>
      </c>
    </row>
    <row r="76" spans="1:7" x14ac:dyDescent="0.2">
      <c r="A76" s="27" t="s">
        <v>3696</v>
      </c>
      <c r="B76" s="375" t="s">
        <v>3623</v>
      </c>
      <c r="D76" s="72">
        <v>200000</v>
      </c>
      <c r="E76" s="27" t="s">
        <v>3697</v>
      </c>
      <c r="F76" s="27" t="s">
        <v>177</v>
      </c>
      <c r="G76" s="38">
        <v>41730</v>
      </c>
    </row>
    <row r="77" spans="1:7" x14ac:dyDescent="0.2">
      <c r="A77" s="27" t="s">
        <v>3696</v>
      </c>
      <c r="B77" s="375" t="s">
        <v>3625</v>
      </c>
      <c r="D77" s="72">
        <v>60000</v>
      </c>
      <c r="E77" s="27" t="s">
        <v>3697</v>
      </c>
      <c r="F77" s="27" t="s">
        <v>177</v>
      </c>
      <c r="G77" s="38">
        <v>41730</v>
      </c>
    </row>
    <row r="78" spans="1:7" x14ac:dyDescent="0.2">
      <c r="A78" s="27" t="s">
        <v>3696</v>
      </c>
      <c r="B78" s="375" t="s">
        <v>3627</v>
      </c>
      <c r="D78" s="72">
        <v>40000</v>
      </c>
      <c r="E78" s="27" t="s">
        <v>3697</v>
      </c>
      <c r="F78" s="27" t="s">
        <v>177</v>
      </c>
      <c r="G78" s="38">
        <v>41730</v>
      </c>
    </row>
    <row r="79" spans="1:7" x14ac:dyDescent="0.2">
      <c r="A79" s="27" t="s">
        <v>3696</v>
      </c>
      <c r="B79" s="375" t="s">
        <v>3629</v>
      </c>
      <c r="D79" s="72">
        <v>180000</v>
      </c>
      <c r="E79" s="27" t="s">
        <v>3697</v>
      </c>
      <c r="F79" s="27" t="s">
        <v>177</v>
      </c>
      <c r="G79" s="38">
        <v>41730</v>
      </c>
    </row>
    <row r="80" spans="1:7" x14ac:dyDescent="0.2">
      <c r="A80" s="27" t="s">
        <v>3696</v>
      </c>
      <c r="B80" s="375" t="s">
        <v>3630</v>
      </c>
      <c r="D80" s="72">
        <v>115000</v>
      </c>
      <c r="E80" s="27" t="s">
        <v>3697</v>
      </c>
      <c r="F80" s="27" t="s">
        <v>177</v>
      </c>
      <c r="G80" s="38">
        <v>41730</v>
      </c>
    </row>
    <row r="81" spans="1:7" x14ac:dyDescent="0.2">
      <c r="A81" s="27" t="s">
        <v>3696</v>
      </c>
      <c r="B81" s="375" t="s">
        <v>3632</v>
      </c>
      <c r="D81" s="72">
        <v>40000</v>
      </c>
      <c r="E81" s="27" t="s">
        <v>3697</v>
      </c>
      <c r="F81" s="27" t="s">
        <v>177</v>
      </c>
      <c r="G81" s="38">
        <v>41730</v>
      </c>
    </row>
    <row r="82" spans="1:7" x14ac:dyDescent="0.2">
      <c r="A82" s="27" t="s">
        <v>3696</v>
      </c>
      <c r="B82" s="375" t="s">
        <v>3637</v>
      </c>
      <c r="D82" s="72">
        <v>40000</v>
      </c>
      <c r="E82" s="27" t="s">
        <v>3697</v>
      </c>
      <c r="F82" s="27" t="s">
        <v>177</v>
      </c>
      <c r="G82" s="38">
        <v>41730</v>
      </c>
    </row>
    <row r="83" spans="1:7" x14ac:dyDescent="0.2">
      <c r="C83" s="101"/>
      <c r="D83" s="101"/>
    </row>
    <row r="84" spans="1:7" x14ac:dyDescent="0.2">
      <c r="C84" s="131"/>
    </row>
    <row r="85" spans="1:7" x14ac:dyDescent="0.2">
      <c r="D85" s="101"/>
    </row>
  </sheetData>
  <conditionalFormatting sqref="B67:B71">
    <cfRule type="duplicateValues" dxfId="4" priority="3"/>
  </conditionalFormatting>
  <conditionalFormatting sqref="B72:B81">
    <cfRule type="duplicateValues" dxfId="3" priority="2"/>
  </conditionalFormatting>
  <conditionalFormatting sqref="B82">
    <cfRule type="duplicateValues" dxfId="2" priority="1"/>
  </conditionalFormatting>
  <conditionalFormatting sqref="B1:B69">
    <cfRule type="duplicateValues" dxfId="1" priority="53"/>
  </conditionalFormatting>
  <printOptions headings="1" gridLines="1"/>
  <pageMargins left="0.7" right="0.7" top="0.25" bottom="0.25" header="0.05" footer="0.0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5:J332"/>
  <sheetViews>
    <sheetView topLeftCell="A66" zoomScale="90" zoomScaleNormal="90" zoomScalePageLayoutView="70" workbookViewId="0">
      <selection activeCell="H108" sqref="H108"/>
    </sheetView>
  </sheetViews>
  <sheetFormatPr defaultColWidth="8.88671875" defaultRowHeight="15" x14ac:dyDescent="0.2"/>
  <cols>
    <col min="1" max="2" width="8.88671875" style="7" customWidth="1"/>
    <col min="3" max="3" width="22" style="218" customWidth="1"/>
    <col min="4" max="4" width="6.109375" style="7" customWidth="1"/>
    <col min="5" max="5" width="13.6640625" style="7" customWidth="1"/>
    <col min="6" max="6" width="1.6640625" style="7" customWidth="1"/>
    <col min="7" max="8" width="20.77734375" style="7" bestFit="1" customWidth="1"/>
    <col min="9" max="9" width="15.6640625" style="7" bestFit="1" customWidth="1"/>
    <col min="10" max="10" width="15.6640625" style="7" customWidth="1"/>
    <col min="11" max="16384" width="8.88671875" style="7"/>
  </cols>
  <sheetData>
    <row r="5" spans="1:10" x14ac:dyDescent="0.2">
      <c r="A5" s="7" t="s">
        <v>2483</v>
      </c>
      <c r="B5" s="7" t="s">
        <v>2484</v>
      </c>
      <c r="C5" s="203" t="s">
        <v>2201</v>
      </c>
      <c r="D5" s="255" t="s">
        <v>2661</v>
      </c>
      <c r="E5" s="231">
        <v>26508.959999999999</v>
      </c>
      <c r="F5" s="207"/>
      <c r="G5" s="2" t="s">
        <v>2689</v>
      </c>
      <c r="H5" s="2"/>
      <c r="I5" s="2"/>
      <c r="J5" s="2"/>
    </row>
    <row r="6" spans="1:10" x14ac:dyDescent="0.2">
      <c r="A6" s="7" t="s">
        <v>2320</v>
      </c>
      <c r="B6" s="7" t="s">
        <v>2350</v>
      </c>
      <c r="C6" s="205" t="s">
        <v>2016</v>
      </c>
      <c r="D6" s="255" t="s">
        <v>2662</v>
      </c>
      <c r="E6" s="231">
        <v>24138</v>
      </c>
      <c r="F6" s="207"/>
      <c r="G6" s="342" t="s">
        <v>2797</v>
      </c>
      <c r="H6" s="2"/>
      <c r="I6" s="2"/>
      <c r="J6" s="2" t="s">
        <v>3203</v>
      </c>
    </row>
    <row r="7" spans="1:10" x14ac:dyDescent="0.2">
      <c r="A7" s="7" t="s">
        <v>2518</v>
      </c>
      <c r="B7" s="7" t="s">
        <v>2538</v>
      </c>
      <c r="C7" s="202" t="s">
        <v>2019</v>
      </c>
      <c r="D7" s="255" t="s">
        <v>2661</v>
      </c>
      <c r="E7" s="231">
        <v>45960.959999999999</v>
      </c>
      <c r="F7" s="207"/>
      <c r="G7" s="2" t="s">
        <v>2797</v>
      </c>
      <c r="H7" s="2"/>
      <c r="I7" s="3"/>
      <c r="J7" s="2" t="s">
        <v>3203</v>
      </c>
    </row>
    <row r="8" spans="1:10" x14ac:dyDescent="0.2">
      <c r="A8" s="7" t="s">
        <v>2514</v>
      </c>
      <c r="B8" s="7" t="s">
        <v>2358</v>
      </c>
      <c r="C8" s="202" t="s">
        <v>2784</v>
      </c>
      <c r="D8" s="255" t="s">
        <v>2661</v>
      </c>
      <c r="E8" s="231">
        <v>40271.879999999997</v>
      </c>
      <c r="F8" s="207"/>
      <c r="G8" s="2" t="s">
        <v>2797</v>
      </c>
      <c r="H8" s="2"/>
      <c r="I8" s="2"/>
      <c r="J8" s="2" t="s">
        <v>3203</v>
      </c>
    </row>
    <row r="9" spans="1:10" x14ac:dyDescent="0.2">
      <c r="A9" s="7" t="s">
        <v>2344</v>
      </c>
      <c r="B9" s="7" t="s">
        <v>2345</v>
      </c>
      <c r="C9" s="205" t="s">
        <v>2015</v>
      </c>
      <c r="D9" s="255" t="s">
        <v>2662</v>
      </c>
      <c r="E9" s="231">
        <v>24138</v>
      </c>
      <c r="F9" s="207"/>
      <c r="G9" s="342" t="s">
        <v>2797</v>
      </c>
      <c r="H9" s="2"/>
      <c r="I9" s="251"/>
      <c r="J9" s="2" t="s">
        <v>3203</v>
      </c>
    </row>
    <row r="10" spans="1:10" x14ac:dyDescent="0.2">
      <c r="A10" s="7" t="s">
        <v>2371</v>
      </c>
      <c r="B10" s="7" t="s">
        <v>2380</v>
      </c>
      <c r="C10" s="205" t="s">
        <v>1405</v>
      </c>
      <c r="D10" s="255" t="s">
        <v>2662</v>
      </c>
      <c r="E10" s="231">
        <v>35301.96</v>
      </c>
      <c r="F10" s="207"/>
      <c r="G10" s="342" t="s">
        <v>2797</v>
      </c>
      <c r="H10" s="2"/>
      <c r="I10" s="2"/>
      <c r="J10" s="2" t="s">
        <v>3203</v>
      </c>
    </row>
    <row r="11" spans="1:10" x14ac:dyDescent="0.2">
      <c r="A11" s="7" t="s">
        <v>2436</v>
      </c>
      <c r="B11" s="7" t="s">
        <v>2435</v>
      </c>
      <c r="C11" s="202" t="s">
        <v>2014</v>
      </c>
      <c r="D11" s="255" t="s">
        <v>2661</v>
      </c>
      <c r="E11" s="231">
        <v>48476.76</v>
      </c>
      <c r="F11" s="207"/>
      <c r="G11" s="2" t="s">
        <v>2797</v>
      </c>
      <c r="H11" s="2"/>
      <c r="I11" s="2"/>
      <c r="J11" s="2" t="s">
        <v>3203</v>
      </c>
    </row>
    <row r="12" spans="1:10" x14ac:dyDescent="0.2">
      <c r="A12" s="7" t="s">
        <v>2318</v>
      </c>
      <c r="B12" s="7" t="s">
        <v>2367</v>
      </c>
      <c r="C12" s="203" t="s">
        <v>2219</v>
      </c>
      <c r="D12" s="255" t="s">
        <v>2662</v>
      </c>
      <c r="E12" s="231">
        <v>31409.040000000001</v>
      </c>
      <c r="F12" s="207"/>
      <c r="G12" s="342" t="s">
        <v>2952</v>
      </c>
      <c r="H12" s="2"/>
      <c r="I12" s="2"/>
      <c r="J12" s="2" t="s">
        <v>3202</v>
      </c>
    </row>
    <row r="13" spans="1:10" x14ac:dyDescent="0.2">
      <c r="A13" s="7" t="s">
        <v>2233</v>
      </c>
      <c r="B13" s="7" t="s">
        <v>2289</v>
      </c>
      <c r="C13" s="202" t="s">
        <v>1349</v>
      </c>
      <c r="D13" s="255" t="s">
        <v>2661</v>
      </c>
      <c r="E13" s="231">
        <v>56070.48</v>
      </c>
      <c r="F13" s="207"/>
      <c r="G13" s="342" t="s">
        <v>2952</v>
      </c>
      <c r="H13" s="3"/>
      <c r="I13" s="3"/>
      <c r="J13" s="2" t="s">
        <v>3208</v>
      </c>
    </row>
    <row r="14" spans="1:10" x14ac:dyDescent="0.2">
      <c r="A14" s="7" t="s">
        <v>2787</v>
      </c>
      <c r="B14" s="7" t="s">
        <v>2578</v>
      </c>
      <c r="C14" s="203" t="s">
        <v>2762</v>
      </c>
      <c r="D14" s="255" t="s">
        <v>2658</v>
      </c>
      <c r="E14" s="231">
        <v>23729.040000000001</v>
      </c>
      <c r="F14" s="207"/>
      <c r="G14" s="342" t="s">
        <v>2952</v>
      </c>
      <c r="H14" s="3"/>
      <c r="I14" s="3"/>
      <c r="J14" s="2" t="s">
        <v>3202</v>
      </c>
    </row>
    <row r="15" spans="1:10" x14ac:dyDescent="0.2">
      <c r="A15" s="7" t="s">
        <v>2426</v>
      </c>
      <c r="B15" s="7" t="s">
        <v>3030</v>
      </c>
      <c r="C15" s="338" t="s">
        <v>3031</v>
      </c>
      <c r="D15" s="255" t="s">
        <v>2661</v>
      </c>
      <c r="E15" s="231">
        <v>23932.959999999999</v>
      </c>
      <c r="F15" s="207"/>
      <c r="G15" s="342" t="s">
        <v>2952</v>
      </c>
      <c r="H15" s="2"/>
      <c r="I15" s="2"/>
      <c r="J15" s="2" t="s">
        <v>3202</v>
      </c>
    </row>
    <row r="16" spans="1:10" x14ac:dyDescent="0.2">
      <c r="A16" s="7" t="s">
        <v>3027</v>
      </c>
      <c r="B16" s="7" t="s">
        <v>3028</v>
      </c>
      <c r="C16" s="338" t="s">
        <v>3026</v>
      </c>
      <c r="D16" s="255" t="s">
        <v>2661</v>
      </c>
      <c r="E16" s="231">
        <v>20922</v>
      </c>
      <c r="F16" s="207"/>
      <c r="G16" s="342" t="s">
        <v>2952</v>
      </c>
      <c r="H16" s="2"/>
      <c r="I16" s="2"/>
      <c r="J16" s="2" t="s">
        <v>3202</v>
      </c>
    </row>
    <row r="17" spans="1:10" x14ac:dyDescent="0.2">
      <c r="A17" s="7" t="s">
        <v>2302</v>
      </c>
      <c r="B17" s="7" t="s">
        <v>2242</v>
      </c>
      <c r="C17" s="203" t="s">
        <v>1897</v>
      </c>
      <c r="D17" s="255" t="s">
        <v>2662</v>
      </c>
      <c r="E17" s="231">
        <v>24552.959999999999</v>
      </c>
      <c r="F17" s="207"/>
      <c r="G17" s="342" t="s">
        <v>2952</v>
      </c>
      <c r="H17" s="3"/>
      <c r="I17" s="3"/>
      <c r="J17" s="2" t="s">
        <v>3202</v>
      </c>
    </row>
    <row r="18" spans="1:10" x14ac:dyDescent="0.2">
      <c r="A18" s="7" t="s">
        <v>3039</v>
      </c>
      <c r="B18" s="7" t="s">
        <v>3040</v>
      </c>
      <c r="C18" s="227" t="s">
        <v>3041</v>
      </c>
      <c r="D18" s="255" t="s">
        <v>2661</v>
      </c>
      <c r="E18" s="231">
        <v>36000</v>
      </c>
      <c r="F18" s="207"/>
      <c r="G18" s="3" t="s">
        <v>2701</v>
      </c>
      <c r="H18" s="2"/>
      <c r="I18" s="2"/>
      <c r="J18" s="2" t="s">
        <v>3208</v>
      </c>
    </row>
    <row r="19" spans="1:10" x14ac:dyDescent="0.2">
      <c r="A19" s="7" t="s">
        <v>2839</v>
      </c>
      <c r="B19" s="7" t="s">
        <v>2840</v>
      </c>
      <c r="C19" s="202" t="s">
        <v>2841</v>
      </c>
      <c r="D19" s="255" t="s">
        <v>2661</v>
      </c>
      <c r="E19" s="231">
        <v>50600</v>
      </c>
      <c r="F19" s="207"/>
      <c r="G19" s="3" t="s">
        <v>2701</v>
      </c>
      <c r="I19" s="3"/>
      <c r="J19" s="2" t="s">
        <v>3208</v>
      </c>
    </row>
    <row r="20" spans="1:10" x14ac:dyDescent="0.2">
      <c r="A20" s="7" t="s">
        <v>2328</v>
      </c>
      <c r="B20" s="7" t="s">
        <v>2291</v>
      </c>
      <c r="C20" s="205" t="s">
        <v>603</v>
      </c>
      <c r="D20" s="255" t="s">
        <v>2662</v>
      </c>
      <c r="E20" s="231">
        <v>29391.93</v>
      </c>
      <c r="F20" s="207"/>
      <c r="G20" s="3" t="s">
        <v>2701</v>
      </c>
      <c r="H20" s="2"/>
      <c r="I20" s="2"/>
      <c r="J20" s="2" t="s">
        <v>3208</v>
      </c>
    </row>
    <row r="21" spans="1:10" x14ac:dyDescent="0.2">
      <c r="A21" s="7" t="s">
        <v>2819</v>
      </c>
      <c r="B21" s="7" t="s">
        <v>2249</v>
      </c>
      <c r="C21" s="205" t="s">
        <v>2820</v>
      </c>
      <c r="D21" s="255" t="s">
        <v>2662</v>
      </c>
      <c r="E21" s="231">
        <v>26094.959999999999</v>
      </c>
      <c r="F21" s="207"/>
      <c r="G21" s="3" t="s">
        <v>2709</v>
      </c>
      <c r="H21" s="2"/>
      <c r="I21" s="251"/>
      <c r="J21" s="2" t="s">
        <v>3208</v>
      </c>
    </row>
    <row r="22" spans="1:10" x14ac:dyDescent="0.2">
      <c r="A22" s="7" t="s">
        <v>2529</v>
      </c>
      <c r="B22" s="7" t="s">
        <v>2530</v>
      </c>
      <c r="C22" s="227" t="s">
        <v>101</v>
      </c>
      <c r="D22" s="255" t="s">
        <v>2661</v>
      </c>
      <c r="E22" s="231">
        <v>37889.279999999999</v>
      </c>
      <c r="F22" s="207"/>
      <c r="G22" s="3" t="s">
        <v>2709</v>
      </c>
      <c r="H22" s="3"/>
      <c r="I22" s="3"/>
      <c r="J22" s="2" t="s">
        <v>3208</v>
      </c>
    </row>
    <row r="23" spans="1:10" x14ac:dyDescent="0.2">
      <c r="A23" s="7" t="s">
        <v>2816</v>
      </c>
      <c r="B23" s="7" t="s">
        <v>2817</v>
      </c>
      <c r="C23" s="227" t="s">
        <v>2818</v>
      </c>
      <c r="D23" s="255" t="s">
        <v>2658</v>
      </c>
      <c r="E23" s="230">
        <v>28335.96</v>
      </c>
      <c r="F23" s="207"/>
      <c r="G23" s="3" t="s">
        <v>2709</v>
      </c>
      <c r="J23" s="2" t="s">
        <v>3208</v>
      </c>
    </row>
    <row r="24" spans="1:10" x14ac:dyDescent="0.2">
      <c r="A24" s="7" t="s">
        <v>2231</v>
      </c>
      <c r="B24" s="7" t="s">
        <v>2380</v>
      </c>
      <c r="C24" s="227" t="s">
        <v>2217</v>
      </c>
      <c r="D24" s="255" t="s">
        <v>2661</v>
      </c>
      <c r="E24" s="231">
        <v>29336.16</v>
      </c>
      <c r="F24" s="207"/>
      <c r="G24" s="3" t="s">
        <v>2709</v>
      </c>
      <c r="H24" s="3"/>
      <c r="I24" s="3"/>
      <c r="J24" s="2" t="s">
        <v>3208</v>
      </c>
    </row>
    <row r="25" spans="1:10" x14ac:dyDescent="0.2">
      <c r="A25" s="7" t="s">
        <v>3034</v>
      </c>
      <c r="B25" s="7" t="s">
        <v>3035</v>
      </c>
      <c r="C25" s="205" t="s">
        <v>3036</v>
      </c>
      <c r="D25" s="255" t="s">
        <v>2662</v>
      </c>
      <c r="E25" s="231">
        <v>25169</v>
      </c>
      <c r="F25" s="207"/>
      <c r="G25" s="3" t="s">
        <v>3037</v>
      </c>
      <c r="H25" s="2"/>
      <c r="I25" s="2"/>
      <c r="J25" s="2" t="s">
        <v>3208</v>
      </c>
    </row>
    <row r="26" spans="1:10" x14ac:dyDescent="0.2">
      <c r="A26" s="7" t="s">
        <v>3045</v>
      </c>
      <c r="B26" s="7" t="s">
        <v>3046</v>
      </c>
      <c r="C26" s="148" t="s">
        <v>3047</v>
      </c>
      <c r="D26" s="255" t="s">
        <v>2658</v>
      </c>
      <c r="E26" s="230">
        <v>51958</v>
      </c>
      <c r="F26" s="207"/>
      <c r="G26" s="3" t="s">
        <v>3037</v>
      </c>
      <c r="H26" s="2"/>
      <c r="I26" s="2"/>
      <c r="J26" s="2" t="s">
        <v>3208</v>
      </c>
    </row>
    <row r="27" spans="1:10" x14ac:dyDescent="0.2">
      <c r="A27" s="7" t="s">
        <v>3050</v>
      </c>
      <c r="B27" s="7" t="s">
        <v>2277</v>
      </c>
      <c r="C27" s="148" t="s">
        <v>3051</v>
      </c>
      <c r="D27" s="255" t="s">
        <v>2658</v>
      </c>
      <c r="E27" s="231">
        <v>50921</v>
      </c>
      <c r="F27" s="207"/>
      <c r="G27" s="3" t="s">
        <v>2979</v>
      </c>
      <c r="H27" s="2"/>
      <c r="I27" s="2"/>
      <c r="J27" s="2" t="s">
        <v>3208</v>
      </c>
    </row>
    <row r="28" spans="1:10" x14ac:dyDescent="0.2">
      <c r="A28" s="7" t="s">
        <v>2306</v>
      </c>
      <c r="B28" s="7" t="s">
        <v>2289</v>
      </c>
      <c r="C28" s="205" t="s">
        <v>489</v>
      </c>
      <c r="D28" s="255" t="s">
        <v>2662</v>
      </c>
      <c r="E28" s="231">
        <v>25580.04</v>
      </c>
      <c r="F28" s="207"/>
      <c r="G28" s="3" t="s">
        <v>2979</v>
      </c>
      <c r="H28" s="3"/>
      <c r="I28" s="3"/>
      <c r="J28" s="2" t="s">
        <v>3208</v>
      </c>
    </row>
    <row r="29" spans="1:10" x14ac:dyDescent="0.2">
      <c r="A29" s="7" t="s">
        <v>2400</v>
      </c>
      <c r="B29" s="7" t="s">
        <v>2401</v>
      </c>
      <c r="C29" s="205" t="s">
        <v>202</v>
      </c>
      <c r="D29" s="255" t="s">
        <v>2662</v>
      </c>
      <c r="E29" s="231">
        <v>27125.040000000001</v>
      </c>
      <c r="F29" s="207"/>
      <c r="G29" s="3" t="s">
        <v>2815</v>
      </c>
      <c r="H29" s="2"/>
      <c r="I29" s="2"/>
      <c r="J29" s="2" t="s">
        <v>3208</v>
      </c>
    </row>
    <row r="30" spans="1:10" x14ac:dyDescent="0.2">
      <c r="A30" s="7" t="s">
        <v>2397</v>
      </c>
      <c r="B30" s="7" t="s">
        <v>2398</v>
      </c>
      <c r="C30" s="205" t="s">
        <v>2293</v>
      </c>
      <c r="D30" s="255" t="s">
        <v>2662</v>
      </c>
      <c r="E30" s="231">
        <v>24756</v>
      </c>
      <c r="F30" s="207"/>
      <c r="G30" s="2" t="s">
        <v>2691</v>
      </c>
      <c r="H30" s="2"/>
      <c r="I30" s="2"/>
      <c r="J30" s="2" t="s">
        <v>3208</v>
      </c>
    </row>
    <row r="31" spans="1:10" x14ac:dyDescent="0.2">
      <c r="A31" s="7" t="s">
        <v>2814</v>
      </c>
      <c r="B31" s="7" t="s">
        <v>2323</v>
      </c>
      <c r="C31" s="205" t="s">
        <v>2813</v>
      </c>
      <c r="D31" s="255" t="s">
        <v>2662</v>
      </c>
      <c r="E31" s="231">
        <f>26094.92+5000.08</f>
        <v>31095</v>
      </c>
      <c r="F31" s="207"/>
      <c r="G31" s="3" t="s">
        <v>2985</v>
      </c>
      <c r="H31" s="2"/>
      <c r="I31" s="2"/>
      <c r="J31" s="2" t="s">
        <v>3208</v>
      </c>
    </row>
    <row r="32" spans="1:10" x14ac:dyDescent="0.2">
      <c r="A32" s="7" t="s">
        <v>2420</v>
      </c>
      <c r="B32" s="7" t="s">
        <v>2223</v>
      </c>
      <c r="C32" s="162" t="s">
        <v>2210</v>
      </c>
      <c r="D32" s="255" t="s">
        <v>2661</v>
      </c>
      <c r="E32" s="231">
        <v>47147.519999999997</v>
      </c>
      <c r="F32" s="207"/>
      <c r="G32" s="2" t="s">
        <v>3157</v>
      </c>
      <c r="H32" s="3"/>
      <c r="I32" s="3"/>
      <c r="J32" s="2" t="s">
        <v>3208</v>
      </c>
    </row>
    <row r="33" spans="1:10" x14ac:dyDescent="0.2">
      <c r="A33" s="7" t="s">
        <v>2500</v>
      </c>
      <c r="B33" s="7" t="s">
        <v>2501</v>
      </c>
      <c r="C33" s="167" t="s">
        <v>2017</v>
      </c>
      <c r="D33" s="255" t="s">
        <v>2661</v>
      </c>
      <c r="E33" s="231">
        <v>24345</v>
      </c>
      <c r="F33" s="207"/>
      <c r="G33" s="3" t="s">
        <v>2698</v>
      </c>
      <c r="H33" s="2"/>
      <c r="I33" s="2"/>
      <c r="J33" s="2" t="s">
        <v>3208</v>
      </c>
    </row>
    <row r="34" spans="1:10" x14ac:dyDescent="0.2">
      <c r="A34" s="7" t="s">
        <v>2389</v>
      </c>
      <c r="B34" s="7" t="s">
        <v>2380</v>
      </c>
      <c r="C34" s="220" t="s">
        <v>1130</v>
      </c>
      <c r="D34" s="255" t="s">
        <v>2661</v>
      </c>
      <c r="E34" s="231">
        <v>22597.919999999998</v>
      </c>
      <c r="F34" s="207"/>
      <c r="G34" s="3" t="s">
        <v>2698</v>
      </c>
      <c r="H34" s="2"/>
      <c r="I34" s="2"/>
      <c r="J34" s="2" t="s">
        <v>3208</v>
      </c>
    </row>
    <row r="35" spans="1:10" x14ac:dyDescent="0.2">
      <c r="A35" s="7" t="s">
        <v>2334</v>
      </c>
      <c r="B35" s="7" t="s">
        <v>2335</v>
      </c>
      <c r="C35" s="220" t="s">
        <v>2209</v>
      </c>
      <c r="D35" s="255" t="s">
        <v>2662</v>
      </c>
      <c r="E35" s="231">
        <v>24345</v>
      </c>
      <c r="F35" s="207"/>
      <c r="G35" s="3" t="s">
        <v>2698</v>
      </c>
      <c r="H35" s="2"/>
      <c r="I35" s="2"/>
      <c r="J35" s="2" t="s">
        <v>3208</v>
      </c>
    </row>
    <row r="36" spans="1:10" x14ac:dyDescent="0.2">
      <c r="A36" s="7" t="s">
        <v>2456</v>
      </c>
      <c r="B36" s="7" t="s">
        <v>2380</v>
      </c>
      <c r="C36" s="220" t="s">
        <v>1548</v>
      </c>
      <c r="D36" s="255" t="s">
        <v>2661</v>
      </c>
      <c r="E36" s="231">
        <v>40420.080000000002</v>
      </c>
      <c r="F36" s="207"/>
      <c r="G36" s="3" t="s">
        <v>2698</v>
      </c>
      <c r="H36" s="2"/>
      <c r="I36" s="2"/>
      <c r="J36" s="2" t="s">
        <v>3208</v>
      </c>
    </row>
    <row r="37" spans="1:10" x14ac:dyDescent="0.2">
      <c r="A37" s="7" t="s">
        <v>2332</v>
      </c>
      <c r="B37" s="7" t="s">
        <v>2287</v>
      </c>
      <c r="C37" s="220" t="s">
        <v>1355</v>
      </c>
      <c r="D37" s="255" t="s">
        <v>2662</v>
      </c>
      <c r="E37" s="231">
        <v>26922</v>
      </c>
      <c r="F37" s="207"/>
      <c r="G37" s="3" t="s">
        <v>2698</v>
      </c>
      <c r="H37" s="2"/>
      <c r="I37" s="2"/>
      <c r="J37" s="2" t="s">
        <v>3208</v>
      </c>
    </row>
    <row r="38" spans="1:10" x14ac:dyDescent="0.2">
      <c r="A38" s="7" t="s">
        <v>2383</v>
      </c>
      <c r="B38" s="7" t="s">
        <v>2988</v>
      </c>
      <c r="C38" s="165" t="s">
        <v>2987</v>
      </c>
      <c r="D38" s="255" t="s">
        <v>2661</v>
      </c>
      <c r="E38" s="231">
        <v>40401.72</v>
      </c>
      <c r="F38" s="207"/>
      <c r="G38" s="3" t="s">
        <v>2698</v>
      </c>
      <c r="H38" s="2"/>
      <c r="I38" s="2"/>
      <c r="J38" s="2" t="s">
        <v>3208</v>
      </c>
    </row>
    <row r="39" spans="1:10" x14ac:dyDescent="0.2">
      <c r="A39" s="7" t="s">
        <v>2383</v>
      </c>
      <c r="B39" s="7" t="s">
        <v>2990</v>
      </c>
      <c r="C39" s="221" t="s">
        <v>2991</v>
      </c>
      <c r="D39" s="255" t="s">
        <v>2661</v>
      </c>
      <c r="E39" s="231">
        <v>43290.48</v>
      </c>
      <c r="F39" s="207"/>
      <c r="G39" s="3" t="s">
        <v>2698</v>
      </c>
      <c r="H39" s="3"/>
      <c r="I39" s="3"/>
      <c r="J39" s="2" t="s">
        <v>3208</v>
      </c>
    </row>
    <row r="40" spans="1:10" x14ac:dyDescent="0.2">
      <c r="A40" s="7" t="s">
        <v>2459</v>
      </c>
      <c r="B40" s="7" t="s">
        <v>2287</v>
      </c>
      <c r="C40" s="165" t="s">
        <v>2412</v>
      </c>
      <c r="D40" s="255" t="s">
        <v>2661</v>
      </c>
      <c r="E40" s="231">
        <v>43067.040000000001</v>
      </c>
      <c r="F40" s="207"/>
      <c r="G40" s="3" t="s">
        <v>2698</v>
      </c>
      <c r="H40" s="2"/>
      <c r="I40" s="2"/>
      <c r="J40" s="2" t="s">
        <v>3208</v>
      </c>
    </row>
    <row r="41" spans="1:10" x14ac:dyDescent="0.2">
      <c r="A41" s="7" t="s">
        <v>2272</v>
      </c>
      <c r="B41" s="7" t="s">
        <v>2333</v>
      </c>
      <c r="C41" s="220" t="s">
        <v>2208</v>
      </c>
      <c r="D41" s="255" t="s">
        <v>2662</v>
      </c>
      <c r="E41" s="231">
        <v>24138</v>
      </c>
      <c r="F41" s="207"/>
      <c r="G41" s="3" t="s">
        <v>2698</v>
      </c>
      <c r="H41" s="2"/>
      <c r="I41" s="2"/>
      <c r="J41" s="2" t="s">
        <v>3208</v>
      </c>
    </row>
    <row r="42" spans="1:10" x14ac:dyDescent="0.2">
      <c r="A42" s="7" t="s">
        <v>2513</v>
      </c>
      <c r="B42" s="7" t="s">
        <v>2336</v>
      </c>
      <c r="C42" s="220" t="s">
        <v>1394</v>
      </c>
      <c r="D42" s="255" t="s">
        <v>2661</v>
      </c>
      <c r="E42" s="231">
        <v>22597.919999999998</v>
      </c>
      <c r="F42" s="207"/>
      <c r="G42" s="3" t="s">
        <v>2698</v>
      </c>
      <c r="H42" s="2"/>
      <c r="I42" s="2"/>
      <c r="J42" s="2" t="s">
        <v>3208</v>
      </c>
    </row>
    <row r="43" spans="1:10" x14ac:dyDescent="0.2">
      <c r="C43" s="205" t="s">
        <v>3198</v>
      </c>
      <c r="D43" s="255" t="s">
        <v>2662</v>
      </c>
      <c r="E43" s="206">
        <v>25000</v>
      </c>
      <c r="F43" s="207"/>
      <c r="G43" s="3" t="s">
        <v>2698</v>
      </c>
      <c r="H43" s="2"/>
      <c r="I43" s="2"/>
      <c r="J43" s="2" t="s">
        <v>3208</v>
      </c>
    </row>
    <row r="44" spans="1:10" x14ac:dyDescent="0.2">
      <c r="A44" s="7" t="s">
        <v>2830</v>
      </c>
      <c r="B44" s="7" t="s">
        <v>2831</v>
      </c>
      <c r="C44" s="205" t="s">
        <v>2829</v>
      </c>
      <c r="D44" s="255" t="s">
        <v>2662</v>
      </c>
      <c r="E44" s="231">
        <v>23729.040000000001</v>
      </c>
      <c r="F44" s="207"/>
      <c r="G44" s="342" t="s">
        <v>2771</v>
      </c>
      <c r="H44" s="2"/>
      <c r="I44" s="2"/>
      <c r="J44" s="2" t="s">
        <v>3208</v>
      </c>
    </row>
    <row r="45" spans="1:10" x14ac:dyDescent="0.2">
      <c r="A45" s="7" t="s">
        <v>2331</v>
      </c>
      <c r="B45" s="7" t="s">
        <v>2367</v>
      </c>
      <c r="C45" s="202" t="s">
        <v>1267</v>
      </c>
      <c r="D45" s="255" t="s">
        <v>2661</v>
      </c>
      <c r="E45" s="231">
        <v>56041.32</v>
      </c>
      <c r="F45" s="207"/>
      <c r="G45" s="2" t="s">
        <v>2771</v>
      </c>
      <c r="H45" s="2" t="s">
        <v>2677</v>
      </c>
      <c r="J45" s="2" t="s">
        <v>3203</v>
      </c>
    </row>
    <row r="46" spans="1:10" x14ac:dyDescent="0.2">
      <c r="A46" s="7" t="s">
        <v>2502</v>
      </c>
      <c r="B46" s="7" t="s">
        <v>2503</v>
      </c>
      <c r="C46" s="202" t="s">
        <v>1546</v>
      </c>
      <c r="D46" s="255" t="s">
        <v>2661</v>
      </c>
      <c r="E46" s="231">
        <v>59081.16</v>
      </c>
      <c r="F46" s="207"/>
      <c r="G46" s="3" t="s">
        <v>2699</v>
      </c>
      <c r="H46" s="3"/>
      <c r="I46" s="2"/>
      <c r="J46" s="2" t="s">
        <v>3203</v>
      </c>
    </row>
    <row r="47" spans="1:10" x14ac:dyDescent="0.2">
      <c r="A47" s="7" t="s">
        <v>2450</v>
      </c>
      <c r="B47" s="7" t="s">
        <v>2388</v>
      </c>
      <c r="C47" s="203" t="s">
        <v>1402</v>
      </c>
      <c r="D47" s="255" t="s">
        <v>2661</v>
      </c>
      <c r="E47" s="231">
        <v>46296.84</v>
      </c>
      <c r="F47" s="207"/>
      <c r="G47" s="3" t="s">
        <v>2699</v>
      </c>
      <c r="H47" s="3"/>
      <c r="I47" s="3"/>
      <c r="J47" s="2" t="s">
        <v>3203</v>
      </c>
    </row>
    <row r="48" spans="1:10" x14ac:dyDescent="0.2">
      <c r="A48" s="7" t="s">
        <v>2456</v>
      </c>
      <c r="B48" s="7" t="s">
        <v>2287</v>
      </c>
      <c r="C48" s="202" t="s">
        <v>2759</v>
      </c>
      <c r="D48" s="255" t="s">
        <v>2661</v>
      </c>
      <c r="E48" s="230">
        <v>61141.32</v>
      </c>
      <c r="F48" s="207"/>
      <c r="G48" s="3" t="s">
        <v>2700</v>
      </c>
      <c r="H48" s="3"/>
      <c r="I48" s="2"/>
      <c r="J48" s="2" t="s">
        <v>3203</v>
      </c>
    </row>
    <row r="49" spans="1:10" x14ac:dyDescent="0.2">
      <c r="A49" s="7" t="s">
        <v>2394</v>
      </c>
      <c r="B49" s="7" t="s">
        <v>2395</v>
      </c>
      <c r="C49" s="205" t="s">
        <v>1407</v>
      </c>
      <c r="D49" s="255" t="s">
        <v>2662</v>
      </c>
      <c r="E49" s="231">
        <v>24138</v>
      </c>
      <c r="F49" s="207"/>
      <c r="G49" s="3" t="s">
        <v>2700</v>
      </c>
      <c r="H49" s="2"/>
      <c r="I49" s="2"/>
      <c r="J49" s="2" t="s">
        <v>3203</v>
      </c>
    </row>
    <row r="50" spans="1:10" x14ac:dyDescent="0.2">
      <c r="A50" s="7" t="s">
        <v>2330</v>
      </c>
      <c r="B50" s="7" t="s">
        <v>2287</v>
      </c>
      <c r="C50" s="222" t="s">
        <v>2215</v>
      </c>
      <c r="D50" s="255" t="s">
        <v>2661</v>
      </c>
      <c r="E50" s="231">
        <v>26304</v>
      </c>
      <c r="F50" s="207"/>
      <c r="G50" s="3" t="s">
        <v>2700</v>
      </c>
      <c r="H50" s="2"/>
      <c r="I50" s="3"/>
      <c r="J50" s="2" t="s">
        <v>3203</v>
      </c>
    </row>
    <row r="51" spans="1:10" x14ac:dyDescent="0.2">
      <c r="A51" s="7" t="s">
        <v>2383</v>
      </c>
      <c r="B51" s="7" t="s">
        <v>2367</v>
      </c>
      <c r="C51" s="202" t="s">
        <v>2541</v>
      </c>
      <c r="D51" s="255" t="s">
        <v>2661</v>
      </c>
      <c r="E51" s="231">
        <v>42815.76</v>
      </c>
      <c r="F51" s="207"/>
      <c r="G51" s="3" t="s">
        <v>2700</v>
      </c>
      <c r="H51" s="2"/>
      <c r="I51" s="3"/>
      <c r="J51" s="2" t="s">
        <v>3203</v>
      </c>
    </row>
    <row r="52" spans="1:10" x14ac:dyDescent="0.2">
      <c r="A52" s="7" t="s">
        <v>2353</v>
      </c>
      <c r="B52" s="7" t="s">
        <v>2354</v>
      </c>
      <c r="C52" s="203" t="s">
        <v>1450</v>
      </c>
      <c r="D52" s="255" t="s">
        <v>2662</v>
      </c>
      <c r="E52" s="231">
        <v>27036</v>
      </c>
      <c r="F52" s="207"/>
      <c r="G52" s="3" t="s">
        <v>2700</v>
      </c>
      <c r="H52" s="2" t="s">
        <v>2802</v>
      </c>
      <c r="I52" s="2"/>
      <c r="J52" s="2" t="s">
        <v>3203</v>
      </c>
    </row>
    <row r="53" spans="1:10" x14ac:dyDescent="0.2">
      <c r="A53" s="7" t="s">
        <v>2365</v>
      </c>
      <c r="B53" s="7" t="s">
        <v>2366</v>
      </c>
      <c r="C53" s="203" t="s">
        <v>1540</v>
      </c>
      <c r="D53" s="255" t="s">
        <v>2662</v>
      </c>
      <c r="E53" s="231">
        <v>27336</v>
      </c>
      <c r="F53" s="207"/>
      <c r="G53" s="2" t="s">
        <v>2697</v>
      </c>
      <c r="H53" s="2"/>
      <c r="I53" s="2"/>
      <c r="J53" s="2" t="s">
        <v>3203</v>
      </c>
    </row>
    <row r="54" spans="1:10" x14ac:dyDescent="0.2">
      <c r="A54" s="7" t="s">
        <v>2809</v>
      </c>
      <c r="B54" s="7" t="s">
        <v>2810</v>
      </c>
      <c r="C54" s="203" t="s">
        <v>2808</v>
      </c>
      <c r="D54" s="255" t="s">
        <v>2662</v>
      </c>
      <c r="E54" s="231">
        <v>21870</v>
      </c>
      <c r="F54" s="207"/>
      <c r="G54" s="2" t="s">
        <v>2697</v>
      </c>
      <c r="I54" s="2"/>
      <c r="J54" s="2" t="s">
        <v>3203</v>
      </c>
    </row>
    <row r="55" spans="1:10" x14ac:dyDescent="0.2">
      <c r="A55" s="7" t="s">
        <v>2377</v>
      </c>
      <c r="B55" s="7" t="s">
        <v>2376</v>
      </c>
      <c r="C55" s="203" t="s">
        <v>44</v>
      </c>
      <c r="D55" s="255" t="s">
        <v>2662</v>
      </c>
      <c r="E55" s="231">
        <v>24960.959999999999</v>
      </c>
      <c r="F55" s="207"/>
      <c r="G55" s="2" t="s">
        <v>2697</v>
      </c>
      <c r="H55" s="2"/>
      <c r="I55" s="2"/>
      <c r="J55" s="2" t="s">
        <v>3203</v>
      </c>
    </row>
    <row r="56" spans="1:10" x14ac:dyDescent="0.2">
      <c r="A56" s="7" t="s">
        <v>2405</v>
      </c>
      <c r="B56" s="7" t="s">
        <v>2291</v>
      </c>
      <c r="C56" s="203" t="s">
        <v>203</v>
      </c>
      <c r="D56" s="255" t="s">
        <v>2662</v>
      </c>
      <c r="E56" s="231">
        <v>27336</v>
      </c>
      <c r="F56" s="207"/>
      <c r="G56" s="2" t="s">
        <v>2697</v>
      </c>
      <c r="H56" s="2"/>
      <c r="I56" s="2"/>
      <c r="J56" s="2" t="s">
        <v>3203</v>
      </c>
    </row>
    <row r="57" spans="1:10" x14ac:dyDescent="0.2">
      <c r="A57" s="7" t="s">
        <v>2461</v>
      </c>
      <c r="B57" s="7" t="s">
        <v>2249</v>
      </c>
      <c r="C57" s="203" t="s">
        <v>1527</v>
      </c>
      <c r="D57" s="255" t="s">
        <v>2661</v>
      </c>
      <c r="E57" s="231">
        <v>32217</v>
      </c>
      <c r="F57" s="207"/>
      <c r="G57" s="2" t="s">
        <v>2697</v>
      </c>
      <c r="H57" s="2"/>
      <c r="I57" s="2"/>
      <c r="J57" s="2" t="s">
        <v>3203</v>
      </c>
    </row>
    <row r="58" spans="1:10" x14ac:dyDescent="0.2">
      <c r="A58" s="7" t="s">
        <v>2391</v>
      </c>
      <c r="B58" s="7" t="s">
        <v>2392</v>
      </c>
      <c r="C58" s="203" t="s">
        <v>99</v>
      </c>
      <c r="D58" s="255" t="s">
        <v>2662</v>
      </c>
      <c r="E58" s="231">
        <v>25989.96</v>
      </c>
      <c r="F58" s="207"/>
      <c r="G58" s="342" t="s">
        <v>2697</v>
      </c>
      <c r="H58" s="2"/>
      <c r="I58" s="2"/>
      <c r="J58" s="2" t="s">
        <v>3203</v>
      </c>
    </row>
    <row r="59" spans="1:10" x14ac:dyDescent="0.2">
      <c r="A59" s="7" t="s">
        <v>2511</v>
      </c>
      <c r="B59" s="7" t="s">
        <v>2512</v>
      </c>
      <c r="C59" s="202" t="s">
        <v>1392</v>
      </c>
      <c r="D59" s="255" t="s">
        <v>2661</v>
      </c>
      <c r="E59" s="231">
        <v>43954.2</v>
      </c>
      <c r="F59" s="207"/>
      <c r="G59" s="2" t="s">
        <v>2697</v>
      </c>
      <c r="H59" s="2"/>
      <c r="I59" s="2"/>
      <c r="J59" s="2" t="s">
        <v>3203</v>
      </c>
    </row>
    <row r="60" spans="1:10" x14ac:dyDescent="0.2">
      <c r="A60" s="7" t="s">
        <v>2373</v>
      </c>
      <c r="B60" s="7" t="s">
        <v>2374</v>
      </c>
      <c r="C60" s="203" t="s">
        <v>2295</v>
      </c>
      <c r="D60" s="255" t="s">
        <v>2662</v>
      </c>
      <c r="E60" s="231">
        <v>24960.959999999999</v>
      </c>
      <c r="F60" s="207"/>
      <c r="G60" s="2" t="s">
        <v>2697</v>
      </c>
      <c r="H60" s="2"/>
      <c r="I60" s="2"/>
      <c r="J60" s="2" t="s">
        <v>3203</v>
      </c>
    </row>
    <row r="61" spans="1:10" x14ac:dyDescent="0.2">
      <c r="A61" s="7" t="s">
        <v>2552</v>
      </c>
      <c r="B61" s="7" t="s">
        <v>2553</v>
      </c>
      <c r="C61" s="150" t="s">
        <v>179</v>
      </c>
      <c r="D61" s="255" t="s">
        <v>2659</v>
      </c>
      <c r="E61" s="231">
        <v>58716</v>
      </c>
      <c r="F61" s="207"/>
      <c r="G61" s="2" t="s">
        <v>2697</v>
      </c>
      <c r="H61" s="2"/>
      <c r="I61" s="2"/>
      <c r="J61" s="2" t="s">
        <v>3203</v>
      </c>
    </row>
    <row r="62" spans="1:10" x14ac:dyDescent="0.2">
      <c r="A62" s="7" t="s">
        <v>2585</v>
      </c>
      <c r="B62" s="7" t="s">
        <v>2453</v>
      </c>
      <c r="C62" s="156" t="s">
        <v>1071</v>
      </c>
      <c r="D62" s="255" t="s">
        <v>2659</v>
      </c>
      <c r="E62" s="231">
        <v>51914</v>
      </c>
      <c r="F62" s="207"/>
      <c r="G62" s="2" t="s">
        <v>2687</v>
      </c>
      <c r="H62" s="2"/>
      <c r="I62" s="2"/>
      <c r="J62" s="2" t="s">
        <v>3208</v>
      </c>
    </row>
    <row r="63" spans="1:10" x14ac:dyDescent="0.2">
      <c r="A63" s="7" t="s">
        <v>2304</v>
      </c>
      <c r="B63" s="7" t="s">
        <v>2305</v>
      </c>
      <c r="C63" s="203" t="s">
        <v>1333</v>
      </c>
      <c r="D63" s="255" t="s">
        <v>2662</v>
      </c>
      <c r="E63" s="231">
        <v>32142</v>
      </c>
      <c r="F63" s="207"/>
      <c r="G63" s="2" t="s">
        <v>2697</v>
      </c>
      <c r="H63" s="3" t="s">
        <v>2952</v>
      </c>
      <c r="I63" s="3" t="s">
        <v>2798</v>
      </c>
      <c r="J63" s="2" t="s">
        <v>3203</v>
      </c>
    </row>
    <row r="64" spans="1:10" x14ac:dyDescent="0.2">
      <c r="A64" s="7" t="s">
        <v>2437</v>
      </c>
      <c r="B64" s="7" t="s">
        <v>2438</v>
      </c>
      <c r="C64" s="203" t="s">
        <v>1208</v>
      </c>
      <c r="D64" s="255" t="s">
        <v>2661</v>
      </c>
      <c r="E64" s="231">
        <v>27951</v>
      </c>
      <c r="F64" s="207"/>
      <c r="G64" s="2" t="s">
        <v>2697</v>
      </c>
      <c r="H64" s="2"/>
      <c r="I64" s="2"/>
      <c r="J64" s="2" t="s">
        <v>3203</v>
      </c>
    </row>
    <row r="65" spans="1:10" x14ac:dyDescent="0.2">
      <c r="A65" s="7" t="s">
        <v>2473</v>
      </c>
      <c r="B65" s="7" t="s">
        <v>2474</v>
      </c>
      <c r="C65" s="203" t="s">
        <v>1532</v>
      </c>
      <c r="D65" s="255" t="s">
        <v>2661</v>
      </c>
      <c r="E65" s="231">
        <v>36710.400000000001</v>
      </c>
      <c r="F65" s="207"/>
      <c r="G65" s="2" t="s">
        <v>2696</v>
      </c>
      <c r="H65" s="2" t="s">
        <v>2694</v>
      </c>
      <c r="I65" s="2"/>
      <c r="J65" s="2" t="s">
        <v>3203</v>
      </c>
    </row>
    <row r="66" spans="1:10" x14ac:dyDescent="0.2">
      <c r="A66" s="7" t="s">
        <v>2389</v>
      </c>
      <c r="B66" s="7" t="s">
        <v>2388</v>
      </c>
      <c r="C66" s="205" t="s">
        <v>1401</v>
      </c>
      <c r="D66" s="255" t="s">
        <v>2662</v>
      </c>
      <c r="E66" s="231">
        <v>44398.44</v>
      </c>
      <c r="F66" s="207"/>
      <c r="G66" s="2" t="s">
        <v>3204</v>
      </c>
      <c r="H66" s="3"/>
      <c r="I66" s="3"/>
      <c r="J66" s="3" t="s">
        <v>3205</v>
      </c>
    </row>
    <row r="67" spans="1:10" x14ac:dyDescent="0.2">
      <c r="A67" s="7" t="s">
        <v>2643</v>
      </c>
      <c r="B67" s="7" t="s">
        <v>2644</v>
      </c>
      <c r="C67" s="158" t="s">
        <v>82</v>
      </c>
      <c r="D67" s="255" t="s">
        <v>2659</v>
      </c>
      <c r="E67" s="230">
        <v>93524</v>
      </c>
      <c r="F67" s="207"/>
      <c r="G67" s="2" t="s">
        <v>3204</v>
      </c>
      <c r="I67" s="2"/>
      <c r="J67" s="2" t="s">
        <v>3205</v>
      </c>
    </row>
    <row r="68" spans="1:10" x14ac:dyDescent="0.2">
      <c r="A68" s="7" t="s">
        <v>2369</v>
      </c>
      <c r="B68" s="7" t="s">
        <v>2370</v>
      </c>
      <c r="C68" s="205" t="s">
        <v>2296</v>
      </c>
      <c r="D68" s="255" t="s">
        <v>2662</v>
      </c>
      <c r="E68" s="231">
        <v>25989.96</v>
      </c>
      <c r="F68" s="207"/>
      <c r="G68" s="7" t="s">
        <v>2971</v>
      </c>
      <c r="H68" s="2"/>
      <c r="I68" s="2"/>
      <c r="J68" s="2" t="s">
        <v>3205</v>
      </c>
    </row>
    <row r="69" spans="1:10" x14ac:dyDescent="0.2">
      <c r="A69" s="7" t="s">
        <v>2361</v>
      </c>
      <c r="B69" s="7" t="s">
        <v>2362</v>
      </c>
      <c r="C69" s="205" t="s">
        <v>2218</v>
      </c>
      <c r="D69" s="255" t="s">
        <v>2662</v>
      </c>
      <c r="E69" s="231">
        <v>26508.959999999999</v>
      </c>
      <c r="F69" s="207"/>
      <c r="G69" s="7" t="s">
        <v>2971</v>
      </c>
      <c r="H69" s="2"/>
      <c r="I69" s="2"/>
      <c r="J69" s="2" t="s">
        <v>3203</v>
      </c>
    </row>
    <row r="70" spans="1:10" x14ac:dyDescent="0.2">
      <c r="A70" s="7" t="s">
        <v>2789</v>
      </c>
      <c r="B70" s="7" t="s">
        <v>2393</v>
      </c>
      <c r="C70" s="202" t="s">
        <v>2772</v>
      </c>
      <c r="D70" s="255" t="s">
        <v>2661</v>
      </c>
      <c r="E70" s="231">
        <v>35480.04</v>
      </c>
      <c r="F70" s="207"/>
      <c r="G70" s="342" t="s">
        <v>2971</v>
      </c>
      <c r="H70" s="2"/>
      <c r="I70" s="3"/>
      <c r="J70" s="2" t="s">
        <v>3203</v>
      </c>
    </row>
    <row r="71" spans="1:10" x14ac:dyDescent="0.2">
      <c r="A71" s="7" t="s">
        <v>2494</v>
      </c>
      <c r="B71" s="7" t="s">
        <v>2495</v>
      </c>
      <c r="C71" s="202" t="s">
        <v>1544</v>
      </c>
      <c r="D71" s="255" t="s">
        <v>2661</v>
      </c>
      <c r="E71" s="231">
        <v>53733.599999999999</v>
      </c>
      <c r="F71" s="207"/>
      <c r="G71" s="7" t="s">
        <v>2971</v>
      </c>
      <c r="H71" s="2" t="s">
        <v>2694</v>
      </c>
      <c r="I71" s="2"/>
      <c r="J71" s="2" t="s">
        <v>3203</v>
      </c>
    </row>
    <row r="72" spans="1:10" x14ac:dyDescent="0.2">
      <c r="A72" s="7" t="s">
        <v>2448</v>
      </c>
      <c r="B72" s="7" t="s">
        <v>2449</v>
      </c>
      <c r="C72" s="205" t="s">
        <v>533</v>
      </c>
      <c r="D72" s="255" t="s">
        <v>2661</v>
      </c>
      <c r="E72" s="231">
        <v>50600.04</v>
      </c>
      <c r="F72" s="207"/>
      <c r="G72" s="7" t="s">
        <v>2971</v>
      </c>
      <c r="H72" s="3"/>
      <c r="I72" s="3"/>
      <c r="J72" s="2" t="s">
        <v>3205</v>
      </c>
    </row>
    <row r="73" spans="1:10" x14ac:dyDescent="0.2">
      <c r="A73" s="7" t="s">
        <v>2631</v>
      </c>
      <c r="B73" s="7" t="s">
        <v>2632</v>
      </c>
      <c r="C73" s="149" t="s">
        <v>81</v>
      </c>
      <c r="D73" s="255" t="s">
        <v>2659</v>
      </c>
      <c r="E73" s="231">
        <v>72500</v>
      </c>
      <c r="F73" s="208"/>
      <c r="G73" s="7" t="s">
        <v>2971</v>
      </c>
      <c r="H73" s="7" t="s">
        <v>2695</v>
      </c>
      <c r="I73" s="3"/>
      <c r="J73" s="2" t="s">
        <v>3205</v>
      </c>
    </row>
    <row r="74" spans="1:10" x14ac:dyDescent="0.2">
      <c r="A74" s="7" t="s">
        <v>2347</v>
      </c>
      <c r="B74" s="7" t="s">
        <v>2253</v>
      </c>
      <c r="C74" s="205" t="s">
        <v>1531</v>
      </c>
      <c r="D74" s="255" t="s">
        <v>2662</v>
      </c>
      <c r="E74" s="231">
        <v>27951</v>
      </c>
      <c r="F74" s="207"/>
      <c r="G74" s="7" t="s">
        <v>2971</v>
      </c>
      <c r="H74" s="7" t="s">
        <v>2695</v>
      </c>
      <c r="I74" s="2"/>
      <c r="J74" s="2" t="s">
        <v>3205</v>
      </c>
    </row>
    <row r="75" spans="1:10" x14ac:dyDescent="0.2">
      <c r="A75" s="7" t="s">
        <v>2555</v>
      </c>
      <c r="B75" s="7" t="s">
        <v>2556</v>
      </c>
      <c r="C75" s="151" t="s">
        <v>2546</v>
      </c>
      <c r="D75" s="255" t="s">
        <v>2659</v>
      </c>
      <c r="E75" s="231">
        <v>83391</v>
      </c>
      <c r="F75" s="232"/>
      <c r="G75" s="7" t="s">
        <v>2971</v>
      </c>
      <c r="H75" s="7" t="s">
        <v>2695</v>
      </c>
      <c r="J75" s="2" t="s">
        <v>3205</v>
      </c>
    </row>
    <row r="76" spans="1:10" x14ac:dyDescent="0.2">
      <c r="A76" s="7" t="s">
        <v>2882</v>
      </c>
      <c r="B76" s="7" t="s">
        <v>2883</v>
      </c>
      <c r="C76" s="274" t="s">
        <v>2801</v>
      </c>
      <c r="D76" s="255" t="s">
        <v>2662</v>
      </c>
      <c r="E76" s="231">
        <v>25169.040000000001</v>
      </c>
      <c r="F76" s="207"/>
      <c r="G76" s="7" t="s">
        <v>2971</v>
      </c>
      <c r="H76" s="3"/>
      <c r="I76" s="3"/>
      <c r="J76" s="2" t="s">
        <v>3205</v>
      </c>
    </row>
    <row r="77" spans="1:10" x14ac:dyDescent="0.2">
      <c r="A77" s="7" t="s">
        <v>2343</v>
      </c>
      <c r="B77" s="7" t="s">
        <v>2250</v>
      </c>
      <c r="C77" s="205" t="s">
        <v>2298</v>
      </c>
      <c r="D77" s="255" t="s">
        <v>2662</v>
      </c>
      <c r="E77" s="231">
        <v>25989.96</v>
      </c>
      <c r="F77" s="207"/>
      <c r="G77" s="7" t="s">
        <v>2971</v>
      </c>
      <c r="H77" s="7" t="s">
        <v>2695</v>
      </c>
      <c r="I77" s="251"/>
      <c r="J77" s="2" t="s">
        <v>3205</v>
      </c>
    </row>
    <row r="78" spans="1:10" x14ac:dyDescent="0.2">
      <c r="A78" s="7" t="s">
        <v>2355</v>
      </c>
      <c r="B78" s="7" t="s">
        <v>2356</v>
      </c>
      <c r="C78" s="205" t="s">
        <v>1533</v>
      </c>
      <c r="D78" s="255" t="s">
        <v>2662</v>
      </c>
      <c r="E78" s="231">
        <v>42811.68</v>
      </c>
      <c r="F78" s="207"/>
      <c r="G78" s="7" t="s">
        <v>2971</v>
      </c>
      <c r="H78" s="2"/>
      <c r="I78" s="2"/>
      <c r="J78" s="2" t="s">
        <v>3205</v>
      </c>
    </row>
    <row r="79" spans="1:10" x14ac:dyDescent="0.2">
      <c r="A79" s="7" t="s">
        <v>2496</v>
      </c>
      <c r="B79" s="7" t="s">
        <v>2495</v>
      </c>
      <c r="C79" s="202" t="s">
        <v>1325</v>
      </c>
      <c r="D79" s="255" t="s">
        <v>2661</v>
      </c>
      <c r="E79" s="231">
        <v>54043.8</v>
      </c>
      <c r="F79" s="207"/>
      <c r="G79" s="7" t="s">
        <v>2971</v>
      </c>
      <c r="H79" s="2"/>
      <c r="I79" s="2"/>
      <c r="J79" s="2" t="s">
        <v>3203</v>
      </c>
    </row>
    <row r="80" spans="1:10" x14ac:dyDescent="0.2">
      <c r="A80" s="7" t="s">
        <v>2341</v>
      </c>
      <c r="B80" s="7" t="s">
        <v>2244</v>
      </c>
      <c r="C80" s="205" t="s">
        <v>597</v>
      </c>
      <c r="D80" s="255" t="s">
        <v>2662</v>
      </c>
      <c r="E80" s="231">
        <v>26508.959999999999</v>
      </c>
      <c r="F80" s="207"/>
      <c r="G80" s="7" t="s">
        <v>2971</v>
      </c>
      <c r="H80" s="2"/>
      <c r="I80" s="2"/>
      <c r="J80" s="2" t="s">
        <v>3203</v>
      </c>
    </row>
    <row r="81" spans="1:10" x14ac:dyDescent="0.2">
      <c r="A81" s="7" t="s">
        <v>2434</v>
      </c>
      <c r="B81" s="7" t="s">
        <v>2536</v>
      </c>
      <c r="C81" s="202" t="s">
        <v>760</v>
      </c>
      <c r="D81" s="255" t="s">
        <v>2661</v>
      </c>
      <c r="E81" s="231">
        <v>42779.040000000001</v>
      </c>
      <c r="F81" s="207"/>
      <c r="G81" s="7" t="s">
        <v>2971</v>
      </c>
      <c r="H81" s="3"/>
      <c r="I81" s="3"/>
      <c r="J81" s="2" t="s">
        <v>3203</v>
      </c>
    </row>
    <row r="82" spans="1:10" x14ac:dyDescent="0.2">
      <c r="C82" s="150" t="s">
        <v>3159</v>
      </c>
      <c r="D82" s="255" t="s">
        <v>2661</v>
      </c>
      <c r="E82" s="206">
        <v>30000</v>
      </c>
      <c r="F82" s="207"/>
      <c r="G82" s="7" t="s">
        <v>2971</v>
      </c>
      <c r="H82" s="2"/>
      <c r="I82" s="2"/>
      <c r="J82" s="2" t="s">
        <v>3203</v>
      </c>
    </row>
    <row r="83" spans="1:10" x14ac:dyDescent="0.2">
      <c r="A83" s="7" t="s">
        <v>2463</v>
      </c>
      <c r="B83" s="7" t="s">
        <v>2630</v>
      </c>
      <c r="C83" s="149" t="s">
        <v>80</v>
      </c>
      <c r="D83" s="255" t="s">
        <v>2659</v>
      </c>
      <c r="E83" s="231">
        <v>46685</v>
      </c>
      <c r="F83" s="207"/>
      <c r="G83" s="2" t="s">
        <v>2949</v>
      </c>
      <c r="H83" s="2"/>
      <c r="I83" s="2"/>
      <c r="J83" s="2" t="s">
        <v>3208</v>
      </c>
    </row>
    <row r="84" spans="1:10" s="257" customFormat="1" x14ac:dyDescent="0.2">
      <c r="A84" s="7" t="s">
        <v>2454</v>
      </c>
      <c r="B84" s="7" t="s">
        <v>2455</v>
      </c>
      <c r="C84" s="202" t="s">
        <v>1464</v>
      </c>
      <c r="D84" s="255" t="s">
        <v>2661</v>
      </c>
      <c r="E84" s="231">
        <v>61251.12</v>
      </c>
      <c r="F84" s="207"/>
      <c r="G84" s="2" t="s">
        <v>2749</v>
      </c>
      <c r="H84" s="2"/>
      <c r="I84" s="3"/>
      <c r="J84" s="3" t="s">
        <v>3207</v>
      </c>
    </row>
    <row r="85" spans="1:10" x14ac:dyDescent="0.2">
      <c r="A85" s="7" t="s">
        <v>2378</v>
      </c>
      <c r="B85" s="7" t="s">
        <v>2379</v>
      </c>
      <c r="C85" s="205" t="s">
        <v>2018</v>
      </c>
      <c r="D85" s="255" t="s">
        <v>2662</v>
      </c>
      <c r="E85" s="231">
        <v>35835.96</v>
      </c>
      <c r="F85" s="207"/>
      <c r="G85" s="2" t="s">
        <v>2749</v>
      </c>
      <c r="H85" s="2"/>
      <c r="I85" s="2"/>
      <c r="J85" s="3" t="s">
        <v>3207</v>
      </c>
    </row>
    <row r="86" spans="1:10" x14ac:dyDescent="0.2">
      <c r="C86" s="150" t="s">
        <v>3168</v>
      </c>
      <c r="D86" s="255" t="s">
        <v>2661</v>
      </c>
      <c r="E86" s="206">
        <v>40000</v>
      </c>
      <c r="F86" s="207"/>
      <c r="G86" s="2" t="s">
        <v>3170</v>
      </c>
      <c r="H86" s="2"/>
      <c r="I86" s="2"/>
      <c r="J86" s="2" t="s">
        <v>3203</v>
      </c>
    </row>
    <row r="87" spans="1:10" x14ac:dyDescent="0.2">
      <c r="A87" s="7" t="s">
        <v>2320</v>
      </c>
      <c r="B87" s="7" t="s">
        <v>2321</v>
      </c>
      <c r="C87" s="205" t="s">
        <v>349</v>
      </c>
      <c r="D87" s="255" t="s">
        <v>2662</v>
      </c>
      <c r="E87" s="231">
        <v>35480.04</v>
      </c>
      <c r="F87" s="207"/>
      <c r="G87" s="2" t="s">
        <v>3210</v>
      </c>
      <c r="H87" s="2"/>
      <c r="I87" s="2"/>
      <c r="J87" s="2" t="s">
        <v>3203</v>
      </c>
    </row>
    <row r="88" spans="1:10" x14ac:dyDescent="0.2">
      <c r="A88" s="7" t="s">
        <v>2231</v>
      </c>
      <c r="B88" s="7" t="s">
        <v>2462</v>
      </c>
      <c r="C88" s="202" t="s">
        <v>1295</v>
      </c>
      <c r="D88" s="255" t="s">
        <v>2661</v>
      </c>
      <c r="E88" s="231">
        <v>70858.2</v>
      </c>
      <c r="F88" s="207"/>
      <c r="G88" s="2" t="s">
        <v>2964</v>
      </c>
      <c r="H88" s="2"/>
      <c r="I88" s="2"/>
      <c r="J88" s="2" t="s">
        <v>3208</v>
      </c>
    </row>
    <row r="89" spans="1:10" x14ac:dyDescent="0.2">
      <c r="A89" s="7" t="s">
        <v>2403</v>
      </c>
      <c r="B89" s="7" t="s">
        <v>2404</v>
      </c>
      <c r="C89" s="205" t="s">
        <v>602</v>
      </c>
      <c r="D89" s="255" t="s">
        <v>2662</v>
      </c>
      <c r="E89" s="231">
        <f>13047.48*2</f>
        <v>26094.959999999999</v>
      </c>
      <c r="F89" s="207"/>
      <c r="G89" s="2" t="s">
        <v>2964</v>
      </c>
      <c r="H89" s="2" t="s">
        <v>2949</v>
      </c>
      <c r="I89" s="2"/>
      <c r="J89" s="2" t="s">
        <v>3208</v>
      </c>
    </row>
    <row r="90" spans="1:10" x14ac:dyDescent="0.2">
      <c r="A90" s="7" t="s">
        <v>2383</v>
      </c>
      <c r="B90" s="7" t="s">
        <v>2269</v>
      </c>
      <c r="C90" s="205" t="s">
        <v>1395</v>
      </c>
      <c r="D90" s="255" t="s">
        <v>2662</v>
      </c>
      <c r="E90" s="231">
        <v>26304</v>
      </c>
      <c r="F90" s="207"/>
      <c r="G90" s="2" t="s">
        <v>2694</v>
      </c>
      <c r="H90" s="2"/>
      <c r="I90" s="2"/>
      <c r="J90" s="2" t="s">
        <v>3208</v>
      </c>
    </row>
    <row r="91" spans="1:10" x14ac:dyDescent="0.2">
      <c r="A91" s="7" t="s">
        <v>2383</v>
      </c>
      <c r="B91" s="7" t="s">
        <v>2396</v>
      </c>
      <c r="C91" s="205" t="s">
        <v>598</v>
      </c>
      <c r="D91" s="255" t="s">
        <v>2662</v>
      </c>
      <c r="E91" s="231">
        <v>24552.959999999999</v>
      </c>
      <c r="F91" s="207"/>
      <c r="G91" s="2" t="s">
        <v>2694</v>
      </c>
      <c r="H91" s="2"/>
      <c r="I91" s="2"/>
      <c r="J91" s="2" t="s">
        <v>3208</v>
      </c>
    </row>
    <row r="92" spans="1:10" x14ac:dyDescent="0.2">
      <c r="A92" s="7" t="s">
        <v>2517</v>
      </c>
      <c r="B92" s="7" t="s">
        <v>2388</v>
      </c>
      <c r="C92" s="202" t="s">
        <v>2410</v>
      </c>
      <c r="D92" s="255" t="s">
        <v>2661</v>
      </c>
      <c r="E92" s="231">
        <v>43067.040000000001</v>
      </c>
      <c r="F92" s="207"/>
      <c r="G92" s="2" t="s">
        <v>2694</v>
      </c>
      <c r="H92" s="2"/>
      <c r="I92" s="2"/>
      <c r="J92" s="2" t="s">
        <v>3208</v>
      </c>
    </row>
    <row r="93" spans="1:10" x14ac:dyDescent="0.2">
      <c r="A93" s="7" t="s">
        <v>2424</v>
      </c>
      <c r="B93" s="7" t="s">
        <v>2425</v>
      </c>
      <c r="C93" s="156" t="s">
        <v>1203</v>
      </c>
      <c r="D93" s="255" t="s">
        <v>2661</v>
      </c>
      <c r="E93" s="231">
        <v>75900</v>
      </c>
      <c r="F93" s="207"/>
      <c r="G93" s="2" t="s">
        <v>2694</v>
      </c>
      <c r="H93" s="2" t="s">
        <v>2698</v>
      </c>
      <c r="I93" s="2"/>
      <c r="J93" s="2" t="s">
        <v>3208</v>
      </c>
    </row>
    <row r="94" spans="1:10" x14ac:dyDescent="0.2">
      <c r="C94" s="202" t="s">
        <v>3069</v>
      </c>
      <c r="D94" s="255" t="s">
        <v>2661</v>
      </c>
      <c r="E94" s="206">
        <v>40000</v>
      </c>
      <c r="F94" s="207"/>
      <c r="G94" s="2" t="s">
        <v>2694</v>
      </c>
      <c r="H94" s="2"/>
      <c r="I94" s="2"/>
      <c r="J94" s="2" t="s">
        <v>3208</v>
      </c>
    </row>
    <row r="95" spans="1:10" x14ac:dyDescent="0.2">
      <c r="A95" s="7" t="s">
        <v>2418</v>
      </c>
      <c r="B95" s="7" t="s">
        <v>2419</v>
      </c>
      <c r="C95" s="156" t="s">
        <v>1335</v>
      </c>
      <c r="D95" s="255" t="s">
        <v>2661</v>
      </c>
      <c r="E95" s="231">
        <v>45913.919999999998</v>
      </c>
      <c r="F95" s="207"/>
      <c r="G95" s="3" t="s">
        <v>2693</v>
      </c>
      <c r="H95" s="3" t="s">
        <v>2699</v>
      </c>
      <c r="I95" s="3"/>
      <c r="J95" s="2" t="s">
        <v>3203</v>
      </c>
    </row>
    <row r="96" spans="1:10" x14ac:dyDescent="0.2">
      <c r="A96" s="7" t="s">
        <v>2349</v>
      </c>
      <c r="B96" s="7" t="s">
        <v>2253</v>
      </c>
      <c r="C96" s="205" t="s">
        <v>742</v>
      </c>
      <c r="D96" s="255" t="s">
        <v>2662</v>
      </c>
      <c r="E96" s="231">
        <v>35301.96</v>
      </c>
      <c r="F96" s="207"/>
      <c r="G96" s="3" t="s">
        <v>2693</v>
      </c>
      <c r="H96" s="2" t="s">
        <v>3087</v>
      </c>
      <c r="I96" s="2"/>
      <c r="J96" s="2" t="s">
        <v>3203</v>
      </c>
    </row>
    <row r="97" spans="1:10" x14ac:dyDescent="0.2">
      <c r="C97" s="150" t="s">
        <v>3169</v>
      </c>
      <c r="D97" s="255" t="s">
        <v>2661</v>
      </c>
      <c r="E97" s="206">
        <v>60000</v>
      </c>
      <c r="F97" s="207"/>
      <c r="G97" s="7" t="s">
        <v>3171</v>
      </c>
      <c r="H97" s="2"/>
      <c r="I97" s="2"/>
      <c r="J97" s="2" t="s">
        <v>3207</v>
      </c>
    </row>
    <row r="98" spans="1:10" x14ac:dyDescent="0.2">
      <c r="A98" s="7" t="s">
        <v>2622</v>
      </c>
      <c r="B98" s="7" t="s">
        <v>2510</v>
      </c>
      <c r="C98" s="149" t="s">
        <v>1270</v>
      </c>
      <c r="D98" s="255" t="s">
        <v>2659</v>
      </c>
      <c r="E98" s="231">
        <v>45932</v>
      </c>
      <c r="F98" s="232"/>
      <c r="G98" s="2" t="s">
        <v>2687</v>
      </c>
      <c r="J98" s="2" t="s">
        <v>3208</v>
      </c>
    </row>
    <row r="99" spans="1:10" x14ac:dyDescent="0.2">
      <c r="A99" s="7" t="s">
        <v>2579</v>
      </c>
      <c r="B99" s="7" t="s">
        <v>2580</v>
      </c>
      <c r="C99" s="149" t="s">
        <v>1778</v>
      </c>
      <c r="D99" s="255" t="s">
        <v>2659</v>
      </c>
      <c r="E99" s="231">
        <v>44592</v>
      </c>
      <c r="F99" s="232"/>
      <c r="G99" s="2" t="s">
        <v>2687</v>
      </c>
      <c r="H99" s="2" t="s">
        <v>2692</v>
      </c>
      <c r="J99" s="2" t="s">
        <v>3208</v>
      </c>
    </row>
    <row r="100" spans="1:10" x14ac:dyDescent="0.2">
      <c r="A100" s="7" t="s">
        <v>2418</v>
      </c>
      <c r="B100" s="7" t="s">
        <v>2253</v>
      </c>
      <c r="C100" s="149" t="s">
        <v>1468</v>
      </c>
      <c r="D100" s="255" t="s">
        <v>2659</v>
      </c>
      <c r="E100" s="231">
        <v>51723</v>
      </c>
      <c r="F100" s="208"/>
      <c r="G100" s="2" t="s">
        <v>2687</v>
      </c>
      <c r="H100" s="3"/>
      <c r="I100" s="3"/>
      <c r="J100" s="2" t="s">
        <v>3208</v>
      </c>
    </row>
    <row r="101" spans="1:10" x14ac:dyDescent="0.2">
      <c r="A101" s="7" t="s">
        <v>2276</v>
      </c>
      <c r="B101" s="7" t="s">
        <v>2617</v>
      </c>
      <c r="C101" s="149" t="s">
        <v>655</v>
      </c>
      <c r="D101" s="255" t="s">
        <v>2659</v>
      </c>
      <c r="E101" s="231">
        <v>47372</v>
      </c>
      <c r="F101" s="207"/>
      <c r="G101" s="2" t="s">
        <v>2687</v>
      </c>
      <c r="H101" s="2"/>
      <c r="I101" s="2"/>
      <c r="J101" s="2" t="s">
        <v>3208</v>
      </c>
    </row>
    <row r="102" spans="1:10" x14ac:dyDescent="0.2">
      <c r="A102" s="7" t="s">
        <v>2515</v>
      </c>
      <c r="B102" s="7" t="s">
        <v>2516</v>
      </c>
      <c r="C102" s="202" t="s">
        <v>604</v>
      </c>
      <c r="D102" s="255" t="s">
        <v>2661</v>
      </c>
      <c r="E102" s="231">
        <v>42213.96</v>
      </c>
      <c r="F102" s="207"/>
      <c r="G102" s="2" t="s">
        <v>2687</v>
      </c>
      <c r="H102" s="2"/>
      <c r="I102" s="2"/>
      <c r="J102" s="2" t="s">
        <v>3208</v>
      </c>
    </row>
    <row r="103" spans="1:10" x14ac:dyDescent="0.2">
      <c r="A103" s="7" t="s">
        <v>2547</v>
      </c>
      <c r="B103" s="7" t="s">
        <v>2548</v>
      </c>
      <c r="C103" s="149" t="s">
        <v>1451</v>
      </c>
      <c r="D103" s="255" t="s">
        <v>2659</v>
      </c>
      <c r="E103" s="231">
        <f>25381.5*2</f>
        <v>50763</v>
      </c>
      <c r="F103" s="208"/>
      <c r="G103" s="2" t="s">
        <v>2687</v>
      </c>
      <c r="H103" s="3"/>
      <c r="I103" s="3"/>
      <c r="J103" s="2" t="s">
        <v>3208</v>
      </c>
    </row>
    <row r="104" spans="1:10" x14ac:dyDescent="0.2">
      <c r="A104" s="7" t="s">
        <v>2226</v>
      </c>
      <c r="B104" s="7" t="s">
        <v>2491</v>
      </c>
      <c r="C104" s="147" t="s">
        <v>1189</v>
      </c>
      <c r="D104" s="255" t="s">
        <v>2658</v>
      </c>
      <c r="E104" s="231">
        <v>42582</v>
      </c>
      <c r="F104" s="207"/>
      <c r="G104" s="2" t="s">
        <v>2687</v>
      </c>
      <c r="H104" s="2"/>
      <c r="I104" s="2"/>
      <c r="J104" s="2" t="s">
        <v>3208</v>
      </c>
    </row>
    <row r="105" spans="1:10" x14ac:dyDescent="0.2">
      <c r="A105" s="7" t="s">
        <v>2465</v>
      </c>
      <c r="B105" s="7" t="s">
        <v>2466</v>
      </c>
      <c r="C105" s="147" t="s">
        <v>786</v>
      </c>
      <c r="D105" s="255" t="s">
        <v>2658</v>
      </c>
      <c r="E105" s="231">
        <v>42582</v>
      </c>
      <c r="F105" s="207"/>
      <c r="G105" s="2" t="s">
        <v>2687</v>
      </c>
      <c r="H105" s="2"/>
      <c r="I105" s="2"/>
      <c r="J105" s="2" t="s">
        <v>3208</v>
      </c>
    </row>
    <row r="106" spans="1:10" x14ac:dyDescent="0.2">
      <c r="A106" s="7" t="s">
        <v>2557</v>
      </c>
      <c r="B106" s="7" t="s">
        <v>2558</v>
      </c>
      <c r="C106" s="149" t="s">
        <v>1454</v>
      </c>
      <c r="D106" s="255" t="s">
        <v>2659</v>
      </c>
      <c r="E106" s="230">
        <v>55224</v>
      </c>
      <c r="F106" s="207"/>
      <c r="G106" s="2" t="s">
        <v>2687</v>
      </c>
      <c r="H106" s="2"/>
      <c r="I106" s="2"/>
      <c r="J106" s="2" t="s">
        <v>3208</v>
      </c>
    </row>
    <row r="107" spans="1:10" x14ac:dyDescent="0.2">
      <c r="A107" s="7" t="s">
        <v>2589</v>
      </c>
      <c r="B107" s="7" t="s">
        <v>2588</v>
      </c>
      <c r="C107" s="149" t="s">
        <v>74</v>
      </c>
      <c r="D107" s="255" t="s">
        <v>2659</v>
      </c>
      <c r="E107" s="230">
        <v>55474</v>
      </c>
      <c r="F107" s="207"/>
      <c r="G107" s="2" t="s">
        <v>2687</v>
      </c>
      <c r="H107" s="2"/>
      <c r="I107" s="2"/>
      <c r="J107" s="2" t="s">
        <v>3208</v>
      </c>
    </row>
    <row r="108" spans="1:10" x14ac:dyDescent="0.2">
      <c r="A108" s="7" t="s">
        <v>3042</v>
      </c>
      <c r="B108" s="7" t="s">
        <v>3043</v>
      </c>
      <c r="C108" s="149" t="s">
        <v>3044</v>
      </c>
      <c r="D108" s="255" t="s">
        <v>2658</v>
      </c>
      <c r="E108" s="231">
        <v>37389.599999999999</v>
      </c>
      <c r="F108" s="207"/>
      <c r="G108" s="2" t="s">
        <v>2687</v>
      </c>
      <c r="H108" s="2"/>
      <c r="I108" s="2"/>
      <c r="J108" s="2" t="s">
        <v>3208</v>
      </c>
    </row>
    <row r="109" spans="1:10" x14ac:dyDescent="0.2">
      <c r="A109" s="7" t="s">
        <v>2633</v>
      </c>
      <c r="B109" s="7" t="s">
        <v>2634</v>
      </c>
      <c r="C109" s="149" t="s">
        <v>658</v>
      </c>
      <c r="D109" s="255" t="s">
        <v>2659</v>
      </c>
      <c r="E109" s="231">
        <v>45387</v>
      </c>
      <c r="F109" s="208"/>
      <c r="G109" s="2" t="s">
        <v>2687</v>
      </c>
      <c r="H109" s="3"/>
      <c r="I109" s="3"/>
      <c r="J109" s="2" t="s">
        <v>3208</v>
      </c>
    </row>
    <row r="110" spans="1:10" x14ac:dyDescent="0.2">
      <c r="A110" s="7" t="s">
        <v>2581</v>
      </c>
      <c r="B110" s="7" t="s">
        <v>2582</v>
      </c>
      <c r="C110" s="149" t="s">
        <v>1773</v>
      </c>
      <c r="D110" s="255" t="s">
        <v>2659</v>
      </c>
      <c r="E110" s="230">
        <v>47372</v>
      </c>
      <c r="F110" s="207"/>
      <c r="G110" s="2" t="s">
        <v>2687</v>
      </c>
      <c r="H110" s="2"/>
      <c r="I110" s="2"/>
      <c r="J110" s="2" t="s">
        <v>3208</v>
      </c>
    </row>
    <row r="111" spans="1:10" x14ac:dyDescent="0.2">
      <c r="A111" s="7" t="s">
        <v>2518</v>
      </c>
      <c r="B111" s="7" t="s">
        <v>2519</v>
      </c>
      <c r="C111" s="147" t="s">
        <v>1283</v>
      </c>
      <c r="D111" s="255" t="s">
        <v>2658</v>
      </c>
      <c r="E111" s="230">
        <v>45261.96</v>
      </c>
      <c r="F111" s="207"/>
      <c r="G111" s="2" t="s">
        <v>2687</v>
      </c>
      <c r="H111" s="2"/>
      <c r="I111" s="2"/>
      <c r="J111" s="2" t="s">
        <v>3208</v>
      </c>
    </row>
    <row r="112" spans="1:10" x14ac:dyDescent="0.2">
      <c r="A112" s="7" t="s">
        <v>2645</v>
      </c>
      <c r="B112" s="7" t="s">
        <v>2646</v>
      </c>
      <c r="C112" s="149" t="s">
        <v>659</v>
      </c>
      <c r="D112" s="255" t="s">
        <v>2659</v>
      </c>
      <c r="E112" s="231">
        <v>45637</v>
      </c>
      <c r="F112" s="207"/>
      <c r="G112" s="2" t="s">
        <v>2687</v>
      </c>
      <c r="H112" s="2"/>
      <c r="I112" s="2"/>
      <c r="J112" s="2" t="s">
        <v>3208</v>
      </c>
    </row>
    <row r="113" spans="1:10" x14ac:dyDescent="0.2">
      <c r="A113" s="7" t="s">
        <v>2564</v>
      </c>
      <c r="B113" s="7" t="s">
        <v>2565</v>
      </c>
      <c r="C113" s="149" t="s">
        <v>5</v>
      </c>
      <c r="D113" s="255" t="s">
        <v>2659</v>
      </c>
      <c r="E113" s="231">
        <v>48543</v>
      </c>
      <c r="F113" s="207"/>
      <c r="G113" s="2" t="s">
        <v>2687</v>
      </c>
      <c r="H113" s="2"/>
      <c r="I113" s="2"/>
      <c r="J113" s="2" t="s">
        <v>3208</v>
      </c>
    </row>
    <row r="114" spans="1:10" x14ac:dyDescent="0.2">
      <c r="A114" s="7" t="s">
        <v>2283</v>
      </c>
      <c r="B114" s="7" t="s">
        <v>2477</v>
      </c>
      <c r="C114" s="149" t="s">
        <v>2200</v>
      </c>
      <c r="D114" s="255" t="s">
        <v>2658</v>
      </c>
      <c r="E114" s="231">
        <v>42884.01</v>
      </c>
      <c r="F114" s="207"/>
      <c r="G114" s="2" t="s">
        <v>2687</v>
      </c>
      <c r="H114" s="2"/>
      <c r="I114" s="2"/>
      <c r="J114" s="2" t="s">
        <v>3208</v>
      </c>
    </row>
    <row r="115" spans="1:10" x14ac:dyDescent="0.2">
      <c r="A115" s="7" t="s">
        <v>2805</v>
      </c>
      <c r="B115" s="7" t="s">
        <v>2567</v>
      </c>
      <c r="C115" s="147" t="s">
        <v>2804</v>
      </c>
      <c r="D115" s="255" t="s">
        <v>2659</v>
      </c>
      <c r="E115" s="231">
        <v>40874.04</v>
      </c>
      <c r="F115" s="207"/>
      <c r="G115" s="2" t="s">
        <v>2687</v>
      </c>
      <c r="H115" s="2"/>
      <c r="I115" s="2"/>
      <c r="J115" s="2" t="s">
        <v>3208</v>
      </c>
    </row>
    <row r="116" spans="1:10" x14ac:dyDescent="0.2">
      <c r="A116" s="7" t="s">
        <v>2416</v>
      </c>
      <c r="B116" s="7" t="s">
        <v>2417</v>
      </c>
      <c r="C116" s="149" t="s">
        <v>2211</v>
      </c>
      <c r="D116" s="255" t="s">
        <v>2658</v>
      </c>
      <c r="E116" s="231">
        <v>40203.96</v>
      </c>
      <c r="F116" s="207"/>
      <c r="G116" s="2" t="s">
        <v>2687</v>
      </c>
      <c r="H116" s="2"/>
      <c r="I116" s="2"/>
      <c r="J116" s="2" t="s">
        <v>3208</v>
      </c>
    </row>
    <row r="117" spans="1:10" x14ac:dyDescent="0.2">
      <c r="A117" s="7" t="s">
        <v>2539</v>
      </c>
      <c r="B117" s="7" t="s">
        <v>2540</v>
      </c>
      <c r="C117" s="147" t="s">
        <v>429</v>
      </c>
      <c r="D117" s="255" t="s">
        <v>2658</v>
      </c>
      <c r="E117" s="230">
        <v>43252</v>
      </c>
      <c r="F117" s="207"/>
      <c r="G117" s="2" t="s">
        <v>2687</v>
      </c>
      <c r="H117" s="3"/>
      <c r="I117" s="3"/>
      <c r="J117" s="2" t="s">
        <v>3208</v>
      </c>
    </row>
    <row r="118" spans="1:10" x14ac:dyDescent="0.2">
      <c r="A118" s="7" t="s">
        <v>2641</v>
      </c>
      <c r="B118" s="7" t="s">
        <v>2642</v>
      </c>
      <c r="C118" s="149" t="s">
        <v>1326</v>
      </c>
      <c r="D118" s="255" t="s">
        <v>2659</v>
      </c>
      <c r="E118" s="230">
        <v>51368</v>
      </c>
      <c r="F118" s="207"/>
      <c r="G118" s="2" t="s">
        <v>2687</v>
      </c>
      <c r="H118" s="2"/>
      <c r="I118" s="2"/>
      <c r="J118" s="2" t="s">
        <v>3208</v>
      </c>
    </row>
    <row r="119" spans="1:10" x14ac:dyDescent="0.2">
      <c r="A119" s="7" t="s">
        <v>2561</v>
      </c>
      <c r="B119" s="7" t="s">
        <v>2562</v>
      </c>
      <c r="C119" s="149" t="s">
        <v>1456</v>
      </c>
      <c r="D119" s="255" t="s">
        <v>2659</v>
      </c>
      <c r="E119" s="230">
        <f>25924*2</f>
        <v>51848</v>
      </c>
      <c r="F119" s="207"/>
      <c r="G119" s="2" t="s">
        <v>2687</v>
      </c>
      <c r="H119" s="2"/>
      <c r="I119" s="2"/>
      <c r="J119" s="2" t="s">
        <v>3208</v>
      </c>
    </row>
    <row r="120" spans="1:10" x14ac:dyDescent="0.2">
      <c r="A120" s="7" t="s">
        <v>2537</v>
      </c>
      <c r="B120" s="7" t="s">
        <v>2606</v>
      </c>
      <c r="C120" s="149" t="s">
        <v>1473</v>
      </c>
      <c r="D120" s="255" t="s">
        <v>2659</v>
      </c>
      <c r="E120" s="230">
        <v>49035</v>
      </c>
      <c r="F120" s="207"/>
      <c r="G120" s="2" t="s">
        <v>2687</v>
      </c>
      <c r="H120" s="2"/>
      <c r="I120" s="2"/>
      <c r="J120" s="2" t="s">
        <v>3208</v>
      </c>
    </row>
    <row r="121" spans="1:10" x14ac:dyDescent="0.2">
      <c r="A121" s="7" t="s">
        <v>2499</v>
      </c>
      <c r="B121" s="7" t="s">
        <v>2364</v>
      </c>
      <c r="C121" s="149" t="s">
        <v>1545</v>
      </c>
      <c r="D121" s="255" t="s">
        <v>2659</v>
      </c>
      <c r="E121" s="231">
        <v>47345.04</v>
      </c>
      <c r="F121" s="207"/>
      <c r="G121" s="2" t="s">
        <v>2687</v>
      </c>
      <c r="H121" s="2"/>
      <c r="I121" s="2"/>
      <c r="J121" s="2" t="s">
        <v>3208</v>
      </c>
    </row>
    <row r="122" spans="1:10" x14ac:dyDescent="0.2">
      <c r="A122" s="7" t="s">
        <v>2609</v>
      </c>
      <c r="B122" s="7" t="s">
        <v>2358</v>
      </c>
      <c r="C122" s="149" t="s">
        <v>654</v>
      </c>
      <c r="D122" s="255" t="s">
        <v>2659</v>
      </c>
      <c r="E122" s="231">
        <v>45262</v>
      </c>
      <c r="F122" s="207"/>
      <c r="G122" s="2" t="s">
        <v>2687</v>
      </c>
      <c r="H122" s="2"/>
      <c r="I122" s="2"/>
      <c r="J122" s="2" t="s">
        <v>3208</v>
      </c>
    </row>
    <row r="123" spans="1:10" x14ac:dyDescent="0.2">
      <c r="A123" s="7" t="s">
        <v>2480</v>
      </c>
      <c r="B123" s="7" t="s">
        <v>2481</v>
      </c>
      <c r="C123" s="147" t="s">
        <v>1127</v>
      </c>
      <c r="D123" s="255" t="s">
        <v>2659</v>
      </c>
      <c r="E123" s="231">
        <v>55270</v>
      </c>
      <c r="F123" s="207"/>
      <c r="G123" s="2" t="s">
        <v>2687</v>
      </c>
      <c r="H123" s="2"/>
      <c r="I123" s="2"/>
      <c r="J123" s="2" t="s">
        <v>3208</v>
      </c>
    </row>
    <row r="124" spans="1:10" x14ac:dyDescent="0.2">
      <c r="A124" s="7" t="s">
        <v>2583</v>
      </c>
      <c r="B124" s="7" t="s">
        <v>2584</v>
      </c>
      <c r="C124" s="149" t="s">
        <v>1462</v>
      </c>
      <c r="D124" s="255" t="s">
        <v>2659</v>
      </c>
      <c r="E124" s="231">
        <v>52966</v>
      </c>
      <c r="F124" s="207"/>
      <c r="G124" s="2" t="s">
        <v>2687</v>
      </c>
      <c r="H124" s="2"/>
      <c r="I124" s="2"/>
      <c r="J124" s="2" t="s">
        <v>3208</v>
      </c>
    </row>
    <row r="125" spans="1:10" x14ac:dyDescent="0.2">
      <c r="A125" s="7" t="s">
        <v>2446</v>
      </c>
      <c r="B125" s="7" t="s">
        <v>2447</v>
      </c>
      <c r="C125" s="147" t="s">
        <v>7</v>
      </c>
      <c r="D125" s="255" t="s">
        <v>2658</v>
      </c>
      <c r="E125" s="230">
        <v>53542</v>
      </c>
      <c r="F125" s="207"/>
      <c r="G125" s="2" t="s">
        <v>2687</v>
      </c>
      <c r="H125" s="3"/>
      <c r="I125" s="3"/>
      <c r="J125" s="2" t="s">
        <v>3208</v>
      </c>
    </row>
    <row r="126" spans="1:10" x14ac:dyDescent="0.2">
      <c r="A126" s="7" t="s">
        <v>2842</v>
      </c>
      <c r="B126" s="7" t="s">
        <v>2523</v>
      </c>
      <c r="C126" s="149" t="s">
        <v>2838</v>
      </c>
      <c r="D126" s="255" t="s">
        <v>2659</v>
      </c>
      <c r="E126" s="275">
        <v>44592</v>
      </c>
      <c r="F126" s="207"/>
      <c r="G126" s="2" t="s">
        <v>2687</v>
      </c>
      <c r="H126" s="2"/>
      <c r="I126" s="2"/>
      <c r="J126" s="2" t="s">
        <v>3208</v>
      </c>
    </row>
    <row r="127" spans="1:10" x14ac:dyDescent="0.2">
      <c r="A127" s="7" t="s">
        <v>2610</v>
      </c>
      <c r="B127" s="7" t="s">
        <v>2611</v>
      </c>
      <c r="C127" s="149" t="s">
        <v>77</v>
      </c>
      <c r="D127" s="255" t="s">
        <v>2659</v>
      </c>
      <c r="E127" s="230">
        <v>56567</v>
      </c>
      <c r="F127" s="207"/>
      <c r="G127" s="2" t="s">
        <v>2687</v>
      </c>
      <c r="H127" s="2"/>
      <c r="I127" s="2"/>
      <c r="J127" s="2" t="s">
        <v>3208</v>
      </c>
    </row>
    <row r="128" spans="1:10" x14ac:dyDescent="0.2">
      <c r="A128" s="7" t="s">
        <v>2482</v>
      </c>
      <c r="B128" s="7" t="s">
        <v>2257</v>
      </c>
      <c r="C128" s="202" t="s">
        <v>2214</v>
      </c>
      <c r="D128" s="255" t="s">
        <v>2661</v>
      </c>
      <c r="E128" s="231">
        <v>53413.32</v>
      </c>
      <c r="F128" s="207"/>
      <c r="G128" s="2" t="s">
        <v>2687</v>
      </c>
      <c r="H128" s="2"/>
      <c r="I128" s="2"/>
      <c r="J128" s="2" t="s">
        <v>3208</v>
      </c>
    </row>
    <row r="129" spans="1:10" x14ac:dyDescent="0.2">
      <c r="A129" s="7" t="s">
        <v>2482</v>
      </c>
      <c r="B129" s="7" t="s">
        <v>2430</v>
      </c>
      <c r="C129" s="149" t="s">
        <v>657</v>
      </c>
      <c r="D129" s="255" t="s">
        <v>2659</v>
      </c>
      <c r="E129" s="231">
        <v>45262</v>
      </c>
      <c r="F129" s="207"/>
      <c r="G129" s="2" t="s">
        <v>2687</v>
      </c>
      <c r="H129" s="2"/>
      <c r="I129" s="2"/>
      <c r="J129" s="2" t="s">
        <v>3208</v>
      </c>
    </row>
    <row r="130" spans="1:10" x14ac:dyDescent="0.2">
      <c r="A130" s="7" t="s">
        <v>2637</v>
      </c>
      <c r="B130" s="7" t="s">
        <v>2638</v>
      </c>
      <c r="C130" s="149" t="s">
        <v>1323</v>
      </c>
      <c r="D130" s="255" t="s">
        <v>2659</v>
      </c>
      <c r="E130" s="231">
        <v>46892</v>
      </c>
      <c r="F130" s="208"/>
      <c r="G130" s="2" t="s">
        <v>2687</v>
      </c>
      <c r="H130" s="3"/>
      <c r="I130" s="3"/>
      <c r="J130" s="2" t="s">
        <v>3208</v>
      </c>
    </row>
    <row r="131" spans="1:10" x14ac:dyDescent="0.2">
      <c r="A131" s="7" t="s">
        <v>2440</v>
      </c>
      <c r="B131" s="7" t="s">
        <v>2441</v>
      </c>
      <c r="C131" s="149" t="s">
        <v>2414</v>
      </c>
      <c r="D131" s="255" t="s">
        <v>2658</v>
      </c>
      <c r="E131" s="231">
        <v>54123</v>
      </c>
      <c r="F131" s="207"/>
      <c r="G131" s="2" t="s">
        <v>2687</v>
      </c>
      <c r="H131" s="2" t="s">
        <v>2797</v>
      </c>
      <c r="I131" s="3"/>
      <c r="J131" s="2" t="s">
        <v>3208</v>
      </c>
    </row>
    <row r="132" spans="1:10" x14ac:dyDescent="0.2">
      <c r="A132" s="7" t="s">
        <v>2844</v>
      </c>
      <c r="B132" s="7" t="s">
        <v>2837</v>
      </c>
      <c r="C132" s="149" t="s">
        <v>2843</v>
      </c>
      <c r="D132" s="255" t="s">
        <v>2658</v>
      </c>
      <c r="E132" s="231">
        <v>41544</v>
      </c>
      <c r="F132" s="207"/>
      <c r="G132" s="2" t="s">
        <v>2687</v>
      </c>
      <c r="H132" s="2"/>
      <c r="I132" s="2"/>
      <c r="J132" s="2" t="s">
        <v>3208</v>
      </c>
    </row>
    <row r="133" spans="1:10" x14ac:dyDescent="0.2">
      <c r="A133" s="7" t="s">
        <v>2566</v>
      </c>
      <c r="B133" s="7" t="s">
        <v>2567</v>
      </c>
      <c r="C133" s="149" t="s">
        <v>1457</v>
      </c>
      <c r="D133" s="255" t="s">
        <v>2659</v>
      </c>
      <c r="E133" s="231">
        <v>50408</v>
      </c>
      <c r="F133" s="208"/>
      <c r="G133" s="2" t="s">
        <v>2687</v>
      </c>
      <c r="H133" s="3"/>
      <c r="I133" s="3"/>
      <c r="J133" s="2" t="s">
        <v>3208</v>
      </c>
    </row>
    <row r="134" spans="1:10" x14ac:dyDescent="0.2">
      <c r="A134" s="7" t="s">
        <v>2626</v>
      </c>
      <c r="B134" s="7" t="s">
        <v>2627</v>
      </c>
      <c r="C134" s="149" t="s">
        <v>2544</v>
      </c>
      <c r="D134" s="255" t="s">
        <v>2659</v>
      </c>
      <c r="E134" s="230">
        <v>46412</v>
      </c>
      <c r="F134" s="207"/>
      <c r="G134" s="2" t="s">
        <v>2687</v>
      </c>
      <c r="H134" s="2"/>
      <c r="I134" s="2"/>
      <c r="J134" s="2" t="s">
        <v>3208</v>
      </c>
    </row>
    <row r="135" spans="1:10" x14ac:dyDescent="0.2">
      <c r="A135" s="7" t="s">
        <v>2590</v>
      </c>
      <c r="B135" s="7" t="s">
        <v>2287</v>
      </c>
      <c r="C135" s="149" t="s">
        <v>2545</v>
      </c>
      <c r="D135" s="255" t="s">
        <v>2659</v>
      </c>
      <c r="E135" s="230">
        <v>50560</v>
      </c>
      <c r="F135" s="208"/>
      <c r="G135" s="2" t="s">
        <v>2687</v>
      </c>
      <c r="H135" s="3"/>
      <c r="I135" s="3"/>
      <c r="J135" s="2" t="s">
        <v>3208</v>
      </c>
    </row>
    <row r="136" spans="1:10" x14ac:dyDescent="0.2">
      <c r="A136" s="7" t="s">
        <v>2649</v>
      </c>
      <c r="B136" s="7" t="s">
        <v>2650</v>
      </c>
      <c r="C136" s="149" t="s">
        <v>1328</v>
      </c>
      <c r="D136" s="255" t="s">
        <v>2659</v>
      </c>
      <c r="E136" s="231">
        <v>50783</v>
      </c>
      <c r="F136" s="208"/>
      <c r="G136" s="2" t="s">
        <v>2687</v>
      </c>
      <c r="H136" s="3"/>
      <c r="I136" s="3"/>
      <c r="J136" s="2" t="s">
        <v>3208</v>
      </c>
    </row>
    <row r="137" spans="1:10" x14ac:dyDescent="0.2">
      <c r="A137" s="7" t="s">
        <v>2607</v>
      </c>
      <c r="B137" s="7" t="s">
        <v>2608</v>
      </c>
      <c r="C137" s="149" t="s">
        <v>1474</v>
      </c>
      <c r="D137" s="255" t="s">
        <v>2659</v>
      </c>
      <c r="E137" s="230">
        <v>56224</v>
      </c>
      <c r="F137" s="207"/>
      <c r="G137" s="2" t="s">
        <v>2687</v>
      </c>
      <c r="H137" s="2"/>
      <c r="I137" s="2"/>
      <c r="J137" s="2" t="s">
        <v>3208</v>
      </c>
    </row>
    <row r="138" spans="1:10" x14ac:dyDescent="0.2">
      <c r="A138" s="7" t="s">
        <v>2363</v>
      </c>
      <c r="B138" s="7" t="s">
        <v>2380</v>
      </c>
      <c r="C138" s="149" t="s">
        <v>656</v>
      </c>
      <c r="D138" s="255" t="s">
        <v>2659</v>
      </c>
      <c r="E138" s="231">
        <f>22296*2</f>
        <v>44592</v>
      </c>
      <c r="F138" s="207"/>
      <c r="G138" s="2" t="s">
        <v>2687</v>
      </c>
      <c r="H138" s="2"/>
      <c r="I138" s="2"/>
      <c r="J138" s="2" t="s">
        <v>3208</v>
      </c>
    </row>
    <row r="139" spans="1:10" x14ac:dyDescent="0.2">
      <c r="A139" s="7" t="s">
        <v>2624</v>
      </c>
      <c r="B139" s="7" t="s">
        <v>2625</v>
      </c>
      <c r="C139" s="149" t="s">
        <v>2023</v>
      </c>
      <c r="D139" s="255" t="s">
        <v>2659</v>
      </c>
      <c r="E139" s="231">
        <v>44179</v>
      </c>
      <c r="F139" s="207"/>
      <c r="G139" s="2" t="s">
        <v>2687</v>
      </c>
      <c r="H139" s="2"/>
      <c r="I139" s="2"/>
      <c r="J139" s="2" t="s">
        <v>3208</v>
      </c>
    </row>
    <row r="140" spans="1:10" x14ac:dyDescent="0.2">
      <c r="A140" s="7" t="s">
        <v>2520</v>
      </c>
      <c r="B140" s="7" t="s">
        <v>2222</v>
      </c>
      <c r="C140" s="152" t="s">
        <v>787</v>
      </c>
      <c r="D140" s="255" t="s">
        <v>2661</v>
      </c>
      <c r="E140" s="231">
        <v>16349.62</v>
      </c>
      <c r="F140" s="207"/>
      <c r="G140" s="2" t="s">
        <v>2687</v>
      </c>
      <c r="H140" s="2"/>
      <c r="I140" s="2"/>
      <c r="J140" s="2" t="s">
        <v>3208</v>
      </c>
    </row>
    <row r="141" spans="1:10" x14ac:dyDescent="0.2">
      <c r="A141" s="7" t="s">
        <v>2509</v>
      </c>
      <c r="B141" s="7" t="s">
        <v>2245</v>
      </c>
      <c r="C141" s="149" t="s">
        <v>1292</v>
      </c>
      <c r="D141" s="255" t="s">
        <v>2659</v>
      </c>
      <c r="E141" s="230">
        <v>55974</v>
      </c>
      <c r="F141" s="207"/>
      <c r="G141" s="2" t="s">
        <v>2687</v>
      </c>
      <c r="H141" s="2"/>
      <c r="I141" s="2"/>
      <c r="J141" s="2" t="s">
        <v>3208</v>
      </c>
    </row>
    <row r="142" spans="1:10" x14ac:dyDescent="0.2">
      <c r="A142" s="7" t="s">
        <v>2509</v>
      </c>
      <c r="B142" s="7" t="s">
        <v>2510</v>
      </c>
      <c r="C142" s="147" t="s">
        <v>2022</v>
      </c>
      <c r="D142" s="255" t="s">
        <v>2658</v>
      </c>
      <c r="E142" s="231">
        <v>53460.959999999999</v>
      </c>
      <c r="F142" s="207"/>
      <c r="G142" s="2" t="s">
        <v>2687</v>
      </c>
      <c r="H142" s="2"/>
      <c r="I142" s="2"/>
      <c r="J142" s="2" t="s">
        <v>3208</v>
      </c>
    </row>
    <row r="143" spans="1:10" x14ac:dyDescent="0.2">
      <c r="A143" s="7" t="s">
        <v>2570</v>
      </c>
      <c r="B143" s="7" t="s">
        <v>2230</v>
      </c>
      <c r="C143" s="149" t="s">
        <v>1458</v>
      </c>
      <c r="D143" s="255" t="s">
        <v>2659</v>
      </c>
      <c r="E143" s="231">
        <v>48410</v>
      </c>
      <c r="F143" s="207"/>
      <c r="G143" s="2" t="s">
        <v>2687</v>
      </c>
      <c r="H143" s="2"/>
      <c r="I143" s="2"/>
      <c r="J143" s="2" t="s">
        <v>3208</v>
      </c>
    </row>
    <row r="144" spans="1:10" x14ac:dyDescent="0.2">
      <c r="A144" s="7" t="s">
        <v>2595</v>
      </c>
      <c r="B144" s="7" t="s">
        <v>2596</v>
      </c>
      <c r="C144" s="149" t="s">
        <v>8</v>
      </c>
      <c r="D144" s="255" t="s">
        <v>2659</v>
      </c>
      <c r="E144" s="230">
        <v>46412</v>
      </c>
      <c r="F144" s="207"/>
      <c r="G144" s="2" t="s">
        <v>2687</v>
      </c>
      <c r="H144" s="2"/>
      <c r="I144" s="2"/>
      <c r="J144" s="2" t="s">
        <v>3208</v>
      </c>
    </row>
    <row r="145" spans="1:10" x14ac:dyDescent="0.2">
      <c r="A145" s="7" t="s">
        <v>2426</v>
      </c>
      <c r="B145" s="7" t="s">
        <v>2636</v>
      </c>
      <c r="C145" s="149" t="s">
        <v>1322</v>
      </c>
      <c r="D145" s="255" t="s">
        <v>2659</v>
      </c>
      <c r="E145" s="231">
        <v>48332</v>
      </c>
      <c r="F145" s="208"/>
      <c r="G145" s="2" t="s">
        <v>2687</v>
      </c>
      <c r="H145" s="3"/>
      <c r="I145" s="3"/>
      <c r="J145" s="2" t="s">
        <v>3208</v>
      </c>
    </row>
    <row r="146" spans="1:10" x14ac:dyDescent="0.2">
      <c r="A146" s="7" t="s">
        <v>2576</v>
      </c>
      <c r="B146" s="7" t="s">
        <v>2577</v>
      </c>
      <c r="C146" s="149" t="s">
        <v>204</v>
      </c>
      <c r="D146" s="255" t="s">
        <v>2659</v>
      </c>
      <c r="E146" s="231">
        <v>47095</v>
      </c>
      <c r="F146" s="232"/>
      <c r="G146" s="2" t="s">
        <v>2687</v>
      </c>
      <c r="J146" s="2" t="s">
        <v>3208</v>
      </c>
    </row>
    <row r="147" spans="1:10" x14ac:dyDescent="0.2">
      <c r="A147" s="7" t="s">
        <v>2568</v>
      </c>
      <c r="B147" s="7" t="s">
        <v>2569</v>
      </c>
      <c r="C147" s="149" t="s">
        <v>178</v>
      </c>
      <c r="D147" s="255" t="s">
        <v>2659</v>
      </c>
      <c r="E147" s="230">
        <f>24616+36924</f>
        <v>61540</v>
      </c>
      <c r="F147" s="207"/>
      <c r="G147" s="2" t="s">
        <v>2687</v>
      </c>
      <c r="H147" s="2"/>
      <c r="I147" s="2"/>
      <c r="J147" s="2" t="s">
        <v>3208</v>
      </c>
    </row>
    <row r="148" spans="1:10" x14ac:dyDescent="0.2">
      <c r="A148" s="7" t="s">
        <v>2324</v>
      </c>
      <c r="B148" s="7" t="s">
        <v>2616</v>
      </c>
      <c r="C148" s="149" t="s">
        <v>1477</v>
      </c>
      <c r="D148" s="255" t="s">
        <v>2659</v>
      </c>
      <c r="E148" s="230">
        <v>61915</v>
      </c>
      <c r="F148" s="207"/>
      <c r="G148" s="2" t="s">
        <v>2687</v>
      </c>
      <c r="H148" s="2"/>
      <c r="I148" s="2"/>
      <c r="J148" s="2" t="s">
        <v>3208</v>
      </c>
    </row>
    <row r="149" spans="1:10" x14ac:dyDescent="0.2">
      <c r="A149" s="7" t="s">
        <v>2531</v>
      </c>
      <c r="B149" s="7" t="s">
        <v>2532</v>
      </c>
      <c r="C149" s="149" t="s">
        <v>1285</v>
      </c>
      <c r="D149" s="255" t="s">
        <v>2658</v>
      </c>
      <c r="E149" s="230">
        <v>44592.03</v>
      </c>
      <c r="F149" s="207"/>
      <c r="G149" s="2" t="s">
        <v>2687</v>
      </c>
      <c r="H149" s="3"/>
      <c r="I149" s="3"/>
      <c r="J149" s="2" t="s">
        <v>3208</v>
      </c>
    </row>
    <row r="150" spans="1:10" x14ac:dyDescent="0.2">
      <c r="A150" s="7" t="s">
        <v>2992</v>
      </c>
      <c r="B150" s="7" t="s">
        <v>2993</v>
      </c>
      <c r="C150" s="149" t="s">
        <v>2994</v>
      </c>
      <c r="D150" s="255" t="s">
        <v>2658</v>
      </c>
      <c r="E150" s="231">
        <v>38193.96</v>
      </c>
      <c r="F150" s="208"/>
      <c r="G150" s="2" t="s">
        <v>2687</v>
      </c>
      <c r="H150" s="3"/>
      <c r="I150" s="3"/>
      <c r="J150" s="2" t="s">
        <v>3208</v>
      </c>
    </row>
    <row r="151" spans="1:10" x14ac:dyDescent="0.2">
      <c r="A151" s="7" t="s">
        <v>2599</v>
      </c>
      <c r="B151" s="7" t="s">
        <v>2600</v>
      </c>
      <c r="C151" s="149" t="s">
        <v>1470</v>
      </c>
      <c r="D151" s="255" t="s">
        <v>2659</v>
      </c>
      <c r="E151" s="231">
        <v>48910</v>
      </c>
      <c r="F151" s="207"/>
      <c r="G151" s="2" t="s">
        <v>2687</v>
      </c>
      <c r="H151" s="2"/>
      <c r="I151" s="2"/>
      <c r="J151" s="2" t="s">
        <v>3208</v>
      </c>
    </row>
    <row r="152" spans="1:10" x14ac:dyDescent="0.2">
      <c r="A152" s="7" t="s">
        <v>2601</v>
      </c>
      <c r="B152" s="7" t="s">
        <v>2602</v>
      </c>
      <c r="C152" s="149" t="s">
        <v>1471</v>
      </c>
      <c r="D152" s="255" t="s">
        <v>2659</v>
      </c>
      <c r="E152" s="231">
        <v>52133</v>
      </c>
      <c r="F152" s="207"/>
      <c r="G152" s="2" t="s">
        <v>2687</v>
      </c>
      <c r="H152" s="2"/>
      <c r="I152" s="2"/>
      <c r="J152" s="2" t="s">
        <v>3208</v>
      </c>
    </row>
    <row r="153" spans="1:10" x14ac:dyDescent="0.2">
      <c r="A153" s="7" t="s">
        <v>2653</v>
      </c>
      <c r="B153" s="7" t="s">
        <v>2654</v>
      </c>
      <c r="C153" s="149" t="s">
        <v>1331</v>
      </c>
      <c r="D153" s="255" t="s">
        <v>2659</v>
      </c>
      <c r="E153" s="230">
        <v>61790</v>
      </c>
      <c r="F153" s="207"/>
      <c r="G153" s="2" t="s">
        <v>2687</v>
      </c>
      <c r="H153" s="2"/>
      <c r="I153" s="2"/>
      <c r="J153" s="2" t="s">
        <v>3208</v>
      </c>
    </row>
    <row r="154" spans="1:10" x14ac:dyDescent="0.2">
      <c r="A154" s="7" t="s">
        <v>2603</v>
      </c>
      <c r="B154" s="7" t="s">
        <v>2604</v>
      </c>
      <c r="C154" s="149" t="s">
        <v>37</v>
      </c>
      <c r="D154" s="255" t="s">
        <v>2659</v>
      </c>
      <c r="E154" s="231">
        <v>47930</v>
      </c>
      <c r="F154" s="207"/>
      <c r="G154" s="2" t="s">
        <v>2687</v>
      </c>
      <c r="H154" s="2"/>
      <c r="I154" s="2"/>
      <c r="J154" s="2" t="s">
        <v>3208</v>
      </c>
    </row>
    <row r="155" spans="1:10" x14ac:dyDescent="0.2">
      <c r="A155" s="7" t="s">
        <v>2549</v>
      </c>
      <c r="B155" s="7" t="s">
        <v>2550</v>
      </c>
      <c r="C155" s="149" t="s">
        <v>561</v>
      </c>
      <c r="D155" s="255" t="s">
        <v>2659</v>
      </c>
      <c r="E155" s="231">
        <v>43922</v>
      </c>
      <c r="F155" s="207"/>
      <c r="G155" s="2" t="s">
        <v>2687</v>
      </c>
      <c r="H155" s="2"/>
      <c r="I155" s="2"/>
      <c r="J155" s="2" t="s">
        <v>3208</v>
      </c>
    </row>
    <row r="156" spans="1:10" x14ac:dyDescent="0.2">
      <c r="A156" s="7" t="s">
        <v>2473</v>
      </c>
      <c r="B156" s="7" t="s">
        <v>2578</v>
      </c>
      <c r="C156" s="149" t="s">
        <v>6</v>
      </c>
      <c r="D156" s="255" t="s">
        <v>2659</v>
      </c>
      <c r="E156" s="231">
        <v>44592</v>
      </c>
      <c r="F156" s="232"/>
      <c r="G156" s="2" t="s">
        <v>2687</v>
      </c>
      <c r="J156" s="2" t="s">
        <v>3208</v>
      </c>
    </row>
    <row r="157" spans="1:10" x14ac:dyDescent="0.2">
      <c r="A157" s="7" t="s">
        <v>2791</v>
      </c>
      <c r="B157" s="7" t="s">
        <v>2257</v>
      </c>
      <c r="C157" s="147" t="s">
        <v>2763</v>
      </c>
      <c r="D157" s="255" t="s">
        <v>2661</v>
      </c>
      <c r="E157" s="231">
        <v>39690.239999999998</v>
      </c>
      <c r="F157" s="207"/>
      <c r="G157" s="2" t="s">
        <v>2797</v>
      </c>
      <c r="H157" s="2"/>
      <c r="I157" s="2"/>
      <c r="J157" s="2" t="s">
        <v>3203</v>
      </c>
    </row>
    <row r="158" spans="1:10" x14ac:dyDescent="0.2">
      <c r="A158" s="7" t="s">
        <v>2452</v>
      </c>
      <c r="B158" s="7" t="s">
        <v>2453</v>
      </c>
      <c r="C158" s="147" t="s">
        <v>1353</v>
      </c>
      <c r="D158" s="255" t="s">
        <v>2658</v>
      </c>
      <c r="E158" s="231">
        <v>51883</v>
      </c>
      <c r="F158" s="207"/>
      <c r="G158" s="2" t="s">
        <v>2687</v>
      </c>
      <c r="H158" s="3"/>
      <c r="I158" s="3"/>
      <c r="J158" s="2" t="s">
        <v>3208</v>
      </c>
    </row>
    <row r="159" spans="1:10" x14ac:dyDescent="0.2">
      <c r="A159" s="7" t="s">
        <v>2266</v>
      </c>
      <c r="B159" s="7" t="s">
        <v>2551</v>
      </c>
      <c r="C159" s="149" t="s">
        <v>738</v>
      </c>
      <c r="D159" s="255" t="s">
        <v>2659</v>
      </c>
      <c r="E159" s="231">
        <v>40874</v>
      </c>
      <c r="F159" s="207"/>
      <c r="G159" s="2" t="s">
        <v>2687</v>
      </c>
      <c r="H159" s="2"/>
      <c r="I159" s="2"/>
      <c r="J159" s="2" t="s">
        <v>3208</v>
      </c>
    </row>
    <row r="160" spans="1:10" x14ac:dyDescent="0.2">
      <c r="A160" s="7" t="s">
        <v>2266</v>
      </c>
      <c r="B160" s="7" t="s">
        <v>2605</v>
      </c>
      <c r="C160" s="149" t="s">
        <v>1472</v>
      </c>
      <c r="D160" s="255" t="s">
        <v>2659</v>
      </c>
      <c r="E160" s="231">
        <v>55279</v>
      </c>
      <c r="F160" s="207"/>
      <c r="G160" s="2" t="s">
        <v>2687</v>
      </c>
      <c r="H160" s="2"/>
      <c r="I160" s="2"/>
      <c r="J160" s="2" t="s">
        <v>3208</v>
      </c>
    </row>
    <row r="161" spans="1:10" x14ac:dyDescent="0.2">
      <c r="A161" s="7" t="s">
        <v>2266</v>
      </c>
      <c r="B161" s="7" t="s">
        <v>2655</v>
      </c>
      <c r="C161" s="149" t="s">
        <v>1286</v>
      </c>
      <c r="D161" s="255" t="s">
        <v>2659</v>
      </c>
      <c r="E161" s="230">
        <v>48410</v>
      </c>
      <c r="F161" s="207"/>
      <c r="G161" s="2" t="s">
        <v>2687</v>
      </c>
      <c r="H161" s="2"/>
      <c r="I161" s="2"/>
      <c r="J161" s="2" t="s">
        <v>3208</v>
      </c>
    </row>
    <row r="162" spans="1:10" x14ac:dyDescent="0.2">
      <c r="A162" s="7" t="s">
        <v>2357</v>
      </c>
      <c r="B162" s="7" t="s">
        <v>2623</v>
      </c>
      <c r="C162" s="149" t="s">
        <v>79</v>
      </c>
      <c r="D162" s="255" t="s">
        <v>2659</v>
      </c>
      <c r="E162" s="230">
        <f>18104.8+27157.2</f>
        <v>45262</v>
      </c>
      <c r="F162" s="207"/>
      <c r="G162" s="2" t="s">
        <v>2687</v>
      </c>
      <c r="H162" s="2"/>
      <c r="I162" s="2"/>
      <c r="J162" s="2" t="s">
        <v>3208</v>
      </c>
    </row>
    <row r="163" spans="1:10" x14ac:dyDescent="0.2">
      <c r="A163" s="7" t="s">
        <v>2422</v>
      </c>
      <c r="B163" s="7" t="s">
        <v>2423</v>
      </c>
      <c r="C163" s="152" t="s">
        <v>227</v>
      </c>
      <c r="D163" s="255" t="s">
        <v>2661</v>
      </c>
      <c r="E163" s="206">
        <v>21134.04</v>
      </c>
      <c r="F163" s="207"/>
      <c r="G163" s="2" t="s">
        <v>2687</v>
      </c>
      <c r="H163" s="2"/>
      <c r="I163" s="2"/>
      <c r="J163" s="2" t="s">
        <v>3208</v>
      </c>
    </row>
    <row r="164" spans="1:10" x14ac:dyDescent="0.2">
      <c r="A164" s="7" t="s">
        <v>2436</v>
      </c>
      <c r="B164" s="7" t="s">
        <v>2380</v>
      </c>
      <c r="C164" s="147" t="s">
        <v>2778</v>
      </c>
      <c r="D164" s="255" t="s">
        <v>2658</v>
      </c>
      <c r="E164" s="231">
        <v>42893.04</v>
      </c>
      <c r="F164" s="207"/>
      <c r="G164" s="2" t="s">
        <v>2687</v>
      </c>
      <c r="H164" s="2"/>
      <c r="I164" s="2"/>
      <c r="J164" s="2" t="s">
        <v>3208</v>
      </c>
    </row>
    <row r="165" spans="1:10" x14ac:dyDescent="0.2">
      <c r="A165" s="7" t="s">
        <v>2597</v>
      </c>
      <c r="B165" s="7" t="s">
        <v>2598</v>
      </c>
      <c r="C165" s="149" t="s">
        <v>1469</v>
      </c>
      <c r="D165" s="255" t="s">
        <v>2659</v>
      </c>
      <c r="E165" s="231">
        <f>27093*2</f>
        <v>54186</v>
      </c>
      <c r="F165" s="207"/>
      <c r="G165" s="2" t="s">
        <v>2687</v>
      </c>
      <c r="H165" s="251"/>
      <c r="I165" s="251"/>
      <c r="J165" s="2" t="s">
        <v>3208</v>
      </c>
    </row>
    <row r="166" spans="1:10" x14ac:dyDescent="0.2">
      <c r="A166" s="7" t="s">
        <v>2475</v>
      </c>
      <c r="B166" s="7" t="s">
        <v>2476</v>
      </c>
      <c r="C166" s="147" t="s">
        <v>427</v>
      </c>
      <c r="D166" s="255" t="s">
        <v>2658</v>
      </c>
      <c r="E166" s="231">
        <v>51814</v>
      </c>
      <c r="F166" s="207"/>
      <c r="G166" s="2" t="s">
        <v>2687</v>
      </c>
      <c r="H166" s="2"/>
      <c r="I166" s="2"/>
      <c r="J166" s="2" t="s">
        <v>3208</v>
      </c>
    </row>
    <row r="167" spans="1:10" x14ac:dyDescent="0.2">
      <c r="A167" s="7" t="s">
        <v>2639</v>
      </c>
      <c r="B167" s="7" t="s">
        <v>2640</v>
      </c>
      <c r="C167" s="149" t="s">
        <v>1324</v>
      </c>
      <c r="D167" s="255" t="s">
        <v>2659</v>
      </c>
      <c r="E167" s="231">
        <v>53372</v>
      </c>
      <c r="F167" s="207"/>
      <c r="G167" s="2" t="s">
        <v>2687</v>
      </c>
      <c r="H167" s="2"/>
      <c r="I167" s="2"/>
      <c r="J167" s="2" t="s">
        <v>3208</v>
      </c>
    </row>
    <row r="168" spans="1:10" x14ac:dyDescent="0.2">
      <c r="A168" s="7" t="s">
        <v>2652</v>
      </c>
      <c r="B168" s="7" t="s">
        <v>2651</v>
      </c>
      <c r="C168" s="149" t="s">
        <v>1330</v>
      </c>
      <c r="D168" s="255" t="s">
        <v>2659</v>
      </c>
      <c r="E168" s="231">
        <f>30958.8+20639.2</f>
        <v>51598</v>
      </c>
      <c r="F168" s="208"/>
      <c r="G168" s="2" t="s">
        <v>2687</v>
      </c>
      <c r="H168" s="3"/>
      <c r="I168" s="3"/>
      <c r="J168" s="2" t="s">
        <v>3208</v>
      </c>
    </row>
    <row r="169" spans="1:10" x14ac:dyDescent="0.2">
      <c r="A169" s="7" t="s">
        <v>2443</v>
      </c>
      <c r="B169" s="7" t="s">
        <v>2444</v>
      </c>
      <c r="C169" s="147" t="s">
        <v>4</v>
      </c>
      <c r="D169" s="255" t="s">
        <v>2658</v>
      </c>
      <c r="E169" s="230">
        <v>43922.04</v>
      </c>
      <c r="F169" s="207"/>
      <c r="G169" s="2" t="s">
        <v>2687</v>
      </c>
      <c r="J169" s="2" t="s">
        <v>3208</v>
      </c>
    </row>
    <row r="170" spans="1:10" x14ac:dyDescent="0.2">
      <c r="A170" s="7" t="s">
        <v>2403</v>
      </c>
      <c r="B170" s="7" t="s">
        <v>2319</v>
      </c>
      <c r="C170" s="147" t="s">
        <v>2212</v>
      </c>
      <c r="D170" s="255" t="s">
        <v>2658</v>
      </c>
      <c r="E170" s="231">
        <v>40203.96</v>
      </c>
      <c r="F170" s="207"/>
      <c r="G170" s="2" t="s">
        <v>2687</v>
      </c>
      <c r="H170" s="2" t="s">
        <v>2802</v>
      </c>
      <c r="I170" s="3"/>
      <c r="J170" s="2" t="s">
        <v>3208</v>
      </c>
    </row>
    <row r="171" spans="1:10" x14ac:dyDescent="0.2">
      <c r="A171" s="7" t="s">
        <v>2648</v>
      </c>
      <c r="B171" s="7" t="s">
        <v>2466</v>
      </c>
      <c r="C171" s="149" t="s">
        <v>2542</v>
      </c>
      <c r="D171" s="255" t="s">
        <v>2659</v>
      </c>
      <c r="E171" s="231">
        <v>39534</v>
      </c>
      <c r="F171" s="207"/>
      <c r="G171" s="2" t="s">
        <v>2687</v>
      </c>
      <c r="H171" s="2"/>
      <c r="I171" s="2"/>
      <c r="J171" s="2" t="s">
        <v>3208</v>
      </c>
    </row>
    <row r="172" spans="1:10" x14ac:dyDescent="0.2">
      <c r="A172" s="7" t="s">
        <v>2782</v>
      </c>
      <c r="B172" s="7" t="s">
        <v>2783</v>
      </c>
      <c r="C172" s="203" t="s">
        <v>2765</v>
      </c>
      <c r="D172" s="255" t="s">
        <v>2661</v>
      </c>
      <c r="E172" s="231">
        <v>19938.96</v>
      </c>
      <c r="F172" s="207"/>
      <c r="G172" s="342" t="s">
        <v>2952</v>
      </c>
      <c r="H172" s="3"/>
      <c r="I172" s="2"/>
      <c r="J172" s="2" t="s">
        <v>3202</v>
      </c>
    </row>
    <row r="173" spans="1:10" x14ac:dyDescent="0.2">
      <c r="A173" s="7" t="s">
        <v>2614</v>
      </c>
      <c r="B173" s="7" t="s">
        <v>2263</v>
      </c>
      <c r="C173" s="149" t="s">
        <v>1476</v>
      </c>
      <c r="D173" s="255" t="s">
        <v>2659</v>
      </c>
      <c r="E173" s="231">
        <v>55224</v>
      </c>
      <c r="F173" s="207"/>
      <c r="G173" s="2" t="s">
        <v>2687</v>
      </c>
      <c r="H173" s="2"/>
      <c r="I173" s="2"/>
      <c r="J173" s="2" t="s">
        <v>3208</v>
      </c>
    </row>
    <row r="174" spans="1:10" x14ac:dyDescent="0.2">
      <c r="A174" s="7" t="s">
        <v>2785</v>
      </c>
      <c r="B174" s="7" t="s">
        <v>2786</v>
      </c>
      <c r="C174" s="147" t="s">
        <v>2774</v>
      </c>
      <c r="D174" s="255" t="s">
        <v>2661</v>
      </c>
      <c r="E174" s="231">
        <v>43577.04</v>
      </c>
      <c r="F174" s="207"/>
      <c r="G174" s="2" t="s">
        <v>2797</v>
      </c>
      <c r="H174" s="2"/>
      <c r="I174" s="2"/>
      <c r="J174" s="2" t="s">
        <v>3203</v>
      </c>
    </row>
    <row r="175" spans="1:10" x14ac:dyDescent="0.2">
      <c r="A175" s="7" t="s">
        <v>2418</v>
      </c>
      <c r="B175" s="7" t="s">
        <v>2285</v>
      </c>
      <c r="C175" s="148" t="s">
        <v>3033</v>
      </c>
      <c r="D175" s="255" t="s">
        <v>2658</v>
      </c>
      <c r="E175" s="231">
        <v>35301.96</v>
      </c>
      <c r="F175" s="207"/>
      <c r="G175" s="2" t="s">
        <v>2692</v>
      </c>
      <c r="H175" s="3"/>
      <c r="I175" s="3"/>
      <c r="J175" s="2" t="s">
        <v>3208</v>
      </c>
    </row>
    <row r="176" spans="1:10" x14ac:dyDescent="0.2">
      <c r="A176" s="7" t="s">
        <v>2587</v>
      </c>
      <c r="B176" s="7" t="s">
        <v>2588</v>
      </c>
      <c r="C176" s="149" t="s">
        <v>73</v>
      </c>
      <c r="D176" s="255" t="s">
        <v>2659</v>
      </c>
      <c r="E176" s="231">
        <v>46674</v>
      </c>
      <c r="F176" s="207"/>
      <c r="G176" s="2" t="s">
        <v>2692</v>
      </c>
      <c r="H176" s="2"/>
      <c r="I176" s="2"/>
      <c r="J176" s="2" t="s">
        <v>3208</v>
      </c>
    </row>
    <row r="177" spans="1:10" x14ac:dyDescent="0.2">
      <c r="A177" s="7" t="s">
        <v>2593</v>
      </c>
      <c r="B177" s="7" t="s">
        <v>2594</v>
      </c>
      <c r="C177" s="152" t="s">
        <v>76</v>
      </c>
      <c r="D177" s="255" t="s">
        <v>2659</v>
      </c>
      <c r="E177" s="230">
        <v>85841</v>
      </c>
      <c r="F177" s="207"/>
      <c r="G177" s="2" t="s">
        <v>2692</v>
      </c>
      <c r="H177" s="2"/>
      <c r="I177" s="2"/>
      <c r="J177" s="2" t="s">
        <v>3208</v>
      </c>
    </row>
    <row r="178" spans="1:10" x14ac:dyDescent="0.2">
      <c r="A178" s="7" t="s">
        <v>2557</v>
      </c>
      <c r="B178" s="7" t="s">
        <v>2575</v>
      </c>
      <c r="C178" s="153" t="s">
        <v>1460</v>
      </c>
      <c r="D178" s="255" t="s">
        <v>2659</v>
      </c>
      <c r="E178" s="231">
        <v>68017</v>
      </c>
      <c r="F178" s="207"/>
      <c r="G178" s="2" t="s">
        <v>2692</v>
      </c>
      <c r="H178" s="2"/>
      <c r="I178" s="2"/>
      <c r="J178" s="2" t="s">
        <v>3208</v>
      </c>
    </row>
    <row r="179" spans="1:10" x14ac:dyDescent="0.2">
      <c r="A179" s="7" t="s">
        <v>2557</v>
      </c>
      <c r="B179" s="7" t="s">
        <v>2385</v>
      </c>
      <c r="C179" s="152" t="s">
        <v>562</v>
      </c>
      <c r="D179" s="255" t="s">
        <v>2659</v>
      </c>
      <c r="E179" s="231">
        <v>57060</v>
      </c>
      <c r="F179" s="207"/>
      <c r="G179" s="2" t="s">
        <v>2692</v>
      </c>
      <c r="H179" s="2"/>
      <c r="I179" s="2"/>
      <c r="J179" s="2" t="s">
        <v>3208</v>
      </c>
    </row>
    <row r="180" spans="1:10" x14ac:dyDescent="0.2">
      <c r="A180" s="7" t="s">
        <v>2573</v>
      </c>
      <c r="B180" s="7" t="s">
        <v>2574</v>
      </c>
      <c r="C180" s="155" t="s">
        <v>740</v>
      </c>
      <c r="D180" s="255" t="s">
        <v>2659</v>
      </c>
      <c r="E180" s="230">
        <v>80548</v>
      </c>
      <c r="F180" s="207"/>
      <c r="G180" s="2" t="s">
        <v>2692</v>
      </c>
      <c r="H180" s="2"/>
      <c r="I180" s="2"/>
      <c r="J180" s="2" t="s">
        <v>3208</v>
      </c>
    </row>
    <row r="181" spans="1:10" x14ac:dyDescent="0.2">
      <c r="A181" s="7" t="s">
        <v>2467</v>
      </c>
      <c r="B181" s="7" t="s">
        <v>2468</v>
      </c>
      <c r="C181" s="152" t="s">
        <v>2021</v>
      </c>
      <c r="D181" s="255" t="s">
        <v>2661</v>
      </c>
      <c r="E181" s="231">
        <v>43544.04</v>
      </c>
      <c r="F181" s="207"/>
      <c r="G181" s="2" t="s">
        <v>2692</v>
      </c>
      <c r="H181" s="2"/>
      <c r="I181" s="2"/>
      <c r="J181" s="2" t="s">
        <v>3208</v>
      </c>
    </row>
    <row r="182" spans="1:10" x14ac:dyDescent="0.2">
      <c r="A182" s="7" t="s">
        <v>2628</v>
      </c>
      <c r="B182" s="7" t="s">
        <v>2629</v>
      </c>
      <c r="C182" s="152" t="s">
        <v>2543</v>
      </c>
      <c r="D182" s="255" t="s">
        <v>2659</v>
      </c>
      <c r="E182" s="231">
        <v>47220</v>
      </c>
      <c r="F182" s="207"/>
      <c r="G182" s="2" t="s">
        <v>2692</v>
      </c>
      <c r="H182" s="2"/>
      <c r="I182" s="2"/>
      <c r="J182" s="2" t="s">
        <v>3208</v>
      </c>
    </row>
    <row r="183" spans="1:10" x14ac:dyDescent="0.2">
      <c r="A183" s="7" t="s">
        <v>2463</v>
      </c>
      <c r="B183" s="7" t="s">
        <v>2464</v>
      </c>
      <c r="C183" s="152" t="s">
        <v>1126</v>
      </c>
      <c r="D183" s="255" t="s">
        <v>2661</v>
      </c>
      <c r="E183" s="231">
        <v>42590.04</v>
      </c>
      <c r="F183" s="207"/>
      <c r="G183" s="2" t="s">
        <v>2692</v>
      </c>
      <c r="H183" s="2"/>
      <c r="I183" s="2"/>
      <c r="J183" s="2" t="s">
        <v>3208</v>
      </c>
    </row>
    <row r="184" spans="1:10" x14ac:dyDescent="0.2">
      <c r="A184" s="7" t="s">
        <v>2507</v>
      </c>
      <c r="B184" s="7" t="s">
        <v>2828</v>
      </c>
      <c r="C184" s="147" t="s">
        <v>2827</v>
      </c>
      <c r="D184" s="255" t="s">
        <v>2661</v>
      </c>
      <c r="E184" s="231">
        <v>62660</v>
      </c>
      <c r="F184" s="207"/>
      <c r="G184" s="2" t="s">
        <v>2692</v>
      </c>
      <c r="H184" s="3"/>
      <c r="I184" s="3"/>
      <c r="J184" s="2" t="s">
        <v>3208</v>
      </c>
    </row>
    <row r="185" spans="1:10" x14ac:dyDescent="0.2">
      <c r="A185" s="7" t="s">
        <v>2493</v>
      </c>
      <c r="B185" s="7" t="s">
        <v>2263</v>
      </c>
      <c r="C185" s="152" t="s">
        <v>1269</v>
      </c>
      <c r="D185" s="255" t="s">
        <v>2661</v>
      </c>
      <c r="E185" s="231">
        <v>51819</v>
      </c>
      <c r="F185" s="207"/>
      <c r="G185" s="2" t="s">
        <v>2692</v>
      </c>
      <c r="H185" s="2"/>
      <c r="I185" s="2"/>
      <c r="J185" s="2" t="s">
        <v>3208</v>
      </c>
    </row>
    <row r="186" spans="1:10" x14ac:dyDescent="0.2">
      <c r="A186" s="7" t="s">
        <v>2591</v>
      </c>
      <c r="B186" s="7" t="s">
        <v>2592</v>
      </c>
      <c r="C186" s="152" t="s">
        <v>75</v>
      </c>
      <c r="D186" s="255" t="s">
        <v>2659</v>
      </c>
      <c r="E186" s="230">
        <v>100558</v>
      </c>
      <c r="F186" s="208"/>
      <c r="G186" s="2" t="s">
        <v>2692</v>
      </c>
      <c r="H186" s="3"/>
      <c r="I186" s="3"/>
      <c r="J186" s="2" t="s">
        <v>3208</v>
      </c>
    </row>
    <row r="187" spans="1:10" x14ac:dyDescent="0.2">
      <c r="A187" s="7" t="s">
        <v>2790</v>
      </c>
      <c r="B187" s="7" t="s">
        <v>2287</v>
      </c>
      <c r="C187" s="202" t="s">
        <v>2760</v>
      </c>
      <c r="D187" s="255" t="s">
        <v>2658</v>
      </c>
      <c r="E187" s="230">
        <v>35783</v>
      </c>
      <c r="F187" s="207"/>
      <c r="G187" s="2" t="s">
        <v>2692</v>
      </c>
      <c r="H187" s="3"/>
      <c r="I187" s="3"/>
      <c r="J187" s="2" t="s">
        <v>3208</v>
      </c>
    </row>
    <row r="188" spans="1:10" x14ac:dyDescent="0.2">
      <c r="A188" s="7" t="s">
        <v>2489</v>
      </c>
      <c r="B188" s="7" t="s">
        <v>2257</v>
      </c>
      <c r="C188" s="152" t="s">
        <v>428</v>
      </c>
      <c r="D188" s="255" t="s">
        <v>2661</v>
      </c>
      <c r="E188" s="231">
        <v>37619.040000000001</v>
      </c>
      <c r="F188" s="207"/>
      <c r="G188" s="2" t="s">
        <v>2692</v>
      </c>
      <c r="H188" s="2"/>
      <c r="I188" s="2"/>
      <c r="J188" s="2" t="s">
        <v>3208</v>
      </c>
    </row>
    <row r="189" spans="1:10" x14ac:dyDescent="0.2">
      <c r="A189" s="7" t="s">
        <v>2527</v>
      </c>
      <c r="B189" s="7" t="s">
        <v>2528</v>
      </c>
      <c r="C189" s="152" t="s">
        <v>601</v>
      </c>
      <c r="D189" s="255" t="s">
        <v>2661</v>
      </c>
      <c r="E189" s="231">
        <v>45573</v>
      </c>
      <c r="F189" s="207"/>
      <c r="G189" s="2" t="s">
        <v>2692</v>
      </c>
      <c r="H189" s="2"/>
      <c r="I189" s="2"/>
      <c r="J189" s="2" t="s">
        <v>3208</v>
      </c>
    </row>
    <row r="190" spans="1:10" x14ac:dyDescent="0.2">
      <c r="A190" s="7" t="s">
        <v>2458</v>
      </c>
      <c r="B190" s="7" t="s">
        <v>2287</v>
      </c>
      <c r="C190" s="152" t="s">
        <v>2025</v>
      </c>
      <c r="D190" s="255" t="s">
        <v>2661</v>
      </c>
      <c r="E190" s="230">
        <v>68952</v>
      </c>
      <c r="F190" s="207"/>
      <c r="G190" s="2" t="s">
        <v>2692</v>
      </c>
      <c r="H190" s="2"/>
      <c r="I190" s="2"/>
      <c r="J190" s="2" t="s">
        <v>3208</v>
      </c>
    </row>
    <row r="191" spans="1:10" x14ac:dyDescent="0.2">
      <c r="A191" s="7" t="s">
        <v>2340</v>
      </c>
      <c r="B191" s="7" t="s">
        <v>2287</v>
      </c>
      <c r="C191" s="152" t="s">
        <v>1467</v>
      </c>
      <c r="D191" s="255" t="s">
        <v>2659</v>
      </c>
      <c r="E191" s="231">
        <v>52106</v>
      </c>
      <c r="F191" s="207"/>
      <c r="G191" s="2" t="s">
        <v>2692</v>
      </c>
      <c r="H191" s="2"/>
      <c r="I191" s="2"/>
      <c r="J191" s="2" t="s">
        <v>3208</v>
      </c>
    </row>
    <row r="192" spans="1:10" x14ac:dyDescent="0.2">
      <c r="A192" s="7" t="s">
        <v>2231</v>
      </c>
      <c r="B192" s="7" t="s">
        <v>2309</v>
      </c>
      <c r="C192" s="152" t="s">
        <v>532</v>
      </c>
      <c r="D192" s="255" t="s">
        <v>2661</v>
      </c>
      <c r="E192" s="231">
        <v>37743.96</v>
      </c>
      <c r="F192" s="207"/>
      <c r="G192" s="2" t="s">
        <v>2692</v>
      </c>
      <c r="H192" s="2"/>
      <c r="I192" s="2"/>
      <c r="J192" s="2" t="s">
        <v>3208</v>
      </c>
    </row>
    <row r="193" spans="1:10" x14ac:dyDescent="0.2">
      <c r="A193" s="7" t="s">
        <v>2344</v>
      </c>
      <c r="B193" s="7" t="s">
        <v>2586</v>
      </c>
      <c r="C193" s="153" t="s">
        <v>1463</v>
      </c>
      <c r="D193" s="255" t="s">
        <v>2659</v>
      </c>
      <c r="E193" s="231">
        <v>57759</v>
      </c>
      <c r="F193" s="207"/>
      <c r="G193" s="2" t="s">
        <v>2692</v>
      </c>
      <c r="H193" s="2"/>
      <c r="I193" s="2"/>
      <c r="J193" s="2" t="s">
        <v>3208</v>
      </c>
    </row>
    <row r="194" spans="1:10" x14ac:dyDescent="0.2">
      <c r="A194" s="7" t="s">
        <v>2355</v>
      </c>
      <c r="B194" s="7" t="s">
        <v>2563</v>
      </c>
      <c r="C194" s="153" t="s">
        <v>1070</v>
      </c>
      <c r="D194" s="255" t="s">
        <v>2659</v>
      </c>
      <c r="E194" s="231">
        <v>48299</v>
      </c>
      <c r="F194" s="207"/>
      <c r="G194" s="2" t="s">
        <v>2692</v>
      </c>
      <c r="H194" s="2"/>
      <c r="I194" s="2"/>
      <c r="J194" s="2" t="s">
        <v>3208</v>
      </c>
    </row>
    <row r="195" spans="1:10" x14ac:dyDescent="0.2">
      <c r="A195" s="7" t="s">
        <v>2485</v>
      </c>
      <c r="B195" s="7" t="s">
        <v>2486</v>
      </c>
      <c r="C195" s="152" t="s">
        <v>1268</v>
      </c>
      <c r="D195" s="255" t="s">
        <v>2661</v>
      </c>
      <c r="E195" s="231">
        <v>54372.959999999999</v>
      </c>
      <c r="F195" s="207"/>
      <c r="G195" s="2" t="s">
        <v>2692</v>
      </c>
      <c r="H195" s="2"/>
      <c r="I195" s="2"/>
      <c r="J195" s="2" t="s">
        <v>3208</v>
      </c>
    </row>
    <row r="196" spans="1:10" x14ac:dyDescent="0.2">
      <c r="A196" s="7" t="s">
        <v>2450</v>
      </c>
      <c r="B196" s="7" t="s">
        <v>2380</v>
      </c>
      <c r="C196" s="153" t="s">
        <v>1320</v>
      </c>
      <c r="D196" s="255" t="s">
        <v>2659</v>
      </c>
      <c r="E196" s="231">
        <v>47930</v>
      </c>
      <c r="F196" s="207"/>
      <c r="G196" s="2" t="s">
        <v>2692</v>
      </c>
      <c r="H196" s="2"/>
      <c r="I196" s="2"/>
      <c r="J196" s="2" t="s">
        <v>3208</v>
      </c>
    </row>
    <row r="197" spans="1:10" x14ac:dyDescent="0.2">
      <c r="A197" s="7" t="s">
        <v>2615</v>
      </c>
      <c r="B197" s="7" t="s">
        <v>2616</v>
      </c>
      <c r="C197" s="152" t="s">
        <v>1478</v>
      </c>
      <c r="D197" s="255" t="s">
        <v>2659</v>
      </c>
      <c r="E197" s="230">
        <v>49390</v>
      </c>
      <c r="F197" s="207"/>
      <c r="G197" s="2" t="s">
        <v>2692</v>
      </c>
      <c r="H197" s="2"/>
      <c r="I197" s="2"/>
      <c r="J197" s="2" t="s">
        <v>3208</v>
      </c>
    </row>
    <row r="198" spans="1:10" x14ac:dyDescent="0.2">
      <c r="A198" s="7" t="s">
        <v>2371</v>
      </c>
      <c r="B198" s="7" t="s">
        <v>2287</v>
      </c>
      <c r="C198" s="152" t="s">
        <v>1188</v>
      </c>
      <c r="D198" s="255" t="s">
        <v>2661</v>
      </c>
      <c r="E198" s="231">
        <v>67410</v>
      </c>
      <c r="F198" s="207"/>
      <c r="G198" s="2" t="s">
        <v>2692</v>
      </c>
      <c r="H198" s="2"/>
      <c r="I198" s="2"/>
      <c r="J198" s="2" t="s">
        <v>3208</v>
      </c>
    </row>
    <row r="199" spans="1:10" x14ac:dyDescent="0.2">
      <c r="A199" s="7" t="s">
        <v>2241</v>
      </c>
      <c r="B199" s="7" t="s">
        <v>2242</v>
      </c>
      <c r="C199" s="148" t="s">
        <v>1187</v>
      </c>
      <c r="D199" s="255" t="s">
        <v>2662</v>
      </c>
      <c r="E199" s="231">
        <v>36014.04</v>
      </c>
      <c r="F199" s="207"/>
      <c r="G199" s="2" t="s">
        <v>2692</v>
      </c>
      <c r="H199" s="251"/>
      <c r="I199" s="251"/>
      <c r="J199" s="2" t="s">
        <v>3208</v>
      </c>
    </row>
    <row r="200" spans="1:10" x14ac:dyDescent="0.2">
      <c r="A200" s="7" t="s">
        <v>2473</v>
      </c>
      <c r="B200" s="7" t="s">
        <v>2780</v>
      </c>
      <c r="C200" s="148" t="s">
        <v>2779</v>
      </c>
      <c r="D200" s="255" t="s">
        <v>2661</v>
      </c>
      <c r="E200" s="231">
        <v>44702.01</v>
      </c>
      <c r="F200" s="207"/>
      <c r="G200" s="2" t="s">
        <v>2692</v>
      </c>
      <c r="H200" s="2"/>
      <c r="I200" s="2"/>
      <c r="J200" s="2" t="s">
        <v>3208</v>
      </c>
    </row>
    <row r="201" spans="1:10" x14ac:dyDescent="0.2">
      <c r="A201" s="7" t="s">
        <v>2473</v>
      </c>
      <c r="B201" s="7" t="s">
        <v>2242</v>
      </c>
      <c r="C201" s="153" t="s">
        <v>1461</v>
      </c>
      <c r="D201" s="255" t="s">
        <v>2659</v>
      </c>
      <c r="E201" s="231">
        <v>52558</v>
      </c>
      <c r="F201" s="207"/>
      <c r="G201" s="2" t="s">
        <v>2692</v>
      </c>
      <c r="H201" s="2"/>
      <c r="I201" s="2"/>
      <c r="J201" s="2" t="s">
        <v>3208</v>
      </c>
    </row>
    <row r="202" spans="1:10" x14ac:dyDescent="0.2">
      <c r="A202" s="7" t="s">
        <v>2612</v>
      </c>
      <c r="B202" s="7" t="s">
        <v>2613</v>
      </c>
      <c r="C202" s="157" t="s">
        <v>1475</v>
      </c>
      <c r="D202" s="255" t="s">
        <v>2659</v>
      </c>
      <c r="E202" s="230">
        <v>57060</v>
      </c>
      <c r="F202" s="207"/>
      <c r="G202" s="2" t="s">
        <v>2692</v>
      </c>
      <c r="H202" s="2"/>
      <c r="I202" s="2"/>
      <c r="J202" s="2" t="s">
        <v>3208</v>
      </c>
    </row>
    <row r="203" spans="1:10" x14ac:dyDescent="0.2">
      <c r="A203" s="257" t="s">
        <v>2327</v>
      </c>
      <c r="B203" s="257" t="s">
        <v>2651</v>
      </c>
      <c r="C203" s="152" t="s">
        <v>1329</v>
      </c>
      <c r="D203" s="255" t="s">
        <v>2659</v>
      </c>
      <c r="E203" s="230">
        <v>64979</v>
      </c>
      <c r="F203" s="209"/>
      <c r="G203" s="2" t="s">
        <v>2692</v>
      </c>
      <c r="H203" s="257"/>
      <c r="I203" s="257"/>
      <c r="J203" s="2" t="s">
        <v>3208</v>
      </c>
    </row>
    <row r="204" spans="1:10" x14ac:dyDescent="0.2">
      <c r="A204" s="7" t="s">
        <v>2337</v>
      </c>
      <c r="B204" s="7" t="s">
        <v>2429</v>
      </c>
      <c r="C204" s="152" t="s">
        <v>2013</v>
      </c>
      <c r="D204" s="255" t="s">
        <v>2661</v>
      </c>
      <c r="E204" s="231">
        <v>40874</v>
      </c>
      <c r="F204" s="207"/>
      <c r="G204" s="2" t="s">
        <v>2692</v>
      </c>
      <c r="H204" s="2"/>
      <c r="I204" s="2"/>
      <c r="J204" s="2" t="s">
        <v>3208</v>
      </c>
    </row>
    <row r="205" spans="1:10" x14ac:dyDescent="0.2">
      <c r="A205" s="7" t="s">
        <v>2559</v>
      </c>
      <c r="B205" s="7" t="s">
        <v>2560</v>
      </c>
      <c r="C205" s="153" t="s">
        <v>1455</v>
      </c>
      <c r="D205" s="255" t="s">
        <v>2659</v>
      </c>
      <c r="E205" s="230">
        <v>59273</v>
      </c>
      <c r="F205" s="207"/>
      <c r="G205" s="2" t="s">
        <v>2692</v>
      </c>
      <c r="H205" s="2"/>
      <c r="I205" s="2"/>
      <c r="J205" s="2" t="s">
        <v>3208</v>
      </c>
    </row>
    <row r="206" spans="1:10" x14ac:dyDescent="0.2">
      <c r="C206" s="153" t="s">
        <v>2984</v>
      </c>
      <c r="D206" s="255" t="s">
        <v>2658</v>
      </c>
      <c r="E206" s="206">
        <v>50000</v>
      </c>
      <c r="F206" s="207"/>
      <c r="G206" s="2" t="s">
        <v>2692</v>
      </c>
      <c r="H206" s="251"/>
      <c r="I206" s="251"/>
      <c r="J206" s="2" t="s">
        <v>3208</v>
      </c>
    </row>
    <row r="207" spans="1:10" x14ac:dyDescent="0.2">
      <c r="A207" s="7" t="s">
        <v>2386</v>
      </c>
      <c r="B207" s="7" t="s">
        <v>2273</v>
      </c>
      <c r="C207" s="205" t="s">
        <v>1399</v>
      </c>
      <c r="D207" s="255" t="s">
        <v>2662</v>
      </c>
      <c r="E207" s="231">
        <v>41307.839999999997</v>
      </c>
      <c r="F207" s="207"/>
      <c r="G207" s="342" t="s">
        <v>2806</v>
      </c>
      <c r="H207" s="2"/>
      <c r="I207" s="2"/>
      <c r="J207" s="2" t="s">
        <v>3203</v>
      </c>
    </row>
    <row r="208" spans="1:10" x14ac:dyDescent="0.2">
      <c r="A208" s="7" t="s">
        <v>2450</v>
      </c>
      <c r="B208" s="7" t="s">
        <v>2239</v>
      </c>
      <c r="C208" s="202" t="s">
        <v>2775</v>
      </c>
      <c r="D208" s="255" t="s">
        <v>2661</v>
      </c>
      <c r="E208" s="231">
        <v>60720</v>
      </c>
      <c r="F208" s="207"/>
      <c r="G208" s="342" t="s">
        <v>2806</v>
      </c>
      <c r="H208" s="2"/>
      <c r="I208" s="3"/>
      <c r="J208" s="2" t="s">
        <v>3203</v>
      </c>
    </row>
    <row r="209" spans="1:10" x14ac:dyDescent="0.2">
      <c r="A209" s="7" t="s">
        <v>2821</v>
      </c>
      <c r="B209" s="7" t="s">
        <v>2253</v>
      </c>
      <c r="C209" s="205" t="s">
        <v>2822</v>
      </c>
      <c r="D209" s="255" t="s">
        <v>2662</v>
      </c>
      <c r="E209" s="231">
        <v>28155.96</v>
      </c>
      <c r="F209" s="207"/>
      <c r="G209" s="342" t="s">
        <v>2806</v>
      </c>
      <c r="I209" s="2"/>
      <c r="J209" s="2" t="s">
        <v>3203</v>
      </c>
    </row>
    <row r="210" spans="1:10" x14ac:dyDescent="0.2">
      <c r="A210" s="7" t="s">
        <v>2306</v>
      </c>
      <c r="B210" s="7" t="s">
        <v>2307</v>
      </c>
      <c r="C210" s="205" t="s">
        <v>531</v>
      </c>
      <c r="D210" s="255" t="s">
        <v>2662</v>
      </c>
      <c r="E210" s="231">
        <v>25785</v>
      </c>
      <c r="F210" s="207"/>
      <c r="G210" s="342" t="s">
        <v>2806</v>
      </c>
      <c r="H210" s="252"/>
      <c r="I210" s="252"/>
      <c r="J210" s="2" t="s">
        <v>3203</v>
      </c>
    </row>
    <row r="211" spans="1:10" x14ac:dyDescent="0.2">
      <c r="A211" s="7" t="s">
        <v>2357</v>
      </c>
      <c r="B211" s="7" t="s">
        <v>2358</v>
      </c>
      <c r="C211" s="205" t="s">
        <v>743</v>
      </c>
      <c r="D211" s="255" t="s">
        <v>2662</v>
      </c>
      <c r="E211" s="231">
        <v>24756</v>
      </c>
      <c r="F211" s="207"/>
      <c r="G211" s="342" t="s">
        <v>2806</v>
      </c>
      <c r="H211" s="2"/>
      <c r="I211" s="2"/>
      <c r="J211" s="2" t="s">
        <v>3203</v>
      </c>
    </row>
    <row r="212" spans="1:10" x14ac:dyDescent="0.2">
      <c r="A212" s="7" t="s">
        <v>2348</v>
      </c>
      <c r="B212" s="7" t="s">
        <v>2263</v>
      </c>
      <c r="C212" s="205" t="s">
        <v>2202</v>
      </c>
      <c r="D212" s="255" t="s">
        <v>2662</v>
      </c>
      <c r="E212" s="231">
        <v>32649</v>
      </c>
      <c r="F212" s="207"/>
      <c r="G212" s="2" t="s">
        <v>2806</v>
      </c>
      <c r="H212" s="2"/>
      <c r="I212" s="2"/>
      <c r="J212" s="2" t="s">
        <v>3203</v>
      </c>
    </row>
    <row r="213" spans="1:10" x14ac:dyDescent="0.2">
      <c r="A213" s="7" t="s">
        <v>2368</v>
      </c>
      <c r="B213" s="7" t="s">
        <v>2470</v>
      </c>
      <c r="C213" s="202" t="s">
        <v>1296</v>
      </c>
      <c r="D213" s="255" t="s">
        <v>2661</v>
      </c>
      <c r="E213" s="231">
        <v>50600.14</v>
      </c>
      <c r="F213" s="207"/>
      <c r="G213" s="2" t="s">
        <v>2677</v>
      </c>
      <c r="H213" s="2"/>
      <c r="I213" s="2"/>
      <c r="J213" s="2" t="s">
        <v>3203</v>
      </c>
    </row>
    <row r="214" spans="1:10" x14ac:dyDescent="0.2">
      <c r="A214" s="7" t="s">
        <v>2618</v>
      </c>
      <c r="B214" s="7" t="s">
        <v>2619</v>
      </c>
      <c r="C214" s="156" t="s">
        <v>78</v>
      </c>
      <c r="D214" s="255" t="s">
        <v>2659</v>
      </c>
      <c r="E214" s="230">
        <v>73632</v>
      </c>
      <c r="F214" s="207"/>
      <c r="G214" s="2" t="s">
        <v>2677</v>
      </c>
      <c r="H214" s="2"/>
      <c r="I214" s="2"/>
      <c r="J214" s="2" t="s">
        <v>3203</v>
      </c>
    </row>
    <row r="215" spans="1:10" x14ac:dyDescent="0.2">
      <c r="A215" s="7" t="s">
        <v>2490</v>
      </c>
      <c r="B215" s="7" t="s">
        <v>2257</v>
      </c>
      <c r="C215" s="202" t="s">
        <v>1536</v>
      </c>
      <c r="D215" s="255" t="s">
        <v>2661</v>
      </c>
      <c r="E215" s="231">
        <v>60861.120000000003</v>
      </c>
      <c r="F215" s="207"/>
      <c r="G215" s="2" t="s">
        <v>2677</v>
      </c>
      <c r="H215" s="2"/>
      <c r="I215" s="2"/>
      <c r="J215" s="2" t="s">
        <v>3203</v>
      </c>
    </row>
    <row r="216" spans="1:10" x14ac:dyDescent="0.2">
      <c r="A216" s="7" t="s">
        <v>2571</v>
      </c>
      <c r="B216" s="7" t="s">
        <v>2572</v>
      </c>
      <c r="C216" s="154" t="s">
        <v>1459</v>
      </c>
      <c r="D216" s="255" t="s">
        <v>2659</v>
      </c>
      <c r="E216" s="230">
        <v>70077</v>
      </c>
      <c r="F216" s="207"/>
      <c r="G216" s="2" t="s">
        <v>2677</v>
      </c>
      <c r="H216" s="2"/>
      <c r="I216" s="2"/>
      <c r="J216" s="2" t="s">
        <v>3203</v>
      </c>
    </row>
    <row r="217" spans="1:10" x14ac:dyDescent="0.2">
      <c r="A217" s="7" t="s">
        <v>2522</v>
      </c>
      <c r="B217" s="7" t="s">
        <v>2393</v>
      </c>
      <c r="C217" s="205" t="s">
        <v>981</v>
      </c>
      <c r="D217" s="255" t="s">
        <v>2661</v>
      </c>
      <c r="E217" s="231">
        <v>50600.04</v>
      </c>
      <c r="F217" s="207"/>
      <c r="G217" s="342" t="s">
        <v>2677</v>
      </c>
      <c r="H217" s="343"/>
      <c r="I217" s="2"/>
      <c r="J217" s="2" t="s">
        <v>3203</v>
      </c>
    </row>
    <row r="218" spans="1:10" x14ac:dyDescent="0.2">
      <c r="C218" s="150" t="s">
        <v>3200</v>
      </c>
      <c r="D218" s="255" t="s">
        <v>2661</v>
      </c>
      <c r="E218" s="206">
        <v>45000</v>
      </c>
      <c r="F218" s="207"/>
      <c r="G218" s="342" t="s">
        <v>2677</v>
      </c>
      <c r="H218" s="2"/>
      <c r="I218" s="2"/>
      <c r="J218" s="2" t="s">
        <v>3203</v>
      </c>
    </row>
    <row r="219" spans="1:10" x14ac:dyDescent="0.2">
      <c r="A219" s="7" t="s">
        <v>2833</v>
      </c>
      <c r="B219" s="7" t="s">
        <v>2834</v>
      </c>
      <c r="C219" s="150" t="s">
        <v>2768</v>
      </c>
      <c r="D219" s="255" t="s">
        <v>2661</v>
      </c>
      <c r="E219" s="231">
        <v>41307.839999999997</v>
      </c>
      <c r="F219" s="207"/>
      <c r="G219" s="2" t="s">
        <v>2678</v>
      </c>
      <c r="H219" s="2"/>
      <c r="I219" s="2"/>
      <c r="J219" s="2" t="s">
        <v>3203</v>
      </c>
    </row>
    <row r="220" spans="1:10" x14ac:dyDescent="0.2">
      <c r="A220" s="7" t="s">
        <v>2492</v>
      </c>
      <c r="B220" s="7" t="s">
        <v>2263</v>
      </c>
      <c r="C220" s="205" t="s">
        <v>744</v>
      </c>
      <c r="D220" s="255" t="s">
        <v>2661</v>
      </c>
      <c r="E220" s="231">
        <v>42788.04</v>
      </c>
      <c r="F220" s="207"/>
      <c r="G220" s="2" t="s">
        <v>2678</v>
      </c>
      <c r="H220" s="2"/>
      <c r="I220" s="2"/>
      <c r="J220" s="2" t="s">
        <v>3203</v>
      </c>
    </row>
    <row r="221" spans="1:10" x14ac:dyDescent="0.2">
      <c r="A221" s="7" t="s">
        <v>2420</v>
      </c>
      <c r="B221" s="7" t="s">
        <v>2285</v>
      </c>
      <c r="C221" s="205" t="s">
        <v>2769</v>
      </c>
      <c r="D221" s="255" t="s">
        <v>2661</v>
      </c>
      <c r="E221" s="231">
        <v>40947.599999999999</v>
      </c>
      <c r="F221" s="207"/>
      <c r="G221" s="2" t="s">
        <v>2678</v>
      </c>
      <c r="H221" s="2"/>
      <c r="I221" s="2"/>
      <c r="J221" s="2" t="s">
        <v>3203</v>
      </c>
    </row>
    <row r="222" spans="1:10" x14ac:dyDescent="0.2">
      <c r="A222" s="7" t="s">
        <v>2781</v>
      </c>
      <c r="B222" s="7" t="s">
        <v>2548</v>
      </c>
      <c r="C222" s="205" t="s">
        <v>2761</v>
      </c>
      <c r="D222" s="255" t="s">
        <v>2662</v>
      </c>
      <c r="E222" s="231">
        <v>25169.040000000001</v>
      </c>
      <c r="F222" s="207"/>
      <c r="G222" s="342" t="s">
        <v>2678</v>
      </c>
      <c r="H222" s="3"/>
      <c r="I222" s="2"/>
      <c r="J222" s="2" t="s">
        <v>3203</v>
      </c>
    </row>
    <row r="223" spans="1:10" x14ac:dyDescent="0.2">
      <c r="A223" s="7" t="s">
        <v>2383</v>
      </c>
      <c r="B223" s="7" t="s">
        <v>2831</v>
      </c>
      <c r="C223" s="205" t="s">
        <v>2832</v>
      </c>
      <c r="D223" s="255" t="s">
        <v>2662</v>
      </c>
      <c r="E223" s="231">
        <v>24756</v>
      </c>
      <c r="F223" s="207"/>
      <c r="G223" s="2" t="s">
        <v>2678</v>
      </c>
      <c r="H223" s="2"/>
      <c r="I223" s="2"/>
      <c r="J223" s="2" t="s">
        <v>3203</v>
      </c>
    </row>
    <row r="224" spans="1:10" x14ac:dyDescent="0.2">
      <c r="A224" s="7" t="s">
        <v>2434</v>
      </c>
      <c r="B224" s="7" t="s">
        <v>2435</v>
      </c>
      <c r="C224" s="205" t="s">
        <v>1892</v>
      </c>
      <c r="D224" s="255" t="s">
        <v>2661</v>
      </c>
      <c r="E224" s="231">
        <v>42788.04</v>
      </c>
      <c r="F224" s="207"/>
      <c r="G224" s="2" t="s">
        <v>2678</v>
      </c>
      <c r="H224" s="2"/>
      <c r="I224" s="2"/>
      <c r="J224" s="2" t="s">
        <v>3203</v>
      </c>
    </row>
    <row r="225" spans="1:10" x14ac:dyDescent="0.2">
      <c r="A225" s="7" t="s">
        <v>2302</v>
      </c>
      <c r="B225" s="7" t="s">
        <v>2303</v>
      </c>
      <c r="C225" s="205" t="s">
        <v>1332</v>
      </c>
      <c r="D225" s="255" t="s">
        <v>2662</v>
      </c>
      <c r="E225" s="231">
        <v>41307.96</v>
      </c>
      <c r="F225" s="207"/>
      <c r="G225" s="2" t="s">
        <v>2678</v>
      </c>
      <c r="I225" s="2"/>
      <c r="J225" s="2" t="s">
        <v>3203</v>
      </c>
    </row>
    <row r="226" spans="1:10" x14ac:dyDescent="0.2">
      <c r="A226" s="7" t="s">
        <v>2451</v>
      </c>
      <c r="B226" s="7" t="s">
        <v>2239</v>
      </c>
      <c r="C226" s="205" t="s">
        <v>2413</v>
      </c>
      <c r="D226" s="255" t="s">
        <v>2661</v>
      </c>
      <c r="E226" s="231">
        <v>42787.08</v>
      </c>
      <c r="F226" s="207"/>
      <c r="G226" s="2" t="s">
        <v>2678</v>
      </c>
      <c r="H226" s="3"/>
      <c r="I226" s="2"/>
      <c r="J226" s="2" t="s">
        <v>3203</v>
      </c>
    </row>
    <row r="227" spans="1:10" x14ac:dyDescent="0.2">
      <c r="A227" s="7" t="s">
        <v>2823</v>
      </c>
      <c r="B227" s="7" t="s">
        <v>2253</v>
      </c>
      <c r="C227" s="202" t="s">
        <v>2824</v>
      </c>
      <c r="D227" s="255" t="s">
        <v>2661</v>
      </c>
      <c r="E227" s="231">
        <v>62744.04</v>
      </c>
      <c r="F227" s="207"/>
      <c r="G227" s="2" t="s">
        <v>2678</v>
      </c>
      <c r="H227" s="2"/>
      <c r="I227" s="2"/>
      <c r="J227" s="2" t="s">
        <v>3203</v>
      </c>
    </row>
    <row r="228" spans="1:10" x14ac:dyDescent="0.2">
      <c r="A228" s="7" t="s">
        <v>2554</v>
      </c>
      <c r="B228" s="7" t="s">
        <v>2315</v>
      </c>
      <c r="C228" s="151" t="s">
        <v>1453</v>
      </c>
      <c r="D228" s="255" t="s">
        <v>2659</v>
      </c>
      <c r="E228" s="230">
        <v>93524</v>
      </c>
      <c r="F228" s="207"/>
      <c r="G228" s="2" t="s">
        <v>3126</v>
      </c>
      <c r="H228" s="2"/>
      <c r="I228" s="2"/>
      <c r="J228" s="2" t="s">
        <v>3205</v>
      </c>
    </row>
    <row r="229" spans="1:10" x14ac:dyDescent="0.2">
      <c r="A229" s="7" t="s">
        <v>2524</v>
      </c>
      <c r="B229" s="7" t="s">
        <v>2525</v>
      </c>
      <c r="C229" s="202" t="s">
        <v>2409</v>
      </c>
      <c r="D229" s="255" t="s">
        <v>2661</v>
      </c>
      <c r="E229" s="231">
        <v>43577.04</v>
      </c>
      <c r="F229" s="207"/>
      <c r="G229" s="2" t="s">
        <v>2679</v>
      </c>
      <c r="H229" s="2"/>
      <c r="I229" s="2"/>
      <c r="J229" s="2" t="s">
        <v>3203</v>
      </c>
    </row>
    <row r="230" spans="1:10" x14ac:dyDescent="0.2">
      <c r="A230" s="7" t="s">
        <v>2322</v>
      </c>
      <c r="B230" s="7" t="s">
        <v>2323</v>
      </c>
      <c r="C230" s="156" t="s">
        <v>2773</v>
      </c>
      <c r="D230" s="255" t="s">
        <v>2661</v>
      </c>
      <c r="E230" s="231">
        <v>40947.480000000003</v>
      </c>
      <c r="F230" s="207"/>
      <c r="G230" s="2" t="s">
        <v>2679</v>
      </c>
      <c r="H230" s="2"/>
      <c r="I230" s="2"/>
      <c r="J230" s="2" t="s">
        <v>3203</v>
      </c>
    </row>
    <row r="231" spans="1:10" x14ac:dyDescent="0.2">
      <c r="A231" s="7" t="s">
        <v>2505</v>
      </c>
      <c r="B231" s="7" t="s">
        <v>2506</v>
      </c>
      <c r="C231" s="202" t="s">
        <v>745</v>
      </c>
      <c r="D231" s="255" t="s">
        <v>2661</v>
      </c>
      <c r="E231" s="231">
        <v>47471.28</v>
      </c>
      <c r="F231" s="207"/>
      <c r="G231" s="2" t="s">
        <v>2679</v>
      </c>
      <c r="H231" s="2"/>
      <c r="I231" s="2"/>
      <c r="J231" s="2" t="s">
        <v>3203</v>
      </c>
    </row>
    <row r="232" spans="1:10" x14ac:dyDescent="0.2">
      <c r="A232" s="7" t="s">
        <v>2318</v>
      </c>
      <c r="B232" s="7" t="s">
        <v>2319</v>
      </c>
      <c r="C232" s="205" t="s">
        <v>2299</v>
      </c>
      <c r="D232" s="255" t="s">
        <v>2662</v>
      </c>
      <c r="E232" s="231">
        <v>23522.04</v>
      </c>
      <c r="F232" s="207"/>
      <c r="G232" s="2" t="s">
        <v>2680</v>
      </c>
      <c r="H232" s="2"/>
      <c r="I232" s="2"/>
      <c r="J232" s="2" t="s">
        <v>3203</v>
      </c>
    </row>
    <row r="233" spans="1:10" x14ac:dyDescent="0.2">
      <c r="A233" s="7" t="s">
        <v>2788</v>
      </c>
      <c r="B233" s="7" t="s">
        <v>2277</v>
      </c>
      <c r="C233" s="202" t="s">
        <v>2770</v>
      </c>
      <c r="D233" s="255" t="s">
        <v>2661</v>
      </c>
      <c r="E233" s="231">
        <v>40947.599999999999</v>
      </c>
      <c r="F233" s="207"/>
      <c r="G233" s="2" t="s">
        <v>2680</v>
      </c>
      <c r="H233" s="2"/>
      <c r="J233" s="2" t="s">
        <v>3203</v>
      </c>
    </row>
    <row r="234" spans="1:10" x14ac:dyDescent="0.2">
      <c r="A234" s="7" t="s">
        <v>2482</v>
      </c>
      <c r="B234" s="7" t="s">
        <v>2249</v>
      </c>
      <c r="C234" s="151" t="s">
        <v>1528</v>
      </c>
      <c r="D234" s="255" t="s">
        <v>2659</v>
      </c>
      <c r="E234" s="231">
        <v>103524</v>
      </c>
      <c r="F234" s="207"/>
      <c r="G234" s="3" t="s">
        <v>2675</v>
      </c>
      <c r="I234" s="2"/>
      <c r="J234" s="2" t="s">
        <v>3206</v>
      </c>
    </row>
    <row r="235" spans="1:10" x14ac:dyDescent="0.2">
      <c r="A235" s="7" t="s">
        <v>2384</v>
      </c>
      <c r="B235" s="7" t="s">
        <v>2385</v>
      </c>
      <c r="C235" s="205" t="s">
        <v>1397</v>
      </c>
      <c r="D235" s="255" t="s">
        <v>2662</v>
      </c>
      <c r="E235" s="231">
        <v>46805.04</v>
      </c>
      <c r="F235" s="207"/>
      <c r="G235" s="2" t="s">
        <v>2675</v>
      </c>
      <c r="H235" s="3"/>
      <c r="I235" s="2"/>
      <c r="J235" s="2" t="s">
        <v>3206</v>
      </c>
    </row>
    <row r="236" spans="1:10" x14ac:dyDescent="0.2">
      <c r="A236" s="7" t="s">
        <v>2620</v>
      </c>
      <c r="B236" s="7" t="s">
        <v>2621</v>
      </c>
      <c r="C236" s="156" t="s">
        <v>2216</v>
      </c>
      <c r="D236" s="255" t="s">
        <v>2659</v>
      </c>
      <c r="E236" s="230">
        <v>84000</v>
      </c>
      <c r="F236" s="207"/>
      <c r="G236" s="2" t="s">
        <v>2945</v>
      </c>
      <c r="H236" s="2"/>
      <c r="I236" s="2"/>
      <c r="J236" s="2" t="s">
        <v>3205</v>
      </c>
    </row>
    <row r="237" spans="1:10" x14ac:dyDescent="0.2">
      <c r="A237" s="7" t="s">
        <v>2329</v>
      </c>
      <c r="B237" s="7" t="s">
        <v>2242</v>
      </c>
      <c r="C237" s="205" t="s">
        <v>1893</v>
      </c>
      <c r="D237" s="255" t="s">
        <v>2662</v>
      </c>
      <c r="E237" s="231">
        <v>40640.04</v>
      </c>
      <c r="F237" s="207"/>
      <c r="G237" s="2" t="s">
        <v>3209</v>
      </c>
      <c r="H237" s="2" t="s">
        <v>2857</v>
      </c>
      <c r="I237" s="3"/>
      <c r="J237" s="2" t="s">
        <v>3203</v>
      </c>
    </row>
    <row r="238" spans="1:10" x14ac:dyDescent="0.2">
      <c r="A238" s="7" t="s">
        <v>2340</v>
      </c>
      <c r="B238" s="7" t="s">
        <v>2313</v>
      </c>
      <c r="C238" s="151" t="s">
        <v>1452</v>
      </c>
      <c r="D238" s="255" t="s">
        <v>2659</v>
      </c>
      <c r="E238" s="230">
        <v>93524</v>
      </c>
      <c r="F238" s="207"/>
      <c r="G238" s="2" t="s">
        <v>2948</v>
      </c>
      <c r="H238" s="2"/>
      <c r="I238" s="2"/>
      <c r="J238" s="2" t="s">
        <v>3205</v>
      </c>
    </row>
    <row r="239" spans="1:10" x14ac:dyDescent="0.2">
      <c r="A239" s="7" t="s">
        <v>2320</v>
      </c>
      <c r="B239" s="7" t="s">
        <v>2263</v>
      </c>
      <c r="C239" s="205" t="s">
        <v>1541</v>
      </c>
      <c r="D239" s="255" t="s">
        <v>2662</v>
      </c>
      <c r="E239" s="231">
        <v>25989.96</v>
      </c>
      <c r="F239" s="207"/>
      <c r="G239" s="2" t="s">
        <v>2676</v>
      </c>
      <c r="H239" s="2"/>
      <c r="I239" s="2"/>
      <c r="J239" s="2" t="s">
        <v>3201</v>
      </c>
    </row>
    <row r="240" spans="1:10" x14ac:dyDescent="0.2">
      <c r="A240" s="7" t="s">
        <v>2314</v>
      </c>
      <c r="B240" s="7" t="s">
        <v>2315</v>
      </c>
      <c r="C240" s="222" t="s">
        <v>347</v>
      </c>
      <c r="D240" s="255" t="s">
        <v>2662</v>
      </c>
      <c r="E240" s="231">
        <v>27125.040000000001</v>
      </c>
      <c r="F240" s="207"/>
      <c r="G240" s="2" t="s">
        <v>2676</v>
      </c>
      <c r="H240" s="3"/>
      <c r="I240" s="2"/>
      <c r="J240" s="2" t="s">
        <v>3201</v>
      </c>
    </row>
    <row r="241" spans="1:10" x14ac:dyDescent="0.2">
      <c r="A241" s="7" t="s">
        <v>2457</v>
      </c>
      <c r="B241" s="7" t="s">
        <v>2287</v>
      </c>
      <c r="C241" s="205" t="s">
        <v>1354</v>
      </c>
      <c r="D241" s="255" t="s">
        <v>2661</v>
      </c>
      <c r="E241" s="231">
        <v>49790.400000000001</v>
      </c>
      <c r="F241" s="207"/>
      <c r="G241" s="2" t="s">
        <v>2676</v>
      </c>
      <c r="H241" s="2"/>
      <c r="I241" s="2"/>
      <c r="J241" s="2" t="s">
        <v>3201</v>
      </c>
    </row>
    <row r="242" spans="1:10" x14ac:dyDescent="0.2">
      <c r="A242" s="7" t="s">
        <v>2384</v>
      </c>
      <c r="B242" s="7" t="s">
        <v>2222</v>
      </c>
      <c r="C242" s="205" t="s">
        <v>2020</v>
      </c>
      <c r="D242" s="255" t="s">
        <v>2662</v>
      </c>
      <c r="E242" s="231">
        <v>24552.959999999999</v>
      </c>
      <c r="F242" s="207"/>
      <c r="G242" s="2" t="s">
        <v>2676</v>
      </c>
      <c r="H242" s="2"/>
      <c r="I242" s="2"/>
      <c r="J242" s="2" t="s">
        <v>3201</v>
      </c>
    </row>
    <row r="243" spans="1:10" x14ac:dyDescent="0.2">
      <c r="A243" s="7" t="s">
        <v>2421</v>
      </c>
      <c r="B243" s="7" t="s">
        <v>2223</v>
      </c>
      <c r="C243" s="163" t="s">
        <v>1336</v>
      </c>
      <c r="D243" s="255" t="s">
        <v>2661</v>
      </c>
      <c r="E243" s="231">
        <v>46429.56</v>
      </c>
      <c r="F243" s="207"/>
      <c r="G243" s="2" t="s">
        <v>2676</v>
      </c>
      <c r="H243" s="2"/>
      <c r="I243" s="2"/>
      <c r="J243" s="2" t="s">
        <v>3201</v>
      </c>
    </row>
    <row r="244" spans="1:10" x14ac:dyDescent="0.2">
      <c r="A244" s="7" t="s">
        <v>2312</v>
      </c>
      <c r="B244" s="7" t="s">
        <v>2326</v>
      </c>
      <c r="C244" s="205" t="s">
        <v>2024</v>
      </c>
      <c r="D244" s="255" t="s">
        <v>2662</v>
      </c>
      <c r="E244" s="230">
        <v>57684</v>
      </c>
      <c r="F244" s="207"/>
      <c r="G244" s="2" t="s">
        <v>2676</v>
      </c>
      <c r="H244" s="3"/>
      <c r="I244" s="2"/>
      <c r="J244" s="2" t="s">
        <v>3201</v>
      </c>
    </row>
    <row r="245" spans="1:10" x14ac:dyDescent="0.2">
      <c r="A245" s="7" t="s">
        <v>2351</v>
      </c>
      <c r="B245" s="7" t="s">
        <v>2352</v>
      </c>
      <c r="C245" s="205" t="s">
        <v>2297</v>
      </c>
      <c r="D245" s="255" t="s">
        <v>2662</v>
      </c>
      <c r="E245" s="231">
        <v>24552.959999999999</v>
      </c>
      <c r="F245" s="207"/>
      <c r="G245" s="2" t="s">
        <v>2676</v>
      </c>
      <c r="H245" s="2"/>
      <c r="I245" s="2"/>
      <c r="J245" s="2" t="s">
        <v>3201</v>
      </c>
    </row>
    <row r="246" spans="1:10" x14ac:dyDescent="0.2">
      <c r="A246" s="7" t="s">
        <v>2359</v>
      </c>
      <c r="B246" s="7" t="s">
        <v>2257</v>
      </c>
      <c r="C246" s="202" t="s">
        <v>1537</v>
      </c>
      <c r="D246" s="255" t="s">
        <v>2662</v>
      </c>
      <c r="E246" s="231">
        <v>27125.02</v>
      </c>
      <c r="F246" s="207"/>
      <c r="G246" s="2" t="s">
        <v>2676</v>
      </c>
      <c r="H246" s="2" t="s">
        <v>2776</v>
      </c>
      <c r="I246" s="2"/>
      <c r="J246" s="2" t="s">
        <v>3201</v>
      </c>
    </row>
    <row r="247" spans="1:10" x14ac:dyDescent="0.2">
      <c r="A247" s="7" t="s">
        <v>2324</v>
      </c>
      <c r="B247" s="7" t="s">
        <v>2325</v>
      </c>
      <c r="C247" s="205" t="s">
        <v>1350</v>
      </c>
      <c r="D247" s="255" t="s">
        <v>2662</v>
      </c>
      <c r="E247" s="231">
        <v>26304</v>
      </c>
      <c r="F247" s="207"/>
      <c r="G247" s="2" t="s">
        <v>2676</v>
      </c>
      <c r="H247" s="3"/>
      <c r="I247" s="2"/>
      <c r="J247" s="2" t="s">
        <v>3201</v>
      </c>
    </row>
    <row r="248" spans="1:10" x14ac:dyDescent="0.2">
      <c r="A248" s="7" t="s">
        <v>2407</v>
      </c>
      <c r="B248" s="7" t="s">
        <v>2399</v>
      </c>
      <c r="C248" s="205" t="s">
        <v>2301</v>
      </c>
      <c r="D248" s="255" t="s">
        <v>2662</v>
      </c>
      <c r="E248" s="231">
        <v>37289.040000000001</v>
      </c>
      <c r="F248" s="207"/>
      <c r="G248" s="2" t="s">
        <v>2676</v>
      </c>
      <c r="H248" s="2" t="s">
        <v>2945</v>
      </c>
      <c r="I248" s="2"/>
      <c r="J248" s="2" t="s">
        <v>3201</v>
      </c>
    </row>
    <row r="249" spans="1:10" x14ac:dyDescent="0.2">
      <c r="A249" s="7" t="s">
        <v>2793</v>
      </c>
      <c r="B249" s="7" t="s">
        <v>2794</v>
      </c>
      <c r="C249" s="202" t="s">
        <v>2795</v>
      </c>
      <c r="D249" s="255" t="s">
        <v>2661</v>
      </c>
      <c r="E249" s="230">
        <v>60720</v>
      </c>
      <c r="F249" s="207"/>
      <c r="G249" s="2" t="s">
        <v>2796</v>
      </c>
      <c r="H249" s="2"/>
      <c r="I249" s="2"/>
      <c r="J249" s="2" t="s">
        <v>3201</v>
      </c>
    </row>
    <row r="250" spans="1:10" x14ac:dyDescent="0.2">
      <c r="A250" s="7" t="s">
        <v>2262</v>
      </c>
      <c r="B250" s="7" t="s">
        <v>2263</v>
      </c>
      <c r="C250" s="168" t="s">
        <v>1543</v>
      </c>
      <c r="D250" s="255" t="s">
        <v>2663</v>
      </c>
      <c r="E250" s="231">
        <v>28475.200000000001</v>
      </c>
      <c r="F250" s="207"/>
      <c r="G250" s="342" t="s">
        <v>2796</v>
      </c>
      <c r="H250" s="2"/>
      <c r="I250" s="2"/>
      <c r="J250" s="2" t="s">
        <v>3202</v>
      </c>
    </row>
    <row r="251" spans="1:10" x14ac:dyDescent="0.2">
      <c r="C251" s="205" t="s">
        <v>3070</v>
      </c>
      <c r="D251" s="255" t="s">
        <v>2662</v>
      </c>
      <c r="E251" s="206">
        <v>28000</v>
      </c>
      <c r="F251" s="207"/>
      <c r="G251" s="2" t="s">
        <v>2796</v>
      </c>
      <c r="I251" s="2"/>
      <c r="J251" s="2" t="s">
        <v>3201</v>
      </c>
    </row>
    <row r="252" spans="1:10" x14ac:dyDescent="0.2">
      <c r="A252" s="7" t="s">
        <v>2460</v>
      </c>
      <c r="B252" s="7" t="s">
        <v>2287</v>
      </c>
      <c r="C252" s="202" t="s">
        <v>2411</v>
      </c>
      <c r="D252" s="255" t="s">
        <v>2661</v>
      </c>
      <c r="E252" s="231">
        <v>54607.37</v>
      </c>
      <c r="F252" s="207"/>
      <c r="G252" s="2" t="s">
        <v>2776</v>
      </c>
      <c r="H252" s="2" t="s">
        <v>2707</v>
      </c>
      <c r="I252" s="2"/>
      <c r="J252" s="2" t="s">
        <v>3201</v>
      </c>
    </row>
    <row r="253" spans="1:10" x14ac:dyDescent="0.2">
      <c r="A253" s="7" t="s">
        <v>2415</v>
      </c>
      <c r="B253" s="7" t="s">
        <v>2245</v>
      </c>
      <c r="C253" s="161" t="s">
        <v>1334</v>
      </c>
      <c r="D253" s="255" t="s">
        <v>2660</v>
      </c>
      <c r="E253" s="230">
        <v>66407.039999999994</v>
      </c>
      <c r="F253" s="207"/>
      <c r="G253" s="2" t="s">
        <v>2683</v>
      </c>
      <c r="H253" s="2"/>
      <c r="I253" s="2"/>
      <c r="J253" s="2" t="s">
        <v>3202</v>
      </c>
    </row>
    <row r="254" spans="1:10" x14ac:dyDescent="0.2">
      <c r="A254" s="7" t="s">
        <v>2507</v>
      </c>
      <c r="B254" s="7" t="s">
        <v>2508</v>
      </c>
      <c r="C254" s="203" t="s">
        <v>1547</v>
      </c>
      <c r="D254" s="255" t="s">
        <v>2661</v>
      </c>
      <c r="E254" s="231">
        <v>52947</v>
      </c>
      <c r="F254" s="207"/>
      <c r="G254" s="2" t="s">
        <v>2683</v>
      </c>
      <c r="H254" s="2"/>
      <c r="I254" s="2"/>
      <c r="J254" s="2" t="s">
        <v>3202</v>
      </c>
    </row>
    <row r="255" spans="1:10" x14ac:dyDescent="0.2">
      <c r="A255" s="7" t="s">
        <v>2487</v>
      </c>
      <c r="B255" s="7" t="s">
        <v>2488</v>
      </c>
      <c r="C255" s="203" t="s">
        <v>1535</v>
      </c>
      <c r="D255" s="255" t="s">
        <v>2661</v>
      </c>
      <c r="E255" s="231">
        <v>37362.959999999999</v>
      </c>
      <c r="F255" s="207"/>
      <c r="G255" s="2" t="s">
        <v>2683</v>
      </c>
      <c r="H255" s="2"/>
      <c r="I255" s="2"/>
      <c r="J255" s="2" t="s">
        <v>3202</v>
      </c>
    </row>
    <row r="256" spans="1:10" x14ac:dyDescent="0.2">
      <c r="A256" s="7" t="s">
        <v>2434</v>
      </c>
      <c r="B256" s="7" t="s">
        <v>2497</v>
      </c>
      <c r="C256" s="203" t="s">
        <v>2042</v>
      </c>
      <c r="D256" s="255" t="s">
        <v>2661</v>
      </c>
      <c r="E256" s="231">
        <v>41741.040000000001</v>
      </c>
      <c r="F256" s="207"/>
      <c r="G256" s="2" t="s">
        <v>2683</v>
      </c>
      <c r="H256" s="2"/>
      <c r="I256" s="2"/>
      <c r="J256" s="2" t="s">
        <v>3202</v>
      </c>
    </row>
    <row r="257" spans="1:10" ht="14.25" customHeight="1" x14ac:dyDescent="0.2">
      <c r="A257" s="7" t="s">
        <v>2471</v>
      </c>
      <c r="B257" s="7" t="s">
        <v>2472</v>
      </c>
      <c r="C257" s="203" t="s">
        <v>353</v>
      </c>
      <c r="D257" s="255" t="s">
        <v>2661</v>
      </c>
      <c r="E257" s="231">
        <v>31287</v>
      </c>
      <c r="F257" s="207"/>
      <c r="G257" s="2" t="s">
        <v>2686</v>
      </c>
      <c r="H257" s="342" t="s">
        <v>2952</v>
      </c>
      <c r="I257" s="2"/>
      <c r="J257" s="2" t="s">
        <v>3202</v>
      </c>
    </row>
    <row r="258" spans="1:10" x14ac:dyDescent="0.2">
      <c r="A258" s="7" t="s">
        <v>2318</v>
      </c>
      <c r="B258" s="7" t="s">
        <v>2342</v>
      </c>
      <c r="C258" s="203" t="s">
        <v>1124</v>
      </c>
      <c r="D258" s="255" t="s">
        <v>2662</v>
      </c>
      <c r="E258" s="231">
        <v>31059</v>
      </c>
      <c r="F258" s="207"/>
      <c r="G258" s="342" t="s">
        <v>2686</v>
      </c>
      <c r="H258" s="251"/>
      <c r="I258" s="251"/>
      <c r="J258" s="2" t="s">
        <v>3202</v>
      </c>
    </row>
    <row r="259" spans="1:10" x14ac:dyDescent="0.2">
      <c r="A259" s="7" t="s">
        <v>2283</v>
      </c>
      <c r="B259" s="7" t="s">
        <v>2526</v>
      </c>
      <c r="C259" s="202" t="s">
        <v>100</v>
      </c>
      <c r="D259" s="255" t="s">
        <v>2661</v>
      </c>
      <c r="E259" s="231">
        <v>55200.959999999999</v>
      </c>
      <c r="F259" s="207"/>
      <c r="G259" s="2" t="s">
        <v>2686</v>
      </c>
      <c r="H259" s="2"/>
      <c r="I259" s="2"/>
      <c r="J259" s="2" t="s">
        <v>3202</v>
      </c>
    </row>
    <row r="260" spans="1:10" x14ac:dyDescent="0.2">
      <c r="C260" s="203" t="s">
        <v>3072</v>
      </c>
      <c r="D260" s="255" t="s">
        <v>2662</v>
      </c>
      <c r="E260" s="231">
        <v>31554</v>
      </c>
      <c r="F260" s="207"/>
      <c r="G260" s="2" t="s">
        <v>2686</v>
      </c>
      <c r="H260" s="2"/>
      <c r="I260" s="2"/>
      <c r="J260" s="2" t="s">
        <v>3202</v>
      </c>
    </row>
    <row r="261" spans="1:10" x14ac:dyDescent="0.2">
      <c r="A261" s="7" t="s">
        <v>2504</v>
      </c>
      <c r="B261" s="7" t="s">
        <v>2323</v>
      </c>
      <c r="C261" s="203" t="s">
        <v>2041</v>
      </c>
      <c r="D261" s="255" t="s">
        <v>2658</v>
      </c>
      <c r="E261" s="231">
        <v>24999.96</v>
      </c>
      <c r="F261" s="207"/>
      <c r="G261" s="2" t="s">
        <v>3077</v>
      </c>
      <c r="H261" s="2"/>
      <c r="I261" s="2"/>
      <c r="J261" s="2" t="s">
        <v>3202</v>
      </c>
    </row>
    <row r="262" spans="1:10" x14ac:dyDescent="0.2">
      <c r="A262" s="7" t="s">
        <v>2408</v>
      </c>
      <c r="B262" s="7" t="s">
        <v>2273</v>
      </c>
      <c r="C262" s="203" t="s">
        <v>2294</v>
      </c>
      <c r="D262" s="255" t="s">
        <v>2662</v>
      </c>
      <c r="E262" s="231">
        <v>26238</v>
      </c>
      <c r="F262" s="207"/>
      <c r="G262" s="2" t="s">
        <v>3077</v>
      </c>
      <c r="H262" s="2" t="s">
        <v>2985</v>
      </c>
      <c r="I262" s="2"/>
      <c r="J262" s="2" t="s">
        <v>3202</v>
      </c>
    </row>
    <row r="263" spans="1:10" x14ac:dyDescent="0.2">
      <c r="C263" s="203" t="s">
        <v>3073</v>
      </c>
      <c r="D263" s="255" t="s">
        <v>2662</v>
      </c>
      <c r="E263" s="231">
        <v>26028.04</v>
      </c>
      <c r="F263" s="207"/>
      <c r="G263" s="2" t="s">
        <v>3077</v>
      </c>
      <c r="I263" s="2"/>
      <c r="J263" s="2" t="s">
        <v>3202</v>
      </c>
    </row>
    <row r="264" spans="1:10" x14ac:dyDescent="0.2">
      <c r="A264" s="7" t="s">
        <v>2478</v>
      </c>
      <c r="B264" s="7" t="s">
        <v>2479</v>
      </c>
      <c r="C264" s="202" t="s">
        <v>354</v>
      </c>
      <c r="D264" s="255" t="s">
        <v>2661</v>
      </c>
      <c r="E264" s="231">
        <v>58985.4</v>
      </c>
      <c r="F264" s="207"/>
      <c r="G264" s="2" t="s">
        <v>3078</v>
      </c>
      <c r="H264" s="2"/>
      <c r="I264" s="2"/>
      <c r="J264" s="2" t="s">
        <v>3207</v>
      </c>
    </row>
    <row r="265" spans="1:10" x14ac:dyDescent="0.2">
      <c r="A265" s="7" t="s">
        <v>2372</v>
      </c>
      <c r="B265" s="7" t="s">
        <v>2439</v>
      </c>
      <c r="C265" s="205" t="s">
        <v>2989</v>
      </c>
      <c r="D265" s="255" t="s">
        <v>2662</v>
      </c>
      <c r="E265" s="231">
        <v>35301.96</v>
      </c>
      <c r="F265" s="207"/>
      <c r="G265" s="2" t="s">
        <v>3079</v>
      </c>
      <c r="H265" s="3" t="s">
        <v>2699</v>
      </c>
      <c r="I265" s="2"/>
      <c r="J265" s="3" t="s">
        <v>3203</v>
      </c>
    </row>
    <row r="266" spans="1:10" x14ac:dyDescent="0.2">
      <c r="A266" s="7" t="s">
        <v>2375</v>
      </c>
      <c r="B266" s="7" t="s">
        <v>2376</v>
      </c>
      <c r="C266" s="205" t="s">
        <v>2884</v>
      </c>
      <c r="D266" s="255" t="s">
        <v>2662</v>
      </c>
      <c r="E266" s="231">
        <v>35725.26</v>
      </c>
      <c r="F266" s="207"/>
      <c r="G266" s="342" t="s">
        <v>2688</v>
      </c>
      <c r="H266" s="2"/>
      <c r="I266" s="2"/>
      <c r="J266" s="3" t="s">
        <v>3203</v>
      </c>
    </row>
    <row r="267" spans="1:10" x14ac:dyDescent="0.2">
      <c r="A267" s="7" t="s">
        <v>2283</v>
      </c>
      <c r="B267" s="7" t="s">
        <v>2439</v>
      </c>
      <c r="C267" s="203" t="s">
        <v>1209</v>
      </c>
      <c r="D267" s="255" t="s">
        <v>2661</v>
      </c>
      <c r="E267" s="231">
        <v>41573.64</v>
      </c>
      <c r="F267" s="207"/>
      <c r="G267" s="3" t="s">
        <v>2688</v>
      </c>
      <c r="H267" s="3"/>
      <c r="I267" s="3"/>
      <c r="J267" s="3" t="s">
        <v>3203</v>
      </c>
    </row>
    <row r="268" spans="1:10" x14ac:dyDescent="0.2">
      <c r="A268" s="7" t="s">
        <v>2316</v>
      </c>
      <c r="B268" s="7" t="s">
        <v>2406</v>
      </c>
      <c r="C268" s="205" t="s">
        <v>490</v>
      </c>
      <c r="D268" s="255" t="s">
        <v>2662</v>
      </c>
      <c r="E268" s="231">
        <v>25580.04</v>
      </c>
      <c r="F268" s="207"/>
      <c r="G268" s="2" t="s">
        <v>2688</v>
      </c>
      <c r="H268" s="3"/>
      <c r="I268" s="3"/>
      <c r="J268" s="3" t="s">
        <v>3203</v>
      </c>
    </row>
    <row r="269" spans="1:10" x14ac:dyDescent="0.2">
      <c r="A269" s="7" t="s">
        <v>2359</v>
      </c>
      <c r="B269" s="7" t="s">
        <v>2442</v>
      </c>
      <c r="C269" s="202" t="s">
        <v>1347</v>
      </c>
      <c r="D269" s="255" t="s">
        <v>2661</v>
      </c>
      <c r="E269" s="231">
        <v>42908.76</v>
      </c>
      <c r="F269" s="207"/>
      <c r="G269" s="3" t="s">
        <v>2688</v>
      </c>
      <c r="H269" s="3"/>
      <c r="I269" s="3"/>
      <c r="J269" s="3" t="s">
        <v>3203</v>
      </c>
    </row>
    <row r="270" spans="1:10" x14ac:dyDescent="0.2">
      <c r="A270" s="7" t="s">
        <v>3054</v>
      </c>
      <c r="B270" s="7" t="s">
        <v>2280</v>
      </c>
      <c r="C270" s="205" t="s">
        <v>3055</v>
      </c>
      <c r="D270" s="255" t="s">
        <v>2662</v>
      </c>
      <c r="E270" s="231">
        <v>12276</v>
      </c>
      <c r="F270" s="207"/>
      <c r="G270" s="2" t="s">
        <v>2951</v>
      </c>
      <c r="H270" s="2"/>
      <c r="I270" s="2"/>
      <c r="J270" s="2" t="s">
        <v>3205</v>
      </c>
    </row>
    <row r="271" spans="1:10" x14ac:dyDescent="0.2">
      <c r="A271" s="7" t="s">
        <v>2473</v>
      </c>
      <c r="B271" s="7" t="s">
        <v>2647</v>
      </c>
      <c r="C271" s="156" t="s">
        <v>83</v>
      </c>
      <c r="D271" s="255" t="s">
        <v>2659</v>
      </c>
      <c r="E271" s="230">
        <v>75089</v>
      </c>
      <c r="F271" s="207"/>
      <c r="G271" s="2" t="s">
        <v>2951</v>
      </c>
      <c r="H271" s="2"/>
      <c r="I271" s="2"/>
      <c r="J271" s="2" t="s">
        <v>3205</v>
      </c>
    </row>
    <row r="272" spans="1:10" x14ac:dyDescent="0.2">
      <c r="A272" s="7" t="s">
        <v>2330</v>
      </c>
      <c r="B272" s="7" t="s">
        <v>2535</v>
      </c>
      <c r="C272" s="202" t="s">
        <v>982</v>
      </c>
      <c r="D272" s="255" t="s">
        <v>2661</v>
      </c>
      <c r="E272" s="231">
        <v>62841.84</v>
      </c>
      <c r="F272" s="207"/>
      <c r="G272" s="3" t="s">
        <v>3080</v>
      </c>
      <c r="H272" s="3"/>
      <c r="I272" s="3"/>
      <c r="J272" s="2" t="s">
        <v>3207</v>
      </c>
    </row>
    <row r="273" spans="1:10" x14ac:dyDescent="0.2">
      <c r="A273" s="7" t="s">
        <v>2811</v>
      </c>
      <c r="B273" s="7" t="s">
        <v>2812</v>
      </c>
      <c r="C273" s="202" t="s">
        <v>1539</v>
      </c>
      <c r="D273" s="255" t="s">
        <v>2661</v>
      </c>
      <c r="E273" s="231">
        <v>53981.88</v>
      </c>
      <c r="F273" s="207"/>
      <c r="G273" s="2" t="s">
        <v>2685</v>
      </c>
      <c r="H273" s="2"/>
      <c r="I273" s="2"/>
      <c r="J273" s="2" t="s">
        <v>3207</v>
      </c>
    </row>
    <row r="274" spans="1:10" x14ac:dyDescent="0.2">
      <c r="A274" s="7" t="s">
        <v>2360</v>
      </c>
      <c r="B274" s="7" t="s">
        <v>2263</v>
      </c>
      <c r="C274" s="203" t="s">
        <v>1012</v>
      </c>
      <c r="D274" s="255" t="s">
        <v>2662</v>
      </c>
      <c r="E274" s="231">
        <v>29187</v>
      </c>
      <c r="F274" s="207"/>
      <c r="G274" s="3" t="s">
        <v>2681</v>
      </c>
      <c r="H274" s="2"/>
      <c r="I274" s="2"/>
      <c r="J274" s="7" t="s">
        <v>3202</v>
      </c>
    </row>
    <row r="275" spans="1:10" x14ac:dyDescent="0.2">
      <c r="A275" s="7" t="s">
        <v>2431</v>
      </c>
      <c r="B275" s="7" t="s">
        <v>2432</v>
      </c>
      <c r="C275" s="203" t="s">
        <v>421</v>
      </c>
      <c r="D275" s="255" t="s">
        <v>2661</v>
      </c>
      <c r="E275" s="231">
        <v>28155.96</v>
      </c>
      <c r="F275" s="207"/>
      <c r="G275" s="3" t="s">
        <v>2681</v>
      </c>
      <c r="H275" s="3"/>
      <c r="I275" s="3"/>
      <c r="J275" s="7" t="s">
        <v>3202</v>
      </c>
    </row>
    <row r="276" spans="1:10" x14ac:dyDescent="0.2">
      <c r="A276" s="7" t="s">
        <v>2390</v>
      </c>
      <c r="B276" s="7" t="s">
        <v>2445</v>
      </c>
      <c r="C276" s="202" t="s">
        <v>1352</v>
      </c>
      <c r="D276" s="255" t="s">
        <v>2661</v>
      </c>
      <c r="E276" s="231">
        <v>56990.28</v>
      </c>
      <c r="F276" s="207"/>
      <c r="G276" s="3" t="s">
        <v>2681</v>
      </c>
      <c r="H276" s="2" t="s">
        <v>2694</v>
      </c>
      <c r="I276" s="3"/>
      <c r="J276" s="7" t="s">
        <v>3202</v>
      </c>
    </row>
    <row r="277" spans="1:10" x14ac:dyDescent="0.2">
      <c r="A277" s="7" t="s">
        <v>2339</v>
      </c>
      <c r="B277" s="7" t="s">
        <v>2244</v>
      </c>
      <c r="C277" s="222" t="s">
        <v>1358</v>
      </c>
      <c r="D277" s="255" t="s">
        <v>2662</v>
      </c>
      <c r="E277" s="231">
        <v>28982.04</v>
      </c>
      <c r="F277" s="207"/>
      <c r="G277" s="2" t="s">
        <v>2682</v>
      </c>
      <c r="H277" s="2"/>
      <c r="I277" s="2"/>
      <c r="J277" s="7" t="s">
        <v>3202</v>
      </c>
    </row>
    <row r="278" spans="1:10" x14ac:dyDescent="0.2">
      <c r="A278" s="7" t="s">
        <v>2427</v>
      </c>
      <c r="B278" s="7" t="s">
        <v>2428</v>
      </c>
      <c r="C278" s="164" t="s">
        <v>1204</v>
      </c>
      <c r="D278" s="255" t="s">
        <v>2661</v>
      </c>
      <c r="E278" s="231">
        <v>40479.96</v>
      </c>
      <c r="F278" s="207"/>
      <c r="G278" s="2" t="s">
        <v>2682</v>
      </c>
      <c r="H278" s="2"/>
      <c r="I278" s="2"/>
      <c r="J278" s="7" t="s">
        <v>3202</v>
      </c>
    </row>
    <row r="279" spans="1:10" x14ac:dyDescent="0.2">
      <c r="A279" s="7" t="s">
        <v>2387</v>
      </c>
      <c r="B279" s="7" t="s">
        <v>2388</v>
      </c>
      <c r="C279" s="205" t="s">
        <v>1400</v>
      </c>
      <c r="D279" s="255" t="s">
        <v>2662</v>
      </c>
      <c r="E279" s="231">
        <v>27951</v>
      </c>
      <c r="F279" s="207"/>
      <c r="G279" s="2" t="s">
        <v>3082</v>
      </c>
      <c r="H279" s="2"/>
      <c r="I279" s="2"/>
      <c r="J279" s="7" t="s">
        <v>3202</v>
      </c>
    </row>
    <row r="280" spans="1:10" x14ac:dyDescent="0.2">
      <c r="A280" s="7" t="s">
        <v>2433</v>
      </c>
      <c r="B280" s="7" t="s">
        <v>2335</v>
      </c>
      <c r="C280" s="228" t="s">
        <v>1206</v>
      </c>
      <c r="D280" s="255" t="s">
        <v>2661</v>
      </c>
      <c r="E280" s="231">
        <v>38496.120000000003</v>
      </c>
      <c r="F280" s="207"/>
      <c r="G280" s="3" t="s">
        <v>3083</v>
      </c>
      <c r="H280" s="3"/>
      <c r="I280" s="3"/>
      <c r="J280" s="7" t="s">
        <v>3202</v>
      </c>
    </row>
    <row r="281" spans="1:10" x14ac:dyDescent="0.2">
      <c r="A281" s="7" t="s">
        <v>2346</v>
      </c>
      <c r="B281" s="7" t="s">
        <v>2249</v>
      </c>
      <c r="C281" s="228" t="s">
        <v>1529</v>
      </c>
      <c r="D281" s="255" t="s">
        <v>2662</v>
      </c>
      <c r="E281" s="231">
        <v>26291.200000000001</v>
      </c>
      <c r="F281" s="207"/>
      <c r="G281" s="3" t="s">
        <v>3083</v>
      </c>
      <c r="H281" s="3"/>
      <c r="I281" s="3"/>
      <c r="J281" s="7" t="s">
        <v>3202</v>
      </c>
    </row>
    <row r="282" spans="1:10" x14ac:dyDescent="0.2">
      <c r="A282" s="7" t="s">
        <v>2316</v>
      </c>
      <c r="B282" s="7" t="s">
        <v>2317</v>
      </c>
      <c r="C282" s="202" t="s">
        <v>1205</v>
      </c>
      <c r="D282" s="255" t="s">
        <v>2662</v>
      </c>
      <c r="E282" s="231">
        <v>34917</v>
      </c>
      <c r="F282" s="207"/>
      <c r="G282" s="2" t="s">
        <v>2702</v>
      </c>
      <c r="H282" s="3" t="s">
        <v>2701</v>
      </c>
      <c r="J282" s="7" t="s">
        <v>3202</v>
      </c>
    </row>
    <row r="283" spans="1:10" x14ac:dyDescent="0.2">
      <c r="A283" s="7" t="s">
        <v>2308</v>
      </c>
      <c r="B283" s="7" t="s">
        <v>2309</v>
      </c>
      <c r="C283" s="202" t="s">
        <v>1289</v>
      </c>
      <c r="D283" s="255" t="s">
        <v>2662</v>
      </c>
      <c r="E283" s="231">
        <v>35492.04</v>
      </c>
      <c r="F283" s="207"/>
      <c r="G283" s="2" t="s">
        <v>2702</v>
      </c>
      <c r="H283" s="2" t="s">
        <v>2800</v>
      </c>
      <c r="I283" s="2"/>
      <c r="J283" s="7" t="s">
        <v>3202</v>
      </c>
    </row>
    <row r="284" spans="1:10" x14ac:dyDescent="0.2">
      <c r="A284" s="7" t="s">
        <v>2266</v>
      </c>
      <c r="B284" s="7" t="s">
        <v>2325</v>
      </c>
      <c r="C284" s="202" t="s">
        <v>1351</v>
      </c>
      <c r="D284" s="255" t="s">
        <v>2662</v>
      </c>
      <c r="E284" s="231">
        <v>43366.92</v>
      </c>
      <c r="F284" s="207"/>
      <c r="G284" s="2" t="s">
        <v>2702</v>
      </c>
      <c r="H284" s="3"/>
      <c r="I284" s="3"/>
      <c r="J284" s="7" t="s">
        <v>3202</v>
      </c>
    </row>
    <row r="285" spans="1:10" x14ac:dyDescent="0.2">
      <c r="A285" s="7" t="s">
        <v>2489</v>
      </c>
      <c r="B285" s="7" t="s">
        <v>2263</v>
      </c>
      <c r="C285" s="202" t="s">
        <v>1542</v>
      </c>
      <c r="D285" s="255" t="s">
        <v>2661</v>
      </c>
      <c r="E285" s="231">
        <v>57744.72</v>
      </c>
      <c r="F285" s="207"/>
      <c r="G285" s="3" t="s">
        <v>2792</v>
      </c>
      <c r="H285" s="3"/>
      <c r="I285" s="3"/>
      <c r="J285" s="7" t="s">
        <v>3202</v>
      </c>
    </row>
    <row r="286" spans="1:10" x14ac:dyDescent="0.2">
      <c r="A286" s="7" t="s">
        <v>2243</v>
      </c>
      <c r="B286" s="7" t="s">
        <v>2244</v>
      </c>
      <c r="C286" s="228" t="s">
        <v>1357</v>
      </c>
      <c r="D286" s="255" t="s">
        <v>2663</v>
      </c>
      <c r="E286" s="231">
        <v>25292.799999999999</v>
      </c>
      <c r="F286" s="207"/>
      <c r="G286" s="2" t="s">
        <v>2703</v>
      </c>
      <c r="H286" s="2"/>
      <c r="I286" s="2"/>
      <c r="J286" s="7" t="s">
        <v>3202</v>
      </c>
    </row>
    <row r="287" spans="1:10" ht="16.5" customHeight="1" x14ac:dyDescent="0.2">
      <c r="A287" s="7" t="s">
        <v>2245</v>
      </c>
      <c r="B287" s="7" t="s">
        <v>2246</v>
      </c>
      <c r="C287" s="228" t="s">
        <v>1125</v>
      </c>
      <c r="D287" s="255" t="s">
        <v>2663</v>
      </c>
      <c r="E287" s="231">
        <v>26291.200000000001</v>
      </c>
      <c r="F287" s="207"/>
      <c r="G287" s="2" t="s">
        <v>2703</v>
      </c>
      <c r="H287" s="251"/>
      <c r="I287" s="251"/>
      <c r="J287" s="7" t="s">
        <v>3202</v>
      </c>
    </row>
    <row r="288" spans="1:10" x14ac:dyDescent="0.2">
      <c r="A288" s="7" t="s">
        <v>2235</v>
      </c>
      <c r="B288" s="7" t="s">
        <v>2236</v>
      </c>
      <c r="C288" s="222" t="s">
        <v>1210</v>
      </c>
      <c r="D288" s="255" t="s">
        <v>2663</v>
      </c>
      <c r="E288" s="231">
        <v>42452.800000000003</v>
      </c>
      <c r="F288" s="207"/>
      <c r="G288" s="2" t="s">
        <v>2703</v>
      </c>
      <c r="H288" s="3"/>
      <c r="I288" s="3"/>
      <c r="J288" s="7" t="s">
        <v>3202</v>
      </c>
    </row>
    <row r="289" spans="1:10" x14ac:dyDescent="0.2">
      <c r="A289" s="7" t="s">
        <v>2278</v>
      </c>
      <c r="B289" s="7" t="s">
        <v>2222</v>
      </c>
      <c r="C289" s="168" t="s">
        <v>1284</v>
      </c>
      <c r="D289" s="255" t="s">
        <v>2663</v>
      </c>
      <c r="E289" s="231">
        <v>27331.200000000001</v>
      </c>
      <c r="F289" s="207"/>
      <c r="G289" s="2" t="s">
        <v>2703</v>
      </c>
      <c r="H289" s="2"/>
      <c r="I289" s="2"/>
      <c r="J289" s="7" t="s">
        <v>3202</v>
      </c>
    </row>
    <row r="290" spans="1:10" x14ac:dyDescent="0.2">
      <c r="A290" s="7" t="s">
        <v>2286</v>
      </c>
      <c r="B290" s="7" t="s">
        <v>2287</v>
      </c>
      <c r="C290" s="228" t="s">
        <v>2207</v>
      </c>
      <c r="D290" s="255" t="s">
        <v>2663</v>
      </c>
      <c r="E290" s="231">
        <v>29224</v>
      </c>
      <c r="F290" s="207"/>
      <c r="G290" s="2" t="s">
        <v>2703</v>
      </c>
      <c r="H290" s="3"/>
      <c r="I290" s="3"/>
      <c r="J290" s="7" t="s">
        <v>3202</v>
      </c>
    </row>
    <row r="291" spans="1:10" x14ac:dyDescent="0.2">
      <c r="A291" s="7" t="s">
        <v>2227</v>
      </c>
      <c r="B291" s="7" t="s">
        <v>2228</v>
      </c>
      <c r="C291" s="222" t="s">
        <v>2206</v>
      </c>
      <c r="D291" s="255" t="s">
        <v>2663</v>
      </c>
      <c r="E291" s="231">
        <v>23025.119999999999</v>
      </c>
      <c r="F291" s="207"/>
      <c r="G291" s="2" t="s">
        <v>2703</v>
      </c>
      <c r="H291" s="3"/>
      <c r="I291" s="3"/>
      <c r="J291" s="7" t="s">
        <v>3202</v>
      </c>
    </row>
    <row r="292" spans="1:10" x14ac:dyDescent="0.2">
      <c r="A292" s="7" t="s">
        <v>2231</v>
      </c>
      <c r="B292" s="7" t="s">
        <v>2232</v>
      </c>
      <c r="C292" s="228" t="s">
        <v>2221</v>
      </c>
      <c r="D292" s="255" t="s">
        <v>2663</v>
      </c>
      <c r="E292" s="231">
        <v>25292.799999999999</v>
      </c>
      <c r="F292" s="207"/>
      <c r="G292" s="2" t="s">
        <v>2703</v>
      </c>
      <c r="H292" s="2"/>
      <c r="I292" s="2"/>
      <c r="J292" s="7" t="s">
        <v>3202</v>
      </c>
    </row>
    <row r="293" spans="1:10" x14ac:dyDescent="0.2">
      <c r="A293" s="7" t="s">
        <v>2992</v>
      </c>
      <c r="B293" s="7" t="s">
        <v>3048</v>
      </c>
      <c r="C293" s="164" t="s">
        <v>3049</v>
      </c>
      <c r="D293" s="255" t="s">
        <v>2663</v>
      </c>
      <c r="E293" s="231">
        <v>28475.200000000001</v>
      </c>
      <c r="F293" s="207"/>
      <c r="G293" s="2" t="s">
        <v>2703</v>
      </c>
      <c r="H293" s="2"/>
      <c r="I293" s="2"/>
      <c r="J293" s="7" t="s">
        <v>3202</v>
      </c>
    </row>
    <row r="294" spans="1:10" x14ac:dyDescent="0.2">
      <c r="C294" s="164" t="s">
        <v>3068</v>
      </c>
      <c r="D294" s="255" t="s">
        <v>2663</v>
      </c>
      <c r="E294" s="206">
        <v>40000</v>
      </c>
      <c r="F294" s="207"/>
      <c r="G294" s="2" t="s">
        <v>2703</v>
      </c>
      <c r="H294" s="2"/>
      <c r="I294" s="2"/>
      <c r="J294" s="7" t="s">
        <v>3202</v>
      </c>
    </row>
    <row r="295" spans="1:10" x14ac:dyDescent="0.2">
      <c r="A295" s="7" t="s">
        <v>2252</v>
      </c>
      <c r="B295" s="7" t="s">
        <v>2253</v>
      </c>
      <c r="C295" s="168" t="s">
        <v>36</v>
      </c>
      <c r="D295" s="255" t="s">
        <v>2663</v>
      </c>
      <c r="E295" s="231">
        <v>23025.119999999999</v>
      </c>
      <c r="F295" s="207"/>
      <c r="G295" s="252" t="s">
        <v>2704</v>
      </c>
      <c r="H295" s="2"/>
      <c r="I295" s="2"/>
      <c r="J295" s="7" t="s">
        <v>3202</v>
      </c>
    </row>
    <row r="296" spans="1:10" x14ac:dyDescent="0.2">
      <c r="A296" s="7" t="s">
        <v>2254</v>
      </c>
      <c r="B296" s="7" t="s">
        <v>2255</v>
      </c>
      <c r="C296" s="168" t="s">
        <v>1534</v>
      </c>
      <c r="D296" s="255" t="s">
        <v>2663</v>
      </c>
      <c r="E296" s="231">
        <v>22734.400000000001</v>
      </c>
      <c r="F296" s="207"/>
      <c r="G296" s="252" t="s">
        <v>2704</v>
      </c>
      <c r="H296" s="2"/>
      <c r="I296" s="2"/>
      <c r="J296" s="7" t="s">
        <v>3202</v>
      </c>
    </row>
    <row r="297" spans="1:10" x14ac:dyDescent="0.2">
      <c r="A297" s="7" t="s">
        <v>2233</v>
      </c>
      <c r="B297" s="7" t="s">
        <v>2234</v>
      </c>
      <c r="C297" s="228" t="s">
        <v>1207</v>
      </c>
      <c r="D297" s="255" t="s">
        <v>2663</v>
      </c>
      <c r="E297" s="231">
        <v>22734.400000000001</v>
      </c>
      <c r="F297" s="207"/>
      <c r="G297" s="252" t="s">
        <v>2704</v>
      </c>
      <c r="H297" s="2"/>
      <c r="I297" s="2"/>
      <c r="J297" s="7" t="s">
        <v>3202</v>
      </c>
    </row>
    <row r="298" spans="1:10" x14ac:dyDescent="0.2">
      <c r="A298" s="7" t="s">
        <v>2288</v>
      </c>
      <c r="B298" s="7" t="s">
        <v>2289</v>
      </c>
      <c r="C298" s="228" t="s">
        <v>2204</v>
      </c>
      <c r="D298" s="255" t="s">
        <v>2663</v>
      </c>
      <c r="E298" s="231">
        <v>22505.599999999999</v>
      </c>
      <c r="F298" s="207"/>
      <c r="G298" s="252" t="s">
        <v>2704</v>
      </c>
      <c r="H298" s="2"/>
      <c r="I298" s="2"/>
      <c r="J298" s="7" t="s">
        <v>3202</v>
      </c>
    </row>
    <row r="299" spans="1:10" x14ac:dyDescent="0.2">
      <c r="A299" s="7" t="s">
        <v>2283</v>
      </c>
      <c r="B299" s="7" t="s">
        <v>2284</v>
      </c>
      <c r="C299" s="168" t="s">
        <v>1409</v>
      </c>
      <c r="D299" s="255" t="s">
        <v>2663</v>
      </c>
      <c r="E299" s="231">
        <v>22214.400000000001</v>
      </c>
      <c r="F299" s="207"/>
      <c r="G299" s="252" t="s">
        <v>2704</v>
      </c>
      <c r="H299" s="2"/>
      <c r="I299" s="2"/>
      <c r="J299" s="7" t="s">
        <v>3202</v>
      </c>
    </row>
    <row r="300" spans="1:10" x14ac:dyDescent="0.2">
      <c r="A300" s="7" t="s">
        <v>2264</v>
      </c>
      <c r="B300" s="7" t="s">
        <v>2265</v>
      </c>
      <c r="C300" s="169" t="s">
        <v>759</v>
      </c>
      <c r="D300" s="255" t="s">
        <v>2663</v>
      </c>
      <c r="E300" s="231">
        <v>22214.400000000001</v>
      </c>
      <c r="F300" s="207"/>
      <c r="G300" s="252" t="s">
        <v>2704</v>
      </c>
      <c r="H300" s="2"/>
      <c r="I300" s="2"/>
      <c r="J300" s="7" t="s">
        <v>3202</v>
      </c>
    </row>
    <row r="301" spans="1:10" x14ac:dyDescent="0.2">
      <c r="A301" s="7" t="s">
        <v>2270</v>
      </c>
      <c r="B301" s="7" t="s">
        <v>2271</v>
      </c>
      <c r="C301" s="168" t="s">
        <v>1398</v>
      </c>
      <c r="D301" s="255" t="s">
        <v>2663</v>
      </c>
      <c r="E301" s="231">
        <v>27331.200000000001</v>
      </c>
      <c r="F301" s="207"/>
      <c r="G301" s="252" t="s">
        <v>2704</v>
      </c>
      <c r="H301" s="2"/>
      <c r="I301" s="2"/>
      <c r="J301" s="7" t="s">
        <v>3202</v>
      </c>
    </row>
    <row r="302" spans="1:10" x14ac:dyDescent="0.2">
      <c r="A302" s="7" t="s">
        <v>2281</v>
      </c>
      <c r="B302" s="7" t="s">
        <v>2282</v>
      </c>
      <c r="C302" s="168" t="s">
        <v>1777</v>
      </c>
      <c r="D302" s="255" t="s">
        <v>2663</v>
      </c>
      <c r="E302" s="231">
        <v>22734.400000000001</v>
      </c>
      <c r="F302" s="207"/>
      <c r="G302" s="252" t="s">
        <v>2704</v>
      </c>
      <c r="H302" s="2"/>
      <c r="I302" s="2"/>
      <c r="J302" s="7" t="s">
        <v>3202</v>
      </c>
    </row>
    <row r="303" spans="1:10" x14ac:dyDescent="0.2">
      <c r="A303" s="7" t="s">
        <v>2292</v>
      </c>
      <c r="B303" s="7" t="s">
        <v>2277</v>
      </c>
      <c r="C303" s="168" t="s">
        <v>1403</v>
      </c>
      <c r="D303" s="255" t="s">
        <v>2663</v>
      </c>
      <c r="E303" s="231">
        <v>27476.799999999999</v>
      </c>
      <c r="F303" s="207"/>
      <c r="G303" s="252" t="s">
        <v>2704</v>
      </c>
      <c r="H303" s="2"/>
      <c r="I303" s="2"/>
      <c r="J303" s="7" t="s">
        <v>3202</v>
      </c>
    </row>
    <row r="304" spans="1:10" x14ac:dyDescent="0.2">
      <c r="A304" s="7" t="s">
        <v>2237</v>
      </c>
      <c r="B304" s="7" t="s">
        <v>2238</v>
      </c>
      <c r="C304" s="228" t="s">
        <v>1348</v>
      </c>
      <c r="D304" s="255" t="s">
        <v>2663</v>
      </c>
      <c r="E304" s="231">
        <v>22734.400000000001</v>
      </c>
      <c r="F304" s="207"/>
      <c r="G304" s="252" t="s">
        <v>2704</v>
      </c>
      <c r="H304" s="3"/>
      <c r="I304" s="3"/>
      <c r="J304" s="7" t="s">
        <v>3202</v>
      </c>
    </row>
    <row r="305" spans="1:10" x14ac:dyDescent="0.2">
      <c r="A305" s="7" t="s">
        <v>2260</v>
      </c>
      <c r="B305" s="7" t="s">
        <v>2261</v>
      </c>
      <c r="C305" s="168" t="s">
        <v>312</v>
      </c>
      <c r="D305" s="255" t="s">
        <v>2663</v>
      </c>
      <c r="E305" s="231">
        <v>22734.400000000001</v>
      </c>
      <c r="F305" s="207"/>
      <c r="G305" s="252" t="s">
        <v>2704</v>
      </c>
      <c r="H305" s="2"/>
      <c r="I305" s="2"/>
      <c r="J305" s="7" t="s">
        <v>3202</v>
      </c>
    </row>
    <row r="306" spans="1:10" x14ac:dyDescent="0.2">
      <c r="A306" s="7" t="s">
        <v>2826</v>
      </c>
      <c r="B306" s="7" t="s">
        <v>2263</v>
      </c>
      <c r="C306" s="168" t="s">
        <v>2825</v>
      </c>
      <c r="D306" s="255" t="s">
        <v>2663</v>
      </c>
      <c r="E306" s="231">
        <v>22214.400000000001</v>
      </c>
      <c r="F306" s="207"/>
      <c r="G306" s="252" t="s">
        <v>2704</v>
      </c>
      <c r="H306" s="2"/>
      <c r="I306" s="2"/>
      <c r="J306" s="7" t="s">
        <v>3202</v>
      </c>
    </row>
    <row r="307" spans="1:10" x14ac:dyDescent="0.2">
      <c r="A307" s="7" t="s">
        <v>2251</v>
      </c>
      <c r="B307" s="7" t="s">
        <v>2273</v>
      </c>
      <c r="C307" s="168" t="s">
        <v>2205</v>
      </c>
      <c r="D307" s="255" t="s">
        <v>2663</v>
      </c>
      <c r="E307" s="231">
        <v>22734.400000000001</v>
      </c>
      <c r="F307" s="207"/>
      <c r="G307" s="252" t="s">
        <v>2704</v>
      </c>
      <c r="H307" s="2"/>
      <c r="I307" s="2"/>
      <c r="J307" s="7" t="s">
        <v>3202</v>
      </c>
    </row>
    <row r="308" spans="1:10" x14ac:dyDescent="0.2">
      <c r="A308" s="7" t="s">
        <v>2266</v>
      </c>
      <c r="B308" s="7" t="s">
        <v>2267</v>
      </c>
      <c r="C308" s="168" t="s">
        <v>2203</v>
      </c>
      <c r="D308" s="255" t="s">
        <v>2663</v>
      </c>
      <c r="E308" s="231">
        <v>27331.200000000001</v>
      </c>
      <c r="F308" s="207"/>
      <c r="G308" s="252" t="s">
        <v>2704</v>
      </c>
      <c r="H308" s="2"/>
      <c r="I308" s="2"/>
      <c r="J308" s="7" t="s">
        <v>3202</v>
      </c>
    </row>
    <row r="309" spans="1:10" x14ac:dyDescent="0.2">
      <c r="A309" s="7" t="s">
        <v>2229</v>
      </c>
      <c r="B309" s="7" t="s">
        <v>2230</v>
      </c>
      <c r="C309" s="228" t="s">
        <v>1612</v>
      </c>
      <c r="D309" s="255" t="s">
        <v>2663</v>
      </c>
      <c r="E309" s="231">
        <v>22734.400000000001</v>
      </c>
      <c r="F309" s="207"/>
      <c r="G309" s="252" t="s">
        <v>2704</v>
      </c>
      <c r="H309" s="2"/>
      <c r="I309" s="2"/>
      <c r="J309" s="7" t="s">
        <v>3202</v>
      </c>
    </row>
    <row r="310" spans="1:10" x14ac:dyDescent="0.2">
      <c r="A310" s="7" t="s">
        <v>2247</v>
      </c>
      <c r="B310" s="7" t="s">
        <v>2246</v>
      </c>
      <c r="C310" s="168" t="s">
        <v>352</v>
      </c>
      <c r="D310" s="255" t="s">
        <v>2663</v>
      </c>
      <c r="E310" s="231">
        <v>22734.400000000001</v>
      </c>
      <c r="F310" s="207"/>
      <c r="G310" s="252" t="s">
        <v>2704</v>
      </c>
      <c r="H310" s="2"/>
      <c r="I310" s="2"/>
      <c r="J310" s="7" t="s">
        <v>3202</v>
      </c>
    </row>
    <row r="311" spans="1:10" x14ac:dyDescent="0.2">
      <c r="A311" s="7" t="s">
        <v>2240</v>
      </c>
      <c r="B311" s="7" t="s">
        <v>2239</v>
      </c>
      <c r="C311" s="228" t="s">
        <v>1294</v>
      </c>
      <c r="D311" s="255" t="s">
        <v>2663</v>
      </c>
      <c r="E311" s="231">
        <v>22214.400000000001</v>
      </c>
      <c r="F311" s="207"/>
      <c r="G311" s="252" t="s">
        <v>2704</v>
      </c>
      <c r="H311" s="251"/>
      <c r="I311" s="251"/>
      <c r="J311" s="7" t="s">
        <v>3202</v>
      </c>
    </row>
    <row r="312" spans="1:10" x14ac:dyDescent="0.2">
      <c r="C312" s="168" t="s">
        <v>3071</v>
      </c>
      <c r="D312" s="255" t="s">
        <v>2663</v>
      </c>
      <c r="E312" s="231">
        <v>22214.400000000001</v>
      </c>
      <c r="F312" s="207"/>
      <c r="G312" s="252" t="s">
        <v>2704</v>
      </c>
      <c r="H312" s="2"/>
      <c r="I312" s="2"/>
      <c r="J312" s="7" t="s">
        <v>3202</v>
      </c>
    </row>
    <row r="313" spans="1:10" x14ac:dyDescent="0.2">
      <c r="A313" s="7" t="s">
        <v>2245</v>
      </c>
      <c r="B313" s="7" t="s">
        <v>3052</v>
      </c>
      <c r="C313" s="168" t="s">
        <v>3053</v>
      </c>
      <c r="D313" s="255" t="s">
        <v>2663</v>
      </c>
      <c r="E313" s="231">
        <v>25292.799999999999</v>
      </c>
      <c r="F313" s="207"/>
      <c r="G313" s="252" t="s">
        <v>2705</v>
      </c>
      <c r="H313" s="2"/>
      <c r="I313" s="2"/>
      <c r="J313" s="7" t="s">
        <v>3202</v>
      </c>
    </row>
    <row r="314" spans="1:10" x14ac:dyDescent="0.2">
      <c r="A314" s="7" t="s">
        <v>2290</v>
      </c>
      <c r="B314" s="7" t="s">
        <v>2291</v>
      </c>
      <c r="C314" s="168" t="s">
        <v>2220</v>
      </c>
      <c r="D314" s="255" t="s">
        <v>2663</v>
      </c>
      <c r="E314" s="231">
        <v>22214.400000000001</v>
      </c>
      <c r="F314" s="207"/>
      <c r="G314" s="252" t="s">
        <v>2705</v>
      </c>
      <c r="H314" s="2"/>
      <c r="I314" s="2"/>
      <c r="J314" s="7" t="s">
        <v>3202</v>
      </c>
    </row>
    <row r="315" spans="1:10" x14ac:dyDescent="0.2">
      <c r="A315" s="7" t="s">
        <v>2231</v>
      </c>
      <c r="B315" s="7" t="s">
        <v>2285</v>
      </c>
      <c r="C315" s="168" t="s">
        <v>1265</v>
      </c>
      <c r="D315" s="255" t="s">
        <v>2663</v>
      </c>
      <c r="E315" s="231">
        <v>23379.200000000001</v>
      </c>
      <c r="F315" s="207"/>
      <c r="G315" s="252" t="s">
        <v>2705</v>
      </c>
      <c r="H315" s="2"/>
      <c r="I315" s="2"/>
      <c r="J315" s="7" t="s">
        <v>3202</v>
      </c>
    </row>
    <row r="316" spans="1:10" x14ac:dyDescent="0.2">
      <c r="A316" s="7" t="s">
        <v>2224</v>
      </c>
      <c r="B316" s="7" t="s">
        <v>2225</v>
      </c>
      <c r="C316" s="228" t="s">
        <v>1129</v>
      </c>
      <c r="D316" s="255" t="s">
        <v>2663</v>
      </c>
      <c r="E316" s="231">
        <v>25292.799999999999</v>
      </c>
      <c r="F316" s="207"/>
      <c r="G316" s="252" t="s">
        <v>2705</v>
      </c>
      <c r="H316" s="252"/>
      <c r="I316" s="252"/>
      <c r="J316" s="7" t="s">
        <v>3202</v>
      </c>
    </row>
    <row r="317" spans="1:10" x14ac:dyDescent="0.2">
      <c r="A317" s="7" t="s">
        <v>2258</v>
      </c>
      <c r="B317" s="7" t="s">
        <v>2259</v>
      </c>
      <c r="C317" s="220" t="s">
        <v>1538</v>
      </c>
      <c r="D317" s="255" t="s">
        <v>2663</v>
      </c>
      <c r="E317" s="231">
        <v>17708.64</v>
      </c>
      <c r="F317" s="207"/>
      <c r="G317" s="2" t="s">
        <v>2708</v>
      </c>
      <c r="H317" s="2"/>
      <c r="I317" s="2"/>
      <c r="J317" s="2" t="s">
        <v>3202</v>
      </c>
    </row>
    <row r="318" spans="1:10" x14ac:dyDescent="0.2">
      <c r="A318" s="7" t="s">
        <v>2256</v>
      </c>
      <c r="B318" s="7" t="s">
        <v>2257</v>
      </c>
      <c r="C318" s="168" t="s">
        <v>1128</v>
      </c>
      <c r="D318" s="255" t="s">
        <v>2663</v>
      </c>
      <c r="E318" s="231">
        <v>15558.4</v>
      </c>
      <c r="F318" s="207"/>
      <c r="G318" s="3" t="s">
        <v>2706</v>
      </c>
      <c r="H318" s="2"/>
      <c r="I318" s="2"/>
      <c r="J318" s="2" t="s">
        <v>3202</v>
      </c>
    </row>
    <row r="319" spans="1:10" x14ac:dyDescent="0.2">
      <c r="A319" s="7" t="s">
        <v>2340</v>
      </c>
      <c r="B319" s="7" t="s">
        <v>2244</v>
      </c>
      <c r="C319" s="202" t="s">
        <v>1359</v>
      </c>
      <c r="D319" s="255" t="s">
        <v>2662</v>
      </c>
      <c r="E319" s="231">
        <v>35684.160000000003</v>
      </c>
      <c r="F319" s="207"/>
      <c r="G319" s="3" t="s">
        <v>2706</v>
      </c>
      <c r="H319" s="2"/>
      <c r="I319" s="2"/>
      <c r="J319" s="2" t="s">
        <v>3202</v>
      </c>
    </row>
    <row r="320" spans="1:10" x14ac:dyDescent="0.2">
      <c r="A320" s="7" t="s">
        <v>2279</v>
      </c>
      <c r="B320" s="7" t="s">
        <v>2280</v>
      </c>
      <c r="C320" s="168" t="s">
        <v>1404</v>
      </c>
      <c r="D320" s="255" t="s">
        <v>2663</v>
      </c>
      <c r="E320" s="231">
        <v>17312.759999999998</v>
      </c>
      <c r="F320" s="207"/>
      <c r="G320" s="3" t="s">
        <v>2706</v>
      </c>
      <c r="H320" s="2"/>
      <c r="I320" s="2"/>
      <c r="J320" s="2" t="s">
        <v>3202</v>
      </c>
    </row>
    <row r="321" spans="1:10" x14ac:dyDescent="0.2">
      <c r="A321" s="7" t="s">
        <v>2248</v>
      </c>
      <c r="B321" s="7" t="s">
        <v>2249</v>
      </c>
      <c r="C321" s="168" t="s">
        <v>1530</v>
      </c>
      <c r="D321" s="255" t="s">
        <v>2663</v>
      </c>
      <c r="E321" s="231">
        <v>15789.6</v>
      </c>
      <c r="F321" s="207"/>
      <c r="G321" s="3" t="s">
        <v>2706</v>
      </c>
      <c r="H321" s="3"/>
      <c r="I321" s="3"/>
      <c r="J321" s="2" t="s">
        <v>3202</v>
      </c>
    </row>
    <row r="322" spans="1:10" x14ac:dyDescent="0.2">
      <c r="A322" s="7" t="s">
        <v>2337</v>
      </c>
      <c r="B322" s="7" t="s">
        <v>2338</v>
      </c>
      <c r="C322" s="228" t="s">
        <v>1356</v>
      </c>
      <c r="D322" s="255" t="s">
        <v>2662</v>
      </c>
      <c r="E322" s="231">
        <v>29391.96</v>
      </c>
      <c r="F322" s="207"/>
      <c r="G322" s="3" t="s">
        <v>2706</v>
      </c>
      <c r="H322" s="3"/>
      <c r="I322" s="3"/>
      <c r="J322" s="2" t="s">
        <v>3202</v>
      </c>
    </row>
    <row r="323" spans="1:10" x14ac:dyDescent="0.2">
      <c r="A323" s="7" t="s">
        <v>2383</v>
      </c>
      <c r="B323" s="7" t="s">
        <v>2521</v>
      </c>
      <c r="C323" s="202" t="s">
        <v>98</v>
      </c>
      <c r="D323" s="255" t="s">
        <v>2661</v>
      </c>
      <c r="E323" s="231">
        <v>35887.56</v>
      </c>
      <c r="F323" s="207"/>
      <c r="G323" s="343" t="s">
        <v>2710</v>
      </c>
      <c r="H323" s="343"/>
      <c r="I323" s="343"/>
      <c r="J323" s="2" t="s">
        <v>3208</v>
      </c>
    </row>
    <row r="324" spans="1:10" x14ac:dyDescent="0.2">
      <c r="A324" s="7" t="s">
        <v>2268</v>
      </c>
      <c r="B324" s="7" t="s">
        <v>2269</v>
      </c>
      <c r="C324" s="203" t="s">
        <v>1396</v>
      </c>
      <c r="D324" s="255" t="s">
        <v>2663</v>
      </c>
      <c r="E324" s="231">
        <v>22235.200000000001</v>
      </c>
      <c r="F324" s="207"/>
      <c r="G324" s="343" t="s">
        <v>2710</v>
      </c>
      <c r="H324" s="2"/>
      <c r="I324" s="2"/>
      <c r="J324" s="2" t="s">
        <v>3208</v>
      </c>
    </row>
    <row r="325" spans="1:10" x14ac:dyDescent="0.2">
      <c r="A325" s="7" t="s">
        <v>2272</v>
      </c>
      <c r="B325" s="7" t="s">
        <v>2273</v>
      </c>
      <c r="C325" s="203" t="s">
        <v>600</v>
      </c>
      <c r="D325" s="255" t="s">
        <v>2663</v>
      </c>
      <c r="E325" s="231">
        <v>19552</v>
      </c>
      <c r="F325" s="207"/>
      <c r="G325" s="343" t="s">
        <v>2710</v>
      </c>
      <c r="H325" s="2"/>
      <c r="I325" s="2"/>
      <c r="J325" s="2" t="s">
        <v>3208</v>
      </c>
    </row>
    <row r="326" spans="1:10" x14ac:dyDescent="0.2">
      <c r="A326" s="7" t="s">
        <v>2222</v>
      </c>
      <c r="B326" s="7" t="s">
        <v>2223</v>
      </c>
      <c r="C326" s="228" t="s">
        <v>1202</v>
      </c>
      <c r="D326" s="255" t="s">
        <v>2663</v>
      </c>
      <c r="E326" s="231">
        <v>23025.119999999999</v>
      </c>
      <c r="F326" s="207"/>
      <c r="G326" s="343" t="s">
        <v>2710</v>
      </c>
      <c r="H326" s="252"/>
      <c r="I326" s="252"/>
      <c r="J326" s="2" t="s">
        <v>3208</v>
      </c>
    </row>
    <row r="327" spans="1:10" x14ac:dyDescent="0.2">
      <c r="A327" s="7" t="s">
        <v>2274</v>
      </c>
      <c r="B327" s="7" t="s">
        <v>2275</v>
      </c>
      <c r="C327" s="203" t="s">
        <v>313</v>
      </c>
      <c r="D327" s="255" t="s">
        <v>2663</v>
      </c>
      <c r="E327" s="231">
        <v>25192.27</v>
      </c>
      <c r="F327" s="207"/>
      <c r="G327" s="343" t="s">
        <v>2710</v>
      </c>
      <c r="H327" s="2"/>
      <c r="I327" s="2"/>
      <c r="J327" s="2" t="s">
        <v>3208</v>
      </c>
    </row>
    <row r="328" spans="1:10" x14ac:dyDescent="0.2">
      <c r="C328" s="203" t="s">
        <v>3158</v>
      </c>
      <c r="D328" s="255" t="s">
        <v>2663</v>
      </c>
      <c r="E328" s="206">
        <v>23000</v>
      </c>
      <c r="F328" s="207"/>
      <c r="G328" s="343" t="s">
        <v>2710</v>
      </c>
      <c r="H328" s="2"/>
      <c r="I328" s="2"/>
      <c r="J328" s="2" t="s">
        <v>3208</v>
      </c>
    </row>
    <row r="329" spans="1:10" x14ac:dyDescent="0.2">
      <c r="F329" s="343"/>
      <c r="G329" s="343"/>
      <c r="H329" s="343"/>
      <c r="I329" s="343"/>
      <c r="J329" s="343"/>
    </row>
    <row r="330" spans="1:10" x14ac:dyDescent="0.2">
      <c r="E330" s="242"/>
    </row>
    <row r="331" spans="1:10" s="245" customFormat="1" ht="15.75" thickBot="1" x14ac:dyDescent="0.25">
      <c r="A331" s="201" t="s">
        <v>2936</v>
      </c>
      <c r="B331" s="201"/>
      <c r="C331" s="243"/>
      <c r="D331" s="201"/>
      <c r="E331" s="204">
        <f>SUM(E5:E330)</f>
        <v>13360762.380000001</v>
      </c>
      <c r="F331" s="244"/>
      <c r="G331" s="244"/>
      <c r="H331" s="244"/>
      <c r="I331" s="244"/>
      <c r="J331" s="244"/>
    </row>
    <row r="332" spans="1:10" ht="15.75" thickTop="1" x14ac:dyDescent="0.2"/>
  </sheetData>
  <sortState ref="A5:I328">
    <sortCondition ref="G5:G328"/>
    <sortCondition ref="A5:A328"/>
  </sortState>
  <conditionalFormatting sqref="C1:C1048576">
    <cfRule type="duplicateValues" dxfId="0" priority="1"/>
  </conditionalFormatting>
  <printOptions horizontalCentered="1" gridLines="1"/>
  <pageMargins left="0.7" right="0.7" top="0" bottom="0" header="0.3" footer="0.3"/>
  <pageSetup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Columner Summary</vt:lpstr>
      <vt:lpstr>Summary Page</vt:lpstr>
      <vt:lpstr>Combine Sal Op</vt:lpstr>
      <vt:lpstr>Revenue Start</vt:lpstr>
      <vt:lpstr>Op Detail TOC-old</vt:lpstr>
      <vt:lpstr>Op Detail TOC</vt:lpstr>
      <vt:lpstr>Op Detail</vt:lpstr>
      <vt:lpstr>Salaries</vt:lpstr>
      <vt:lpstr>JE</vt:lpstr>
      <vt:lpstr>Recap</vt:lpstr>
      <vt:lpstr>JE Upload</vt:lpstr>
      <vt:lpstr>Salary Depts</vt:lpstr>
      <vt:lpstr>JE Upload (2)</vt:lpstr>
      <vt:lpstr>JE Upload reductions</vt:lpstr>
      <vt:lpstr>JE Upload reductions 2</vt:lpstr>
      <vt:lpstr>Salaries (2)</vt:lpstr>
      <vt:lpstr>'Combine Sal Op'!Print_Area</vt:lpstr>
      <vt:lpstr>'Op Detail'!Print_Area</vt:lpstr>
      <vt:lpstr>'Op Detail TOC-old'!Print_Area</vt:lpstr>
      <vt:lpstr>'Revenue Start'!Print_Area</vt:lpstr>
      <vt:lpstr>Salaries!Print_Area</vt:lpstr>
      <vt:lpstr>'Salaries (2)'!Print_Area</vt:lpstr>
      <vt:lpstr>'Salary Depts'!Print_Area</vt:lpstr>
      <vt:lpstr>Print_Area</vt:lpstr>
      <vt:lpstr>'Combine Sal Op'!Print_Titles</vt:lpstr>
      <vt:lpstr>'Op Detail TOC'!Print_Titles</vt:lpstr>
      <vt:lpstr>'Op Detail TOC-old'!Print_Titles</vt:lpstr>
      <vt:lpstr>'Revenue Start'!Print_Titles</vt:lpstr>
      <vt:lpstr>'Salary Depts'!Print_Titles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anne0500</dc:creator>
  <cp:lastModifiedBy>Anne H Tarski</cp:lastModifiedBy>
  <cp:lastPrinted>2014-04-01T22:12:19Z</cp:lastPrinted>
  <dcterms:created xsi:type="dcterms:W3CDTF">2004-04-22T21:31:50Z</dcterms:created>
  <dcterms:modified xsi:type="dcterms:W3CDTF">2015-02-20T16:41:24Z</dcterms:modified>
</cp:coreProperties>
</file>